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xiangxian/Downloads/IB_0217_new/IB_1223_new/tmp_input/"/>
    </mc:Choice>
  </mc:AlternateContent>
  <xr:revisionPtr revIDLastSave="0" documentId="8_{3B21F0D3-46D7-E744-9453-AAE478317889}" xr6:coauthVersionLast="47" xr6:coauthVersionMax="47" xr10:uidLastSave="{00000000-0000-0000-0000-000000000000}"/>
  <bookViews>
    <workbookView xWindow="0" yWindow="500" windowWidth="28800" windowHeight="17500" activeTab="20" xr2:uid="{00000000-000D-0000-FFFF-FFFF00000000}"/>
  </bookViews>
  <sheets>
    <sheet name="March S&amp;OP &gt;&gt;" sheetId="1" r:id="rId1"/>
    <sheet name="S&amp;OP March Projection" sheetId="2" state="hidden" r:id="rId2"/>
    <sheet name="Mar Proj with Median" sheetId="3" state="hidden" r:id="rId3"/>
    <sheet name="April S&amp;OP &gt;&gt;" sheetId="4" state="hidden" r:id="rId4"/>
    <sheet name="Apr Proj with Median" sheetId="5" state="hidden" r:id="rId5"/>
    <sheet name="April working" sheetId="6" state="hidden" r:id="rId6"/>
    <sheet name="MayJune S&amp;OP &gt;&gt;" sheetId="7" state="hidden" r:id="rId7"/>
    <sheet name="MayJun Proj" sheetId="8" state="hidden" r:id="rId8"/>
    <sheet name="MayJune working" sheetId="9" state="hidden" r:id="rId9"/>
    <sheet name="July S&amp;OP &gt;&gt;" sheetId="10" state="hidden" r:id="rId10"/>
    <sheet name="July working" sheetId="11" state="hidden" r:id="rId11"/>
    <sheet name="AugSept S&amp;OP" sheetId="12" state="hidden" r:id="rId12"/>
    <sheet name="Mar S&amp;OP_old" sheetId="13" state="hidden" r:id="rId13"/>
    <sheet name="Aug S&amp;OP" sheetId="14" r:id="rId14"/>
    <sheet name="Sep S&amp;OP" sheetId="15" r:id="rId15"/>
    <sheet name="Oct S&amp;OP" sheetId="16" r:id="rId16"/>
    <sheet name="Nov S&amp;OP" sheetId="17" r:id="rId17"/>
    <sheet name="Dec S&amp;OP" sheetId="18" r:id="rId18"/>
    <sheet name="Jan S&amp;OP" sheetId="19" r:id="rId19"/>
    <sheet name="Feb S&amp;OP" sheetId="20" r:id="rId20"/>
    <sheet name="Mar S&amp;OP" sheetId="21" r:id="rId21"/>
    <sheet name="Apr S&amp;OP" sheetId="22" r:id="rId22"/>
    <sheet name="May S&amp;OP" sheetId="23" r:id="rId23"/>
    <sheet name="Jun S&amp;OP" sheetId="24" r:id="rId24"/>
    <sheet name="Jul S&amp;OP" sheetId="25" r:id="rId25"/>
    <sheet name="Mar Proj with Best" sheetId="26" state="hidden" r:id="rId26"/>
    <sheet name="S&amp;OP Weekly tracking(Old)" sheetId="27" state="hidden" r:id="rId27"/>
    <sheet name="S&amp;OP March Projection by hr" sheetId="28" state="hidden" r:id="rId28"/>
  </sheets>
  <externalReferences>
    <externalReference r:id="rId29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0" i="28" l="1"/>
  <c r="F50" i="28" s="1"/>
  <c r="E50" i="28"/>
  <c r="H49" i="28"/>
  <c r="F49" i="28"/>
  <c r="E49" i="28"/>
  <c r="H48" i="28"/>
  <c r="F48" i="28" s="1"/>
  <c r="E48" i="28"/>
  <c r="H47" i="28"/>
  <c r="F47" i="28"/>
  <c r="E47" i="28"/>
  <c r="H46" i="28"/>
  <c r="F46" i="28" s="1"/>
  <c r="E46" i="28"/>
  <c r="H45" i="28"/>
  <c r="F45" i="28" s="1"/>
  <c r="E45" i="28"/>
  <c r="H44" i="28"/>
  <c r="F44" i="28" s="1"/>
  <c r="E44" i="28"/>
  <c r="H43" i="28"/>
  <c r="F43" i="28"/>
  <c r="E43" i="28"/>
  <c r="H42" i="28"/>
  <c r="F42" i="28"/>
  <c r="E42" i="28"/>
  <c r="H41" i="28"/>
  <c r="F41" i="28"/>
  <c r="E41" i="28"/>
  <c r="H40" i="28"/>
  <c r="F40" i="28" s="1"/>
  <c r="E40" i="28"/>
  <c r="H39" i="28"/>
  <c r="F39" i="28"/>
  <c r="E39" i="28"/>
  <c r="H38" i="28"/>
  <c r="F38" i="28" s="1"/>
  <c r="E38" i="28"/>
  <c r="H37" i="28"/>
  <c r="F37" i="28"/>
  <c r="E37" i="28"/>
  <c r="H36" i="28"/>
  <c r="F36" i="28"/>
  <c r="E36" i="28"/>
  <c r="U35" i="28"/>
  <c r="X35" i="28" s="1"/>
  <c r="H35" i="28"/>
  <c r="F35" i="28"/>
  <c r="E35" i="28"/>
  <c r="U34" i="28"/>
  <c r="H34" i="28"/>
  <c r="F34" i="28" s="1"/>
  <c r="E34" i="28"/>
  <c r="U33" i="28"/>
  <c r="H33" i="28"/>
  <c r="F33" i="28"/>
  <c r="E33" i="28"/>
  <c r="U32" i="28"/>
  <c r="H32" i="28"/>
  <c r="F32" i="28"/>
  <c r="E32" i="28"/>
  <c r="U31" i="28"/>
  <c r="H31" i="28"/>
  <c r="F31" i="28" s="1"/>
  <c r="E31" i="28"/>
  <c r="U30" i="28"/>
  <c r="H30" i="28"/>
  <c r="F30" i="28" s="1"/>
  <c r="E30" i="28"/>
  <c r="U29" i="28"/>
  <c r="H29" i="28"/>
  <c r="F29" i="28" s="1"/>
  <c r="E29" i="28"/>
  <c r="U28" i="28"/>
  <c r="H28" i="28"/>
  <c r="F28" i="28" s="1"/>
  <c r="E28" i="28"/>
  <c r="U27" i="28"/>
  <c r="H27" i="28"/>
  <c r="F27" i="28"/>
  <c r="E27" i="28"/>
  <c r="U26" i="28"/>
  <c r="H26" i="28"/>
  <c r="F26" i="28"/>
  <c r="E26" i="28"/>
  <c r="U25" i="28"/>
  <c r="H25" i="28"/>
  <c r="F25" i="28" s="1"/>
  <c r="E25" i="28"/>
  <c r="U24" i="28"/>
  <c r="H24" i="28"/>
  <c r="F24" i="28" s="1"/>
  <c r="E24" i="28"/>
  <c r="H23" i="28"/>
  <c r="F23" i="28"/>
  <c r="E23" i="28"/>
  <c r="H22" i="28"/>
  <c r="F22" i="28"/>
  <c r="E22" i="28"/>
  <c r="O3" i="28" s="1"/>
  <c r="O8" i="28" s="1"/>
  <c r="U21" i="28"/>
  <c r="X21" i="28" s="1"/>
  <c r="H21" i="28"/>
  <c r="F21" i="28" s="1"/>
  <c r="E21" i="28"/>
  <c r="U20" i="28"/>
  <c r="H20" i="28"/>
  <c r="F20" i="28" s="1"/>
  <c r="E20" i="28"/>
  <c r="U19" i="28"/>
  <c r="U18" i="28"/>
  <c r="U17" i="28"/>
  <c r="O17" i="28"/>
  <c r="U16" i="28"/>
  <c r="O16" i="28"/>
  <c r="U15" i="28"/>
  <c r="O15" i="28"/>
  <c r="U14" i="28"/>
  <c r="U13" i="28"/>
  <c r="O13" i="28"/>
  <c r="U12" i="28"/>
  <c r="U11" i="28"/>
  <c r="U10" i="28"/>
  <c r="U9" i="28"/>
  <c r="U8" i="28"/>
  <c r="U7" i="28"/>
  <c r="O7" i="28"/>
  <c r="O9" i="28" s="1"/>
  <c r="O10" i="28" s="1"/>
  <c r="U6" i="28"/>
  <c r="U5" i="28"/>
  <c r="U36" i="28" s="1"/>
  <c r="O126" i="27"/>
  <c r="M126" i="27"/>
  <c r="L126" i="27"/>
  <c r="N126" i="27" s="1"/>
  <c r="K126" i="27"/>
  <c r="H126" i="27"/>
  <c r="O125" i="27"/>
  <c r="M125" i="27" s="1"/>
  <c r="K125" i="27"/>
  <c r="H125" i="27"/>
  <c r="O124" i="27"/>
  <c r="M124" i="27"/>
  <c r="L124" i="27"/>
  <c r="N124" i="27" s="1"/>
  <c r="K124" i="27"/>
  <c r="H124" i="27"/>
  <c r="O123" i="27"/>
  <c r="M123" i="27" s="1"/>
  <c r="K123" i="27"/>
  <c r="H123" i="27"/>
  <c r="O122" i="27"/>
  <c r="M122" i="27"/>
  <c r="L122" i="27"/>
  <c r="N122" i="27" s="1"/>
  <c r="K122" i="27"/>
  <c r="H122" i="27"/>
  <c r="O121" i="27"/>
  <c r="L121" i="27" s="1"/>
  <c r="N121" i="27" s="1"/>
  <c r="M121" i="27"/>
  <c r="K121" i="27"/>
  <c r="H121" i="27"/>
  <c r="O120" i="27"/>
  <c r="M120" i="27"/>
  <c r="L120" i="27"/>
  <c r="N120" i="27" s="1"/>
  <c r="K120" i="27"/>
  <c r="H120" i="27"/>
  <c r="O119" i="27"/>
  <c r="M119" i="27" s="1"/>
  <c r="K119" i="27"/>
  <c r="H119" i="27"/>
  <c r="O118" i="27"/>
  <c r="M118" i="27"/>
  <c r="L118" i="27"/>
  <c r="N118" i="27" s="1"/>
  <c r="K118" i="27"/>
  <c r="H118" i="27"/>
  <c r="O117" i="27"/>
  <c r="L117" i="27" s="1"/>
  <c r="N117" i="27" s="1"/>
  <c r="M117" i="27"/>
  <c r="K117" i="27"/>
  <c r="H117" i="27"/>
  <c r="O116" i="27"/>
  <c r="M116" i="27"/>
  <c r="L116" i="27"/>
  <c r="N116" i="27" s="1"/>
  <c r="K116" i="27"/>
  <c r="H116" i="27"/>
  <c r="O115" i="27"/>
  <c r="M115" i="27" s="1"/>
  <c r="K115" i="27"/>
  <c r="H115" i="27"/>
  <c r="O114" i="27"/>
  <c r="M114" i="27"/>
  <c r="L114" i="27"/>
  <c r="N114" i="27" s="1"/>
  <c r="K114" i="27"/>
  <c r="H114" i="27"/>
  <c r="O113" i="27"/>
  <c r="L113" i="27" s="1"/>
  <c r="N113" i="27" s="1"/>
  <c r="M113" i="27"/>
  <c r="K113" i="27"/>
  <c r="H113" i="27"/>
  <c r="O112" i="27"/>
  <c r="M112" i="27"/>
  <c r="J112" i="27"/>
  <c r="F112" i="27"/>
  <c r="L112" i="27" s="1"/>
  <c r="N112" i="27" s="1"/>
  <c r="O111" i="27"/>
  <c r="M111" i="27" s="1"/>
  <c r="J111" i="27"/>
  <c r="F111" i="27"/>
  <c r="L111" i="27" s="1"/>
  <c r="N111" i="27" s="1"/>
  <c r="O110" i="27"/>
  <c r="M110" i="27"/>
  <c r="J110" i="27"/>
  <c r="F110" i="27"/>
  <c r="L110" i="27" s="1"/>
  <c r="N110" i="27" s="1"/>
  <c r="O109" i="27"/>
  <c r="M109" i="27"/>
  <c r="J109" i="27"/>
  <c r="F109" i="27"/>
  <c r="G109" i="27" s="1"/>
  <c r="O108" i="27"/>
  <c r="M108" i="27"/>
  <c r="J108" i="27"/>
  <c r="F108" i="27"/>
  <c r="G108" i="27" s="1"/>
  <c r="O107" i="27"/>
  <c r="M107" i="27" s="1"/>
  <c r="J107" i="27"/>
  <c r="F107" i="27"/>
  <c r="G107" i="27" s="1"/>
  <c r="O106" i="27"/>
  <c r="M106" i="27"/>
  <c r="J106" i="27"/>
  <c r="F106" i="27"/>
  <c r="L106" i="27" s="1"/>
  <c r="N106" i="27" s="1"/>
  <c r="O98" i="27"/>
  <c r="M98" i="27"/>
  <c r="J98" i="27"/>
  <c r="F98" i="27"/>
  <c r="L98" i="27" s="1"/>
  <c r="N98" i="27" s="1"/>
  <c r="O97" i="27"/>
  <c r="M97" i="27" s="1"/>
  <c r="J97" i="27"/>
  <c r="F97" i="27"/>
  <c r="L97" i="27" s="1"/>
  <c r="N97" i="27" s="1"/>
  <c r="O96" i="27"/>
  <c r="M96" i="27"/>
  <c r="J96" i="27"/>
  <c r="F96" i="27"/>
  <c r="L96" i="27" s="1"/>
  <c r="N96" i="27" s="1"/>
  <c r="O95" i="27"/>
  <c r="M95" i="27"/>
  <c r="L95" i="27"/>
  <c r="N95" i="27" s="1"/>
  <c r="J95" i="27"/>
  <c r="F95" i="27"/>
  <c r="G95" i="27" s="1"/>
  <c r="O94" i="27"/>
  <c r="M94" i="27"/>
  <c r="L94" i="27"/>
  <c r="N94" i="27" s="1"/>
  <c r="J94" i="27"/>
  <c r="F94" i="27"/>
  <c r="G94" i="27" s="1"/>
  <c r="O93" i="27"/>
  <c r="J93" i="27"/>
  <c r="G93" i="27"/>
  <c r="F93" i="27"/>
  <c r="O92" i="27"/>
  <c r="N92" i="27"/>
  <c r="M92" i="27"/>
  <c r="J92" i="27"/>
  <c r="G92" i="27"/>
  <c r="F92" i="27"/>
  <c r="L92" i="27" s="1"/>
  <c r="O91" i="27"/>
  <c r="M91" i="27"/>
  <c r="J91" i="27"/>
  <c r="F91" i="27"/>
  <c r="L91" i="27" s="1"/>
  <c r="N91" i="27" s="1"/>
  <c r="O90" i="27"/>
  <c r="M90" i="27" s="1"/>
  <c r="J90" i="27"/>
  <c r="F90" i="27"/>
  <c r="L90" i="27" s="1"/>
  <c r="N90" i="27" s="1"/>
  <c r="O89" i="27"/>
  <c r="M89" i="27"/>
  <c r="J89" i="27"/>
  <c r="F89" i="27"/>
  <c r="L89" i="27" s="1"/>
  <c r="N89" i="27" s="1"/>
  <c r="O88" i="27"/>
  <c r="M88" i="27"/>
  <c r="J88" i="27"/>
  <c r="F88" i="27"/>
  <c r="G88" i="27" s="1"/>
  <c r="O87" i="27"/>
  <c r="M87" i="27"/>
  <c r="L87" i="27"/>
  <c r="N87" i="27" s="1"/>
  <c r="J87" i="27"/>
  <c r="F87" i="27"/>
  <c r="G87" i="27" s="1"/>
  <c r="O86" i="27"/>
  <c r="J86" i="27"/>
  <c r="F86" i="27"/>
  <c r="G86" i="27" s="1"/>
  <c r="O85" i="27"/>
  <c r="M85" i="27"/>
  <c r="J85" i="27"/>
  <c r="F85" i="27"/>
  <c r="L85" i="27" s="1"/>
  <c r="N85" i="27" s="1"/>
  <c r="O84" i="27"/>
  <c r="M84" i="27"/>
  <c r="J84" i="27"/>
  <c r="F84" i="27"/>
  <c r="L84" i="27" s="1"/>
  <c r="N84" i="27" s="1"/>
  <c r="O83" i="27"/>
  <c r="M83" i="27" s="1"/>
  <c r="J83" i="27"/>
  <c r="F83" i="27"/>
  <c r="L83" i="27" s="1"/>
  <c r="N83" i="27" s="1"/>
  <c r="O82" i="27"/>
  <c r="M82" i="27"/>
  <c r="J82" i="27"/>
  <c r="F82" i="27"/>
  <c r="L82" i="27" s="1"/>
  <c r="N82" i="27" s="1"/>
  <c r="O81" i="27"/>
  <c r="M81" i="27"/>
  <c r="J81" i="27"/>
  <c r="F81" i="27"/>
  <c r="G81" i="27" s="1"/>
  <c r="O80" i="27"/>
  <c r="M80" i="27"/>
  <c r="J80" i="27"/>
  <c r="F80" i="27"/>
  <c r="G80" i="27" s="1"/>
  <c r="O79" i="27"/>
  <c r="J79" i="27"/>
  <c r="F79" i="27"/>
  <c r="G79" i="27" s="1"/>
  <c r="O78" i="27"/>
  <c r="M78" i="27"/>
  <c r="J78" i="27"/>
  <c r="F78" i="27"/>
  <c r="L78" i="27" s="1"/>
  <c r="N78" i="27" s="1"/>
  <c r="O77" i="27"/>
  <c r="M77" i="27"/>
  <c r="K77" i="27"/>
  <c r="J77" i="27"/>
  <c r="F77" i="27"/>
  <c r="L77" i="27" s="1"/>
  <c r="N77" i="27" s="1"/>
  <c r="O76" i="27"/>
  <c r="M76" i="27" s="1"/>
  <c r="J76" i="27"/>
  <c r="K76" i="27" s="1"/>
  <c r="F76" i="27"/>
  <c r="G76" i="27" s="1"/>
  <c r="O75" i="27"/>
  <c r="M75" i="27" s="1"/>
  <c r="J75" i="27"/>
  <c r="K75" i="27" s="1"/>
  <c r="F75" i="27"/>
  <c r="G75" i="27" s="1"/>
  <c r="O74" i="27"/>
  <c r="M74" i="27" s="1"/>
  <c r="J74" i="27"/>
  <c r="K74" i="27" s="1"/>
  <c r="F74" i="27"/>
  <c r="G74" i="27" s="1"/>
  <c r="O73" i="27"/>
  <c r="M73" i="27" s="1"/>
  <c r="J73" i="27"/>
  <c r="K73" i="27" s="1"/>
  <c r="F73" i="27"/>
  <c r="G73" i="27" s="1"/>
  <c r="O72" i="27"/>
  <c r="M72" i="27" s="1"/>
  <c r="J72" i="27"/>
  <c r="K72" i="27" s="1"/>
  <c r="F72" i="27"/>
  <c r="O71" i="27"/>
  <c r="M71" i="27" s="1"/>
  <c r="J71" i="27"/>
  <c r="K71" i="27" s="1"/>
  <c r="F71" i="27"/>
  <c r="O70" i="27"/>
  <c r="J70" i="27"/>
  <c r="K70" i="27" s="1"/>
  <c r="F70" i="27"/>
  <c r="O69" i="27"/>
  <c r="M69" i="27" s="1"/>
  <c r="K69" i="27"/>
  <c r="J69" i="27"/>
  <c r="F69" i="27"/>
  <c r="G69" i="27" s="1"/>
  <c r="O68" i="27"/>
  <c r="M68" i="27" s="1"/>
  <c r="K68" i="27"/>
  <c r="J68" i="27"/>
  <c r="F68" i="27"/>
  <c r="L68" i="27" s="1"/>
  <c r="N68" i="27" s="1"/>
  <c r="O67" i="27"/>
  <c r="M67" i="27" s="1"/>
  <c r="K67" i="27"/>
  <c r="J67" i="27"/>
  <c r="F67" i="27"/>
  <c r="G67" i="27" s="1"/>
  <c r="O66" i="27"/>
  <c r="M66" i="27" s="1"/>
  <c r="K66" i="27"/>
  <c r="J66" i="27"/>
  <c r="F66" i="27"/>
  <c r="L66" i="27" s="1"/>
  <c r="N66" i="27" s="1"/>
  <c r="O65" i="27"/>
  <c r="M65" i="27" s="1"/>
  <c r="K65" i="27"/>
  <c r="J65" i="27"/>
  <c r="F65" i="27"/>
  <c r="G65" i="27" s="1"/>
  <c r="O64" i="27"/>
  <c r="M64" i="27" s="1"/>
  <c r="K64" i="27"/>
  <c r="J64" i="27"/>
  <c r="F64" i="27"/>
  <c r="L64" i="27" s="1"/>
  <c r="N64" i="27" s="1"/>
  <c r="O63" i="27"/>
  <c r="M63" i="27" s="1"/>
  <c r="K63" i="27"/>
  <c r="J63" i="27"/>
  <c r="F63" i="27"/>
  <c r="O62" i="27"/>
  <c r="L62" i="27" s="1"/>
  <c r="N62" i="27"/>
  <c r="M62" i="27"/>
  <c r="J62" i="27"/>
  <c r="K62" i="27" s="1"/>
  <c r="G62" i="27"/>
  <c r="O61" i="27"/>
  <c r="M61" i="27"/>
  <c r="L61" i="27"/>
  <c r="N61" i="27" s="1"/>
  <c r="J61" i="27"/>
  <c r="K61" i="27" s="1"/>
  <c r="G61" i="27"/>
  <c r="O60" i="27"/>
  <c r="N60" i="27"/>
  <c r="M60" i="27"/>
  <c r="L60" i="27"/>
  <c r="K60" i="27"/>
  <c r="J60" i="27"/>
  <c r="G60" i="27"/>
  <c r="O59" i="27"/>
  <c r="L59" i="27" s="1"/>
  <c r="K59" i="27"/>
  <c r="J59" i="27"/>
  <c r="G59" i="27"/>
  <c r="O58" i="27"/>
  <c r="M58" i="27" s="1"/>
  <c r="N58" i="27"/>
  <c r="L58" i="27"/>
  <c r="J58" i="27"/>
  <c r="K58" i="27" s="1"/>
  <c r="G58" i="27"/>
  <c r="O57" i="27"/>
  <c r="M57" i="27"/>
  <c r="N57" i="27" s="1"/>
  <c r="L57" i="27"/>
  <c r="K57" i="27"/>
  <c r="J57" i="27"/>
  <c r="G57" i="27"/>
  <c r="O56" i="27"/>
  <c r="M56" i="27" s="1"/>
  <c r="K56" i="27"/>
  <c r="F56" i="27"/>
  <c r="O55" i="27"/>
  <c r="M55" i="27"/>
  <c r="J55" i="27"/>
  <c r="K55" i="27" s="1"/>
  <c r="F55" i="27"/>
  <c r="O54" i="27"/>
  <c r="M54" i="27"/>
  <c r="J54" i="27"/>
  <c r="K54" i="27" s="1"/>
  <c r="F54" i="27"/>
  <c r="O53" i="27"/>
  <c r="M53" i="27"/>
  <c r="J53" i="27"/>
  <c r="K53" i="27" s="1"/>
  <c r="F53" i="27"/>
  <c r="O52" i="27"/>
  <c r="M52" i="27"/>
  <c r="J52" i="27"/>
  <c r="K52" i="27" s="1"/>
  <c r="F52" i="27"/>
  <c r="O51" i="27"/>
  <c r="M51" i="27"/>
  <c r="J51" i="27"/>
  <c r="K51" i="27" s="1"/>
  <c r="F51" i="27"/>
  <c r="O50" i="27"/>
  <c r="L50" i="27" s="1"/>
  <c r="N50" i="27" s="1"/>
  <c r="M50" i="27"/>
  <c r="J50" i="27"/>
  <c r="K50" i="27" s="1"/>
  <c r="G50" i="27"/>
  <c r="O49" i="27"/>
  <c r="J49" i="27"/>
  <c r="K49" i="27" s="1"/>
  <c r="O48" i="27"/>
  <c r="K48" i="27"/>
  <c r="J48" i="27"/>
  <c r="G48" i="27"/>
  <c r="O47" i="27"/>
  <c r="M47" i="27" s="1"/>
  <c r="L47" i="27"/>
  <c r="N47" i="27" s="1"/>
  <c r="J47" i="27"/>
  <c r="K47" i="27" s="1"/>
  <c r="G47" i="27"/>
  <c r="O46" i="27"/>
  <c r="L46" i="27" s="1"/>
  <c r="M46" i="27"/>
  <c r="K46" i="27"/>
  <c r="J46" i="27"/>
  <c r="G46" i="27"/>
  <c r="O45" i="27"/>
  <c r="M45" i="27" s="1"/>
  <c r="J45" i="27"/>
  <c r="K45" i="27" s="1"/>
  <c r="G45" i="27"/>
  <c r="O44" i="27"/>
  <c r="K44" i="27"/>
  <c r="J44" i="27"/>
  <c r="G44" i="27"/>
  <c r="O43" i="27"/>
  <c r="L43" i="27" s="1"/>
  <c r="N43" i="27" s="1"/>
  <c r="M43" i="27"/>
  <c r="J43" i="27"/>
  <c r="K43" i="27" s="1"/>
  <c r="G43" i="27"/>
  <c r="O42" i="27"/>
  <c r="M42" i="27"/>
  <c r="N42" i="27" s="1"/>
  <c r="K42" i="27"/>
  <c r="J42" i="27"/>
  <c r="G42" i="27"/>
  <c r="O41" i="27"/>
  <c r="L41" i="27" s="1"/>
  <c r="M41" i="27"/>
  <c r="K41" i="27"/>
  <c r="J41" i="27"/>
  <c r="G41" i="27"/>
  <c r="O40" i="27"/>
  <c r="J40" i="27"/>
  <c r="K40" i="27" s="1"/>
  <c r="G40" i="27"/>
  <c r="O39" i="27"/>
  <c r="L39" i="27" s="1"/>
  <c r="N39" i="27" s="1"/>
  <c r="M39" i="27"/>
  <c r="K39" i="27"/>
  <c r="J39" i="27"/>
  <c r="G39" i="27"/>
  <c r="O38" i="27"/>
  <c r="L38" i="27" s="1"/>
  <c r="J38" i="27"/>
  <c r="K38" i="27" s="1"/>
  <c r="G38" i="27"/>
  <c r="O37" i="27"/>
  <c r="K37" i="27"/>
  <c r="J37" i="27"/>
  <c r="G37" i="27"/>
  <c r="O36" i="27"/>
  <c r="L36" i="27" s="1"/>
  <c r="M36" i="27"/>
  <c r="N36" i="27" s="1"/>
  <c r="K36" i="27"/>
  <c r="J36" i="27"/>
  <c r="G36" i="27"/>
  <c r="O35" i="27"/>
  <c r="M35" i="27"/>
  <c r="N35" i="27" s="1"/>
  <c r="K35" i="27"/>
  <c r="J35" i="27"/>
  <c r="F35" i="27"/>
  <c r="O34" i="27"/>
  <c r="M34" i="27"/>
  <c r="L34" i="27"/>
  <c r="N34" i="27" s="1"/>
  <c r="K34" i="27"/>
  <c r="J34" i="27"/>
  <c r="G34" i="27"/>
  <c r="O33" i="27"/>
  <c r="M33" i="27"/>
  <c r="L33" i="27"/>
  <c r="N33" i="27" s="1"/>
  <c r="K33" i="27"/>
  <c r="J33" i="27"/>
  <c r="G33" i="27"/>
  <c r="O32" i="27"/>
  <c r="M32" i="27"/>
  <c r="L32" i="27"/>
  <c r="N32" i="27" s="1"/>
  <c r="K32" i="27"/>
  <c r="J32" i="27"/>
  <c r="G32" i="27"/>
  <c r="O31" i="27"/>
  <c r="M31" i="27"/>
  <c r="L31" i="27"/>
  <c r="N31" i="27" s="1"/>
  <c r="K31" i="27"/>
  <c r="J31" i="27"/>
  <c r="G31" i="27"/>
  <c r="O30" i="27"/>
  <c r="M30" i="27"/>
  <c r="L30" i="27"/>
  <c r="N30" i="27" s="1"/>
  <c r="K30" i="27"/>
  <c r="J30" i="27"/>
  <c r="G30" i="27"/>
  <c r="O29" i="27"/>
  <c r="M29" i="27"/>
  <c r="L29" i="27"/>
  <c r="N29" i="27" s="1"/>
  <c r="J29" i="27"/>
  <c r="G29" i="27"/>
  <c r="J28" i="27"/>
  <c r="F28" i="27"/>
  <c r="G28" i="27" s="1"/>
  <c r="J27" i="27"/>
  <c r="F27" i="27"/>
  <c r="G27" i="27" s="1"/>
  <c r="J26" i="27"/>
  <c r="F26" i="27"/>
  <c r="G26" i="27" s="1"/>
  <c r="J25" i="27"/>
  <c r="F25" i="27"/>
  <c r="G25" i="27" s="1"/>
  <c r="J24" i="27"/>
  <c r="F24" i="27"/>
  <c r="G24" i="27" s="1"/>
  <c r="H24" i="27" s="1"/>
  <c r="H51" i="26"/>
  <c r="F51" i="26" s="1"/>
  <c r="E51" i="26"/>
  <c r="H50" i="26"/>
  <c r="F50" i="26"/>
  <c r="E50" i="26"/>
  <c r="H49" i="26"/>
  <c r="F49" i="26" s="1"/>
  <c r="E49" i="26"/>
  <c r="H48" i="26"/>
  <c r="F48" i="26" s="1"/>
  <c r="E48" i="26"/>
  <c r="H47" i="26"/>
  <c r="F47" i="26" s="1"/>
  <c r="E47" i="26"/>
  <c r="H46" i="26"/>
  <c r="F46" i="26"/>
  <c r="E46" i="26"/>
  <c r="H45" i="26"/>
  <c r="F45" i="26"/>
  <c r="E45" i="26"/>
  <c r="H44" i="26"/>
  <c r="F44" i="26"/>
  <c r="E44" i="26"/>
  <c r="H43" i="26"/>
  <c r="F43" i="26"/>
  <c r="E43" i="26"/>
  <c r="H42" i="26"/>
  <c r="F42" i="26" s="1"/>
  <c r="E42" i="26"/>
  <c r="H41" i="26"/>
  <c r="F41" i="26" s="1"/>
  <c r="E41" i="26"/>
  <c r="H40" i="26"/>
  <c r="F40" i="26" s="1"/>
  <c r="E40" i="26"/>
  <c r="H39" i="26"/>
  <c r="F39" i="26" s="1"/>
  <c r="E39" i="26"/>
  <c r="H38" i="26"/>
  <c r="F38" i="26" s="1"/>
  <c r="E38" i="26"/>
  <c r="H37" i="26"/>
  <c r="F37" i="26" s="1"/>
  <c r="E37" i="26"/>
  <c r="U36" i="26"/>
  <c r="H36" i="26"/>
  <c r="F36" i="26"/>
  <c r="E36" i="26"/>
  <c r="AI35" i="26"/>
  <c r="U35" i="26"/>
  <c r="H35" i="26"/>
  <c r="F35" i="26"/>
  <c r="E35" i="26"/>
  <c r="AI34" i="26"/>
  <c r="U34" i="26"/>
  <c r="H34" i="26"/>
  <c r="F34" i="26"/>
  <c r="E34" i="26"/>
  <c r="AI33" i="26"/>
  <c r="U33" i="26"/>
  <c r="H33" i="26"/>
  <c r="F33" i="26" s="1"/>
  <c r="E33" i="26"/>
  <c r="AI32" i="26"/>
  <c r="AD32" i="26"/>
  <c r="AD34" i="26" s="1"/>
  <c r="U32" i="26"/>
  <c r="H32" i="26"/>
  <c r="F32" i="26"/>
  <c r="E32" i="26"/>
  <c r="AI31" i="26"/>
  <c r="U31" i="26"/>
  <c r="H31" i="26"/>
  <c r="F31" i="26"/>
  <c r="E31" i="26"/>
  <c r="AD30" i="26"/>
  <c r="U30" i="26"/>
  <c r="H30" i="26"/>
  <c r="F30" i="26" s="1"/>
  <c r="E30" i="26"/>
  <c r="U29" i="26"/>
  <c r="H29" i="26"/>
  <c r="F29" i="26" s="1"/>
  <c r="E29" i="26"/>
  <c r="AI28" i="26"/>
  <c r="U28" i="26"/>
  <c r="H28" i="26"/>
  <c r="F28" i="26" s="1"/>
  <c r="E28" i="26"/>
  <c r="AI27" i="26"/>
  <c r="U27" i="26"/>
  <c r="H27" i="26"/>
  <c r="F27" i="26"/>
  <c r="E27" i="26"/>
  <c r="AI26" i="26"/>
  <c r="AD26" i="26"/>
  <c r="U26" i="26"/>
  <c r="H26" i="26"/>
  <c r="F26" i="26"/>
  <c r="E26" i="26"/>
  <c r="AI25" i="26"/>
  <c r="U25" i="26"/>
  <c r="H25" i="26"/>
  <c r="F25" i="26" s="1"/>
  <c r="E25" i="26"/>
  <c r="AD24" i="26"/>
  <c r="H24" i="26"/>
  <c r="F24" i="26" s="1"/>
  <c r="E24" i="26"/>
  <c r="H23" i="26"/>
  <c r="F23" i="26"/>
  <c r="E23" i="26"/>
  <c r="U22" i="26"/>
  <c r="H22" i="26"/>
  <c r="F22" i="26"/>
  <c r="E22" i="26"/>
  <c r="O4" i="26" s="1"/>
  <c r="O9" i="26" s="1"/>
  <c r="AI21" i="26"/>
  <c r="U21" i="26"/>
  <c r="H21" i="26"/>
  <c r="F21" i="26"/>
  <c r="E21" i="26"/>
  <c r="AI20" i="26"/>
  <c r="U20" i="26"/>
  <c r="AI19" i="26"/>
  <c r="AD19" i="26"/>
  <c r="U19" i="26"/>
  <c r="AI18" i="26"/>
  <c r="U18" i="26"/>
  <c r="AI17" i="26"/>
  <c r="U17" i="26"/>
  <c r="O17" i="26"/>
  <c r="U16" i="26"/>
  <c r="O16" i="26"/>
  <c r="U15" i="26"/>
  <c r="AI14" i="26"/>
  <c r="AD14" i="26"/>
  <c r="U14" i="26"/>
  <c r="O14" i="26"/>
  <c r="O18" i="26" s="1"/>
  <c r="AI13" i="26"/>
  <c r="U13" i="26"/>
  <c r="AI12" i="26"/>
  <c r="U12" i="26"/>
  <c r="AI11" i="26"/>
  <c r="U11" i="26"/>
  <c r="AI10" i="26"/>
  <c r="AD10" i="26"/>
  <c r="U10" i="26"/>
  <c r="O10" i="26"/>
  <c r="O11" i="26" s="1"/>
  <c r="U9" i="26"/>
  <c r="U8" i="26"/>
  <c r="O8" i="26"/>
  <c r="AI7" i="26"/>
  <c r="AD7" i="26"/>
  <c r="U7" i="26"/>
  <c r="AI6" i="26"/>
  <c r="AI37" i="26" s="1"/>
  <c r="AD6" i="26"/>
  <c r="U6" i="26"/>
  <c r="E37" i="13"/>
  <c r="E36" i="13"/>
  <c r="A36" i="13"/>
  <c r="D35" i="13" s="1"/>
  <c r="D24" i="13"/>
  <c r="D23" i="13"/>
  <c r="D12" i="13"/>
  <c r="D11" i="13"/>
  <c r="G2" i="13"/>
  <c r="F2" i="13"/>
  <c r="E2" i="13"/>
  <c r="G1" i="13"/>
  <c r="F1" i="13"/>
  <c r="L116" i="12"/>
  <c r="D116" i="12"/>
  <c r="E115" i="12"/>
  <c r="L114" i="12"/>
  <c r="E114" i="12"/>
  <c r="D114" i="12"/>
  <c r="L113" i="12"/>
  <c r="E113" i="12"/>
  <c r="D113" i="12"/>
  <c r="L112" i="12"/>
  <c r="D112" i="12"/>
  <c r="L111" i="12"/>
  <c r="D111" i="12"/>
  <c r="L110" i="12"/>
  <c r="E110" i="12"/>
  <c r="D110" i="12"/>
  <c r="L109" i="12"/>
  <c r="D109" i="12"/>
  <c r="E108" i="12"/>
  <c r="L107" i="12"/>
  <c r="E107" i="12"/>
  <c r="D107" i="12"/>
  <c r="L106" i="12"/>
  <c r="E106" i="12"/>
  <c r="D106" i="12"/>
  <c r="E105" i="12"/>
  <c r="L104" i="12"/>
  <c r="D104" i="12"/>
  <c r="L103" i="12"/>
  <c r="E103" i="12"/>
  <c r="D103" i="12"/>
  <c r="L102" i="12"/>
  <c r="E102" i="12"/>
  <c r="D102" i="12"/>
  <c r="E101" i="12"/>
  <c r="L100" i="12"/>
  <c r="E100" i="12"/>
  <c r="D100" i="12"/>
  <c r="L99" i="12"/>
  <c r="E99" i="12"/>
  <c r="D99" i="12"/>
  <c r="E98" i="12"/>
  <c r="D98" i="12"/>
  <c r="L97" i="12"/>
  <c r="E97" i="12"/>
  <c r="D97" i="12"/>
  <c r="L96" i="12"/>
  <c r="E96" i="12"/>
  <c r="E95" i="12"/>
  <c r="E94" i="12"/>
  <c r="E93" i="12"/>
  <c r="D93" i="12"/>
  <c r="L92" i="12"/>
  <c r="E92" i="12"/>
  <c r="D92" i="12"/>
  <c r="L91" i="12"/>
  <c r="AA97" i="12" s="1"/>
  <c r="T97" i="12" s="1"/>
  <c r="E91" i="12"/>
  <c r="D91" i="12"/>
  <c r="E90" i="12"/>
  <c r="L89" i="12"/>
  <c r="E89" i="12"/>
  <c r="D89" i="12"/>
  <c r="L88" i="12"/>
  <c r="E88" i="12"/>
  <c r="D88" i="12"/>
  <c r="AA95" i="12" s="1"/>
  <c r="T95" i="12" s="1"/>
  <c r="M87" i="12"/>
  <c r="E87" i="12"/>
  <c r="L81" i="12"/>
  <c r="E81" i="12"/>
  <c r="D81" i="12"/>
  <c r="L80" i="12"/>
  <c r="E80" i="12"/>
  <c r="D80" i="12"/>
  <c r="L79" i="12"/>
  <c r="E79" i="12"/>
  <c r="D79" i="12"/>
  <c r="L78" i="12"/>
  <c r="E78" i="12"/>
  <c r="D78" i="12"/>
  <c r="L77" i="12"/>
  <c r="D77" i="12"/>
  <c r="L76" i="12"/>
  <c r="E76" i="12"/>
  <c r="D76" i="12"/>
  <c r="E75" i="12"/>
  <c r="D75" i="12"/>
  <c r="L74" i="12"/>
  <c r="E74" i="12"/>
  <c r="D74" i="12"/>
  <c r="L73" i="12"/>
  <c r="E73" i="12"/>
  <c r="D73" i="12"/>
  <c r="L72" i="12"/>
  <c r="E72" i="12"/>
  <c r="D72" i="12"/>
  <c r="L71" i="12"/>
  <c r="E71" i="12"/>
  <c r="D71" i="12"/>
  <c r="L70" i="12"/>
  <c r="E70" i="12"/>
  <c r="D70" i="12"/>
  <c r="L69" i="12"/>
  <c r="E69" i="12"/>
  <c r="D69" i="12"/>
  <c r="E68" i="12"/>
  <c r="D68" i="12"/>
  <c r="L67" i="12"/>
  <c r="E67" i="12"/>
  <c r="D67" i="12"/>
  <c r="L66" i="12"/>
  <c r="E66" i="12"/>
  <c r="D66" i="12"/>
  <c r="L65" i="12"/>
  <c r="E65" i="12"/>
  <c r="D65" i="12"/>
  <c r="L64" i="12"/>
  <c r="E64" i="12"/>
  <c r="D64" i="12"/>
  <c r="L63" i="12"/>
  <c r="D63" i="12"/>
  <c r="L62" i="12"/>
  <c r="E62" i="12"/>
  <c r="D62" i="12"/>
  <c r="E61" i="12"/>
  <c r="D61" i="12"/>
  <c r="L60" i="12"/>
  <c r="E60" i="12"/>
  <c r="D60" i="12"/>
  <c r="L59" i="12"/>
  <c r="E59" i="12"/>
  <c r="D59" i="12"/>
  <c r="L58" i="12"/>
  <c r="E58" i="12"/>
  <c r="D58" i="12"/>
  <c r="L57" i="12"/>
  <c r="E57" i="12"/>
  <c r="D57" i="12"/>
  <c r="L56" i="12"/>
  <c r="E56" i="12"/>
  <c r="D56" i="12"/>
  <c r="L55" i="12"/>
  <c r="AA62" i="12" s="1"/>
  <c r="T62" i="12" s="1"/>
  <c r="E55" i="12"/>
  <c r="D55" i="12"/>
  <c r="E54" i="12"/>
  <c r="D54" i="12"/>
  <c r="L53" i="12"/>
  <c r="E53" i="12"/>
  <c r="D53" i="12"/>
  <c r="L52" i="12"/>
  <c r="E52" i="12"/>
  <c r="D52" i="12"/>
  <c r="L51" i="12"/>
  <c r="E51" i="12"/>
  <c r="D51" i="12"/>
  <c r="M51" i="12" s="1"/>
  <c r="D37" i="12"/>
  <c r="AH36" i="12"/>
  <c r="AH37" i="12" s="1"/>
  <c r="X36" i="12"/>
  <c r="V36" i="12"/>
  <c r="L36" i="12"/>
  <c r="D36" i="12"/>
  <c r="AH35" i="12"/>
  <c r="X35" i="12"/>
  <c r="V35" i="12"/>
  <c r="F35" i="12"/>
  <c r="Y34" i="12"/>
  <c r="W34" i="12"/>
  <c r="T34" i="12"/>
  <c r="F34" i="12"/>
  <c r="U33" i="12"/>
  <c r="F33" i="12"/>
  <c r="U32" i="12"/>
  <c r="F32" i="12"/>
  <c r="U31" i="12"/>
  <c r="H31" i="12"/>
  <c r="E31" i="12"/>
  <c r="F31" i="12" s="1"/>
  <c r="Y30" i="12"/>
  <c r="Y36" i="12" s="1"/>
  <c r="V37" i="12" s="1"/>
  <c r="W30" i="12"/>
  <c r="T30" i="12"/>
  <c r="E112" i="12" s="1"/>
  <c r="F30" i="12"/>
  <c r="Y29" i="12"/>
  <c r="W29" i="12"/>
  <c r="T29" i="12"/>
  <c r="U29" i="12" s="1"/>
  <c r="F29" i="12"/>
  <c r="Y28" i="12"/>
  <c r="W28" i="12"/>
  <c r="U28" i="12"/>
  <c r="T28" i="12"/>
  <c r="F28" i="12"/>
  <c r="Y27" i="12"/>
  <c r="W27" i="12"/>
  <c r="T27" i="12"/>
  <c r="U27" i="12" s="1"/>
  <c r="F27" i="12"/>
  <c r="U26" i="12"/>
  <c r="F26" i="12"/>
  <c r="U25" i="12"/>
  <c r="F25" i="12"/>
  <c r="U24" i="12"/>
  <c r="H24" i="12"/>
  <c r="F24" i="12"/>
  <c r="E24" i="12"/>
  <c r="Y23" i="12"/>
  <c r="W23" i="12"/>
  <c r="U23" i="12"/>
  <c r="T23" i="12"/>
  <c r="F23" i="12"/>
  <c r="W22" i="12"/>
  <c r="U22" i="12"/>
  <c r="T22" i="12"/>
  <c r="E104" i="12" s="1"/>
  <c r="F22" i="12"/>
  <c r="W21" i="12"/>
  <c r="U21" i="12"/>
  <c r="T21" i="12"/>
  <c r="F21" i="12"/>
  <c r="W20" i="12"/>
  <c r="U20" i="12"/>
  <c r="T20" i="12"/>
  <c r="F20" i="12"/>
  <c r="U19" i="12"/>
  <c r="F19" i="12"/>
  <c r="U18" i="12"/>
  <c r="F18" i="12"/>
  <c r="U17" i="12"/>
  <c r="H17" i="12"/>
  <c r="E17" i="12"/>
  <c r="F17" i="12" s="1"/>
  <c r="U16" i="12"/>
  <c r="H16" i="12"/>
  <c r="E16" i="12"/>
  <c r="F16" i="12" s="1"/>
  <c r="U15" i="12"/>
  <c r="F15" i="12"/>
  <c r="U14" i="12"/>
  <c r="F14" i="12"/>
  <c r="U13" i="12"/>
  <c r="F13" i="12"/>
  <c r="U12" i="12"/>
  <c r="F12" i="12"/>
  <c r="U11" i="12"/>
  <c r="F11" i="12"/>
  <c r="U10" i="12"/>
  <c r="H10" i="12"/>
  <c r="E10" i="12"/>
  <c r="F10" i="12" s="1"/>
  <c r="U9" i="12"/>
  <c r="F9" i="12"/>
  <c r="U8" i="12"/>
  <c r="F8" i="12"/>
  <c r="U7" i="12"/>
  <c r="F7" i="12"/>
  <c r="U6" i="12"/>
  <c r="F6" i="12"/>
  <c r="U5" i="12"/>
  <c r="H5" i="12"/>
  <c r="E5" i="12"/>
  <c r="F5" i="12" s="1"/>
  <c r="F36" i="12" s="1"/>
  <c r="Y40" i="11"/>
  <c r="Y39" i="11"/>
  <c r="Z41" i="11" s="1"/>
  <c r="Y38" i="11"/>
  <c r="H38" i="11"/>
  <c r="F38" i="11"/>
  <c r="N37" i="11"/>
  <c r="H37" i="11"/>
  <c r="F37" i="11"/>
  <c r="E37" i="11"/>
  <c r="Y36" i="11"/>
  <c r="V36" i="11"/>
  <c r="I36" i="11"/>
  <c r="G36" i="11"/>
  <c r="J36" i="11" s="1"/>
  <c r="D36" i="11"/>
  <c r="Y35" i="11"/>
  <c r="V35" i="11"/>
  <c r="I35" i="11"/>
  <c r="I37" i="11" s="1"/>
  <c r="G35" i="11"/>
  <c r="J35" i="11" s="1"/>
  <c r="D35" i="11"/>
  <c r="Y34" i="11"/>
  <c r="V34" i="11"/>
  <c r="I34" i="11"/>
  <c r="G34" i="11"/>
  <c r="D34" i="11"/>
  <c r="V33" i="11"/>
  <c r="J33" i="11"/>
  <c r="Y32" i="11"/>
  <c r="V32" i="11"/>
  <c r="J32" i="11"/>
  <c r="D32" i="11"/>
  <c r="Y31" i="11"/>
  <c r="D31" i="11" s="1"/>
  <c r="V31" i="11"/>
  <c r="J31" i="11"/>
  <c r="Y30" i="11"/>
  <c r="V30" i="11"/>
  <c r="J30" i="11"/>
  <c r="D30" i="11"/>
  <c r="Y29" i="11"/>
  <c r="V29" i="11"/>
  <c r="J29" i="11"/>
  <c r="D29" i="11"/>
  <c r="Y28" i="11"/>
  <c r="V28" i="11"/>
  <c r="J28" i="11"/>
  <c r="D28" i="11"/>
  <c r="Y27" i="11"/>
  <c r="D27" i="11" s="1"/>
  <c r="V27" i="11"/>
  <c r="J27" i="11"/>
  <c r="V26" i="11"/>
  <c r="J26" i="11"/>
  <c r="Y25" i="11"/>
  <c r="V25" i="11"/>
  <c r="J25" i="11"/>
  <c r="D25" i="11"/>
  <c r="Y24" i="11"/>
  <c r="V24" i="11"/>
  <c r="J24" i="11"/>
  <c r="D24" i="11"/>
  <c r="Y23" i="11"/>
  <c r="D23" i="11" s="1"/>
  <c r="V23" i="11"/>
  <c r="J23" i="11"/>
  <c r="V22" i="11"/>
  <c r="J22" i="11"/>
  <c r="D22" i="11"/>
  <c r="Y21" i="11"/>
  <c r="D21" i="11" s="1"/>
  <c r="V21" i="11"/>
  <c r="J21" i="11"/>
  <c r="Y20" i="11"/>
  <c r="D20" i="11" s="1"/>
  <c r="V20" i="11"/>
  <c r="J20" i="11"/>
  <c r="V19" i="11"/>
  <c r="J19" i="11"/>
  <c r="V18" i="11"/>
  <c r="J18" i="11"/>
  <c r="D18" i="11"/>
  <c r="V17" i="11"/>
  <c r="J17" i="11"/>
  <c r="D17" i="11"/>
  <c r="V16" i="11"/>
  <c r="J16" i="11"/>
  <c r="D16" i="11"/>
  <c r="Y15" i="11"/>
  <c r="D15" i="11" s="1"/>
  <c r="V15" i="11"/>
  <c r="J15" i="11"/>
  <c r="Y14" i="11"/>
  <c r="V14" i="11"/>
  <c r="J14" i="11"/>
  <c r="D14" i="11"/>
  <c r="Y13" i="11"/>
  <c r="V13" i="11"/>
  <c r="J13" i="11"/>
  <c r="D13" i="11"/>
  <c r="V12" i="11"/>
  <c r="J12" i="11"/>
  <c r="V11" i="11"/>
  <c r="J11" i="11"/>
  <c r="D11" i="11"/>
  <c r="Y10" i="11"/>
  <c r="D10" i="11" s="1"/>
  <c r="V10" i="11"/>
  <c r="J10" i="11"/>
  <c r="Y9" i="11"/>
  <c r="V9" i="11"/>
  <c r="J9" i="11"/>
  <c r="D9" i="11"/>
  <c r="Y8" i="11"/>
  <c r="D8" i="11" s="1"/>
  <c r="V8" i="11"/>
  <c r="J8" i="11"/>
  <c r="Y7" i="11"/>
  <c r="D7" i="11" s="1"/>
  <c r="V7" i="11"/>
  <c r="J7" i="11"/>
  <c r="Y6" i="11"/>
  <c r="AA6" i="11" s="1"/>
  <c r="AA7" i="11" s="1"/>
  <c r="AA8" i="11" s="1"/>
  <c r="AA9" i="11" s="1"/>
  <c r="AA10" i="11" s="1"/>
  <c r="AA11" i="11" s="1"/>
  <c r="V6" i="11"/>
  <c r="J6" i="11"/>
  <c r="Z3" i="11"/>
  <c r="G1" i="11"/>
  <c r="F1" i="11"/>
  <c r="P74" i="9"/>
  <c r="O73" i="9"/>
  <c r="P73" i="9" s="1"/>
  <c r="E73" i="9"/>
  <c r="O72" i="9"/>
  <c r="P72" i="9" s="1"/>
  <c r="E72" i="9"/>
  <c r="O71" i="9"/>
  <c r="P71" i="9" s="1"/>
  <c r="E71" i="9"/>
  <c r="O70" i="9"/>
  <c r="P70" i="9" s="1"/>
  <c r="E70" i="9"/>
  <c r="P69" i="9"/>
  <c r="P68" i="9"/>
  <c r="P67" i="9"/>
  <c r="P66" i="9"/>
  <c r="P65" i="9"/>
  <c r="P64" i="9"/>
  <c r="P63" i="9"/>
  <c r="P62" i="9"/>
  <c r="P61" i="9"/>
  <c r="P60" i="9"/>
  <c r="D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D44" i="9"/>
  <c r="AB38" i="9"/>
  <c r="Y38" i="9"/>
  <c r="X38" i="9"/>
  <c r="S37" i="9"/>
  <c r="AL36" i="9"/>
  <c r="AI36" i="9"/>
  <c r="AF36" i="9"/>
  <c r="Y36" i="9"/>
  <c r="N36" i="9"/>
  <c r="AK35" i="9"/>
  <c r="AE35" i="9"/>
  <c r="AA35" i="9"/>
  <c r="AJ35" i="9" s="1"/>
  <c r="Z35" i="9"/>
  <c r="M35" i="9"/>
  <c r="N35" i="9" s="1"/>
  <c r="E35" i="9"/>
  <c r="AO34" i="9"/>
  <c r="AJ34" i="9"/>
  <c r="AE34" i="9"/>
  <c r="AA34" i="9"/>
  <c r="Z34" i="9"/>
  <c r="N34" i="9"/>
  <c r="M34" i="9"/>
  <c r="E34" i="9"/>
  <c r="AO33" i="9"/>
  <c r="AK33" i="9"/>
  <c r="AJ33" i="9"/>
  <c r="AE33" i="9"/>
  <c r="AA33" i="9"/>
  <c r="Z33" i="9"/>
  <c r="M33" i="9"/>
  <c r="M37" i="9" s="1"/>
  <c r="E33" i="9"/>
  <c r="F38" i="9" s="1"/>
  <c r="AO32" i="9"/>
  <c r="AE32" i="9"/>
  <c r="AA32" i="9"/>
  <c r="AJ32" i="9" s="1"/>
  <c r="Z32" i="9"/>
  <c r="N32" i="9"/>
  <c r="M32" i="9"/>
  <c r="E32" i="9"/>
  <c r="AO31" i="9"/>
  <c r="AK31" i="9"/>
  <c r="AE31" i="9"/>
  <c r="AA31" i="9"/>
  <c r="AJ31" i="9" s="1"/>
  <c r="Z31" i="9"/>
  <c r="N31" i="9"/>
  <c r="AO30" i="9"/>
  <c r="AE30" i="9"/>
  <c r="AA30" i="9"/>
  <c r="AJ30" i="9" s="1"/>
  <c r="Z30" i="9"/>
  <c r="N30" i="9"/>
  <c r="AO29" i="9"/>
  <c r="AJ29" i="9"/>
  <c r="AE29" i="9"/>
  <c r="AA29" i="9"/>
  <c r="Z29" i="9"/>
  <c r="N29" i="9"/>
  <c r="AO28" i="9"/>
  <c r="AE28" i="9"/>
  <c r="AA28" i="9"/>
  <c r="AJ28" i="9" s="1"/>
  <c r="Z28" i="9"/>
  <c r="N28" i="9"/>
  <c r="AO27" i="9"/>
  <c r="AE27" i="9"/>
  <c r="AA27" i="9"/>
  <c r="AJ27" i="9" s="1"/>
  <c r="AK27" i="9" s="1"/>
  <c r="Z27" i="9"/>
  <c r="N27" i="9"/>
  <c r="AO26" i="9"/>
  <c r="AE26" i="9"/>
  <c r="AA26" i="9"/>
  <c r="AJ26" i="9" s="1"/>
  <c r="Z26" i="9"/>
  <c r="N26" i="9"/>
  <c r="AO25" i="9"/>
  <c r="AE25" i="9"/>
  <c r="AA25" i="9"/>
  <c r="AJ25" i="9" s="1"/>
  <c r="Z25" i="9"/>
  <c r="N25" i="9"/>
  <c r="AO24" i="9"/>
  <c r="AE24" i="9"/>
  <c r="AA24" i="9"/>
  <c r="AJ24" i="9" s="1"/>
  <c r="Z24" i="9"/>
  <c r="N24" i="9"/>
  <c r="D24" i="9"/>
  <c r="AO23" i="9"/>
  <c r="AE23" i="9"/>
  <c r="AA23" i="9"/>
  <c r="AJ23" i="9" s="1"/>
  <c r="Z23" i="9"/>
  <c r="N23" i="9"/>
  <c r="AO22" i="9"/>
  <c r="AE22" i="9"/>
  <c r="AA22" i="9"/>
  <c r="AJ22" i="9" s="1"/>
  <c r="Z22" i="9"/>
  <c r="N22" i="9"/>
  <c r="AO21" i="9"/>
  <c r="AK21" i="9"/>
  <c r="AJ21" i="9"/>
  <c r="AE21" i="9"/>
  <c r="AA21" i="9"/>
  <c r="Z21" i="9"/>
  <c r="N21" i="9"/>
  <c r="AO20" i="9"/>
  <c r="AK20" i="9"/>
  <c r="AJ20" i="9"/>
  <c r="AE20" i="9"/>
  <c r="AA20" i="9"/>
  <c r="Z20" i="9"/>
  <c r="N20" i="9"/>
  <c r="AO19" i="9"/>
  <c r="AE19" i="9"/>
  <c r="AA19" i="9"/>
  <c r="AJ19" i="9" s="1"/>
  <c r="AK19" i="9" s="1"/>
  <c r="Z19" i="9"/>
  <c r="N19" i="9"/>
  <c r="AO18" i="9"/>
  <c r="AE18" i="9"/>
  <c r="AA18" i="9"/>
  <c r="AJ18" i="9" s="1"/>
  <c r="Z18" i="9"/>
  <c r="N18" i="9"/>
  <c r="AO17" i="9"/>
  <c r="AE17" i="9"/>
  <c r="AA17" i="9"/>
  <c r="AJ17" i="9" s="1"/>
  <c r="Z17" i="9"/>
  <c r="N17" i="9"/>
  <c r="AO16" i="9"/>
  <c r="AE16" i="9"/>
  <c r="AA16" i="9"/>
  <c r="AJ16" i="9" s="1"/>
  <c r="Z16" i="9"/>
  <c r="N16" i="9"/>
  <c r="BA15" i="9"/>
  <c r="AO15" i="9"/>
  <c r="AK15" i="9"/>
  <c r="AJ15" i="9"/>
  <c r="AE15" i="9"/>
  <c r="AA15" i="9"/>
  <c r="Z15" i="9"/>
  <c r="N15" i="9"/>
  <c r="AO14" i="9"/>
  <c r="AJ14" i="9"/>
  <c r="AE14" i="9"/>
  <c r="Z14" i="9"/>
  <c r="N14" i="9"/>
  <c r="AO13" i="9"/>
  <c r="AJ13" i="9"/>
  <c r="AE13" i="9"/>
  <c r="Z13" i="9"/>
  <c r="N13" i="9"/>
  <c r="BA12" i="9"/>
  <c r="BA16" i="9" s="1"/>
  <c r="AO12" i="9"/>
  <c r="AJ12" i="9"/>
  <c r="AK12" i="9" s="1"/>
  <c r="AE12" i="9"/>
  <c r="Z12" i="9"/>
  <c r="N12" i="9"/>
  <c r="L12" i="9"/>
  <c r="R12" i="9" s="1"/>
  <c r="D12" i="9"/>
  <c r="AO11" i="9"/>
  <c r="AK11" i="9"/>
  <c r="AJ11" i="9"/>
  <c r="AE11" i="9"/>
  <c r="N11" i="9"/>
  <c r="AO10" i="9"/>
  <c r="AJ10" i="9"/>
  <c r="AE10" i="9"/>
  <c r="Z10" i="9"/>
  <c r="N10" i="9"/>
  <c r="AO9" i="9"/>
  <c r="AK9" i="9"/>
  <c r="AJ9" i="9"/>
  <c r="AE9" i="9"/>
  <c r="Z9" i="9"/>
  <c r="N9" i="9"/>
  <c r="AW8" i="9"/>
  <c r="AO8" i="9"/>
  <c r="AK8" i="9"/>
  <c r="AJ8" i="9"/>
  <c r="AE8" i="9"/>
  <c r="Z8" i="9"/>
  <c r="N8" i="9"/>
  <c r="AO7" i="9"/>
  <c r="AK7" i="9"/>
  <c r="AJ7" i="9"/>
  <c r="AE7" i="9"/>
  <c r="Z7" i="9"/>
  <c r="T7" i="9"/>
  <c r="N7" i="9"/>
  <c r="AO6" i="9"/>
  <c r="AJ6" i="9"/>
  <c r="AE6" i="9"/>
  <c r="Z6" i="9"/>
  <c r="N6" i="9"/>
  <c r="BD5" i="9"/>
  <c r="AQ5" i="9"/>
  <c r="AL5" i="9"/>
  <c r="AI5" i="9"/>
  <c r="BD4" i="9"/>
  <c r="BB4" i="9"/>
  <c r="BC4" i="9" s="1"/>
  <c r="BC5" i="9" s="1"/>
  <c r="AQ2" i="9"/>
  <c r="J76" i="8"/>
  <c r="V75" i="8"/>
  <c r="N74" i="8"/>
  <c r="V74" i="8" s="1"/>
  <c r="K74" i="8"/>
  <c r="O74" i="8" s="1"/>
  <c r="Q74" i="8" s="1"/>
  <c r="J74" i="8"/>
  <c r="H74" i="8"/>
  <c r="O73" i="8"/>
  <c r="K73" i="8"/>
  <c r="H73" i="8"/>
  <c r="O72" i="8"/>
  <c r="K72" i="8"/>
  <c r="H72" i="8"/>
  <c r="O71" i="8"/>
  <c r="K71" i="8"/>
  <c r="J71" i="8"/>
  <c r="N71" i="8" s="1"/>
  <c r="H71" i="8"/>
  <c r="K70" i="8"/>
  <c r="O70" i="8" s="1"/>
  <c r="H70" i="8"/>
  <c r="O69" i="8"/>
  <c r="K69" i="8"/>
  <c r="H69" i="8"/>
  <c r="K68" i="8"/>
  <c r="O68" i="8" s="1"/>
  <c r="I68" i="8"/>
  <c r="L68" i="8" s="1"/>
  <c r="H68" i="8"/>
  <c r="K67" i="8"/>
  <c r="O67" i="8" s="1"/>
  <c r="J67" i="8"/>
  <c r="N67" i="8" s="1"/>
  <c r="H67" i="8"/>
  <c r="K66" i="8"/>
  <c r="O66" i="8" s="1"/>
  <c r="H66" i="8"/>
  <c r="O65" i="8"/>
  <c r="K65" i="8"/>
  <c r="H65" i="8"/>
  <c r="O64" i="8"/>
  <c r="K64" i="8"/>
  <c r="H64" i="8"/>
  <c r="O63" i="8"/>
  <c r="K63" i="8"/>
  <c r="J63" i="8"/>
  <c r="N63" i="8" s="1"/>
  <c r="I63" i="8"/>
  <c r="L63" i="8" s="1"/>
  <c r="P63" i="8" s="1"/>
  <c r="H63" i="8"/>
  <c r="N62" i="8"/>
  <c r="D62" i="9" s="1"/>
  <c r="K62" i="8"/>
  <c r="O62" i="8" s="1"/>
  <c r="H62" i="8"/>
  <c r="O61" i="8"/>
  <c r="N61" i="8"/>
  <c r="K61" i="8"/>
  <c r="H61" i="8"/>
  <c r="V60" i="8"/>
  <c r="N60" i="8"/>
  <c r="K60" i="8"/>
  <c r="O60" i="8" s="1"/>
  <c r="Q60" i="8" s="1"/>
  <c r="H60" i="8"/>
  <c r="K59" i="8"/>
  <c r="O59" i="8" s="1"/>
  <c r="H59" i="8"/>
  <c r="O58" i="8"/>
  <c r="K58" i="8"/>
  <c r="H58" i="8"/>
  <c r="K57" i="8"/>
  <c r="O57" i="8" s="1"/>
  <c r="H57" i="8"/>
  <c r="O56" i="8"/>
  <c r="K56" i="8"/>
  <c r="J56" i="8"/>
  <c r="N56" i="8" s="1"/>
  <c r="H56" i="8"/>
  <c r="N55" i="8"/>
  <c r="K55" i="8"/>
  <c r="O55" i="8" s="1"/>
  <c r="J55" i="8"/>
  <c r="H55" i="8"/>
  <c r="B55" i="8"/>
  <c r="K54" i="8"/>
  <c r="O54" i="8" s="1"/>
  <c r="H54" i="8"/>
  <c r="O53" i="8"/>
  <c r="N53" i="8"/>
  <c r="K53" i="8"/>
  <c r="J53" i="8"/>
  <c r="H53" i="8"/>
  <c r="K52" i="8"/>
  <c r="O52" i="8" s="1"/>
  <c r="H52" i="8"/>
  <c r="Q51" i="8"/>
  <c r="N51" i="8"/>
  <c r="K51" i="8"/>
  <c r="O51" i="8" s="1"/>
  <c r="J51" i="8"/>
  <c r="H51" i="8"/>
  <c r="K50" i="8"/>
  <c r="O50" i="8" s="1"/>
  <c r="J50" i="8"/>
  <c r="N50" i="8" s="1"/>
  <c r="H50" i="8"/>
  <c r="O49" i="8"/>
  <c r="K49" i="8"/>
  <c r="H49" i="8"/>
  <c r="B49" i="8"/>
  <c r="K48" i="8"/>
  <c r="O48" i="8" s="1"/>
  <c r="H48" i="8"/>
  <c r="K47" i="8"/>
  <c r="O47" i="8" s="1"/>
  <c r="H47" i="8"/>
  <c r="O46" i="8"/>
  <c r="N46" i="8"/>
  <c r="K46" i="8"/>
  <c r="J46" i="8"/>
  <c r="H46" i="8"/>
  <c r="O45" i="8"/>
  <c r="K45" i="8"/>
  <c r="H45" i="8"/>
  <c r="J37" i="8"/>
  <c r="O36" i="8"/>
  <c r="H36" i="8"/>
  <c r="O35" i="8"/>
  <c r="J35" i="8"/>
  <c r="N35" i="8" s="1"/>
  <c r="I35" i="8"/>
  <c r="L35" i="8" s="1"/>
  <c r="P35" i="8" s="1"/>
  <c r="H35" i="8"/>
  <c r="O34" i="8"/>
  <c r="H34" i="8"/>
  <c r="O33" i="8"/>
  <c r="H33" i="8"/>
  <c r="O32" i="8"/>
  <c r="N32" i="8"/>
  <c r="J32" i="8"/>
  <c r="H32" i="8"/>
  <c r="O31" i="8"/>
  <c r="Q31" i="8" s="1"/>
  <c r="J31" i="8"/>
  <c r="N31" i="8" s="1"/>
  <c r="D31" i="9" s="1"/>
  <c r="H31" i="8"/>
  <c r="O30" i="8"/>
  <c r="H30" i="8"/>
  <c r="O29" i="8"/>
  <c r="H29" i="8"/>
  <c r="O28" i="8"/>
  <c r="H28" i="8"/>
  <c r="O27" i="8"/>
  <c r="J27" i="8"/>
  <c r="N27" i="8" s="1"/>
  <c r="H27" i="8"/>
  <c r="O26" i="8"/>
  <c r="H26" i="8"/>
  <c r="O25" i="8"/>
  <c r="H25" i="8"/>
  <c r="V24" i="8"/>
  <c r="L24" i="9" s="1"/>
  <c r="R24" i="9" s="1"/>
  <c r="O24" i="8"/>
  <c r="N24" i="8"/>
  <c r="J24" i="8"/>
  <c r="H24" i="8"/>
  <c r="I24" i="8" s="1"/>
  <c r="L24" i="8" s="1"/>
  <c r="P24" i="8" s="1"/>
  <c r="O23" i="8"/>
  <c r="H23" i="8"/>
  <c r="O22" i="8"/>
  <c r="H22" i="8"/>
  <c r="O21" i="8"/>
  <c r="H21" i="8"/>
  <c r="O20" i="8"/>
  <c r="H20" i="8"/>
  <c r="O19" i="8"/>
  <c r="H19" i="8"/>
  <c r="O18" i="8"/>
  <c r="H18" i="8"/>
  <c r="V17" i="8"/>
  <c r="L17" i="9" s="1"/>
  <c r="R17" i="9" s="1"/>
  <c r="O17" i="8"/>
  <c r="N17" i="8"/>
  <c r="D17" i="9" s="1"/>
  <c r="J17" i="8"/>
  <c r="H17" i="8"/>
  <c r="O16" i="8"/>
  <c r="H16" i="8"/>
  <c r="C16" i="8"/>
  <c r="B16" i="8"/>
  <c r="O15" i="8"/>
  <c r="H15" i="8"/>
  <c r="C15" i="8"/>
  <c r="B15" i="8"/>
  <c r="O14" i="8"/>
  <c r="J14" i="8"/>
  <c r="N14" i="8" s="1"/>
  <c r="H14" i="8"/>
  <c r="V13" i="8"/>
  <c r="L13" i="9" s="1"/>
  <c r="R13" i="9" s="1"/>
  <c r="O13" i="8"/>
  <c r="N13" i="8"/>
  <c r="D13" i="9" s="1"/>
  <c r="H13" i="8"/>
  <c r="V12" i="8"/>
  <c r="O12" i="8"/>
  <c r="N12" i="8"/>
  <c r="H12" i="8"/>
  <c r="V11" i="8"/>
  <c r="L11" i="9" s="1"/>
  <c r="R11" i="9" s="1"/>
  <c r="O11" i="8"/>
  <c r="N11" i="8"/>
  <c r="H11" i="8"/>
  <c r="B11" i="8"/>
  <c r="O10" i="8"/>
  <c r="N10" i="8"/>
  <c r="J10" i="8"/>
  <c r="H10" i="8"/>
  <c r="C10" i="8"/>
  <c r="C11" i="8" s="1"/>
  <c r="Q13" i="8" s="1"/>
  <c r="B10" i="8"/>
  <c r="O9" i="8"/>
  <c r="H9" i="8"/>
  <c r="O8" i="8"/>
  <c r="H8" i="8"/>
  <c r="O7" i="8"/>
  <c r="H7" i="8"/>
  <c r="O6" i="8"/>
  <c r="H6" i="8"/>
  <c r="L37" i="6"/>
  <c r="K37" i="6"/>
  <c r="I37" i="6"/>
  <c r="H37" i="6"/>
  <c r="F37" i="6"/>
  <c r="S36" i="6"/>
  <c r="R36" i="6"/>
  <c r="S37" i="6" s="1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J14" i="6"/>
  <c r="J13" i="6"/>
  <c r="J12" i="6"/>
  <c r="J11" i="6"/>
  <c r="J10" i="6"/>
  <c r="J9" i="6"/>
  <c r="J8" i="6"/>
  <c r="J7" i="6"/>
  <c r="J6" i="6"/>
  <c r="J5" i="6"/>
  <c r="AL36" i="5"/>
  <c r="AZ35" i="5"/>
  <c r="AL35" i="5"/>
  <c r="J35" i="5"/>
  <c r="N35" i="5" s="1"/>
  <c r="H35" i="5"/>
  <c r="BA34" i="5"/>
  <c r="BF34" i="5" s="1"/>
  <c r="AZ34" i="5"/>
  <c r="AL34" i="5"/>
  <c r="H34" i="5"/>
  <c r="BA33" i="5"/>
  <c r="BF33" i="5" s="1"/>
  <c r="AZ33" i="5"/>
  <c r="AU33" i="5"/>
  <c r="AL33" i="5"/>
  <c r="J33" i="5"/>
  <c r="N33" i="5" s="1"/>
  <c r="H33" i="5"/>
  <c r="AZ32" i="5"/>
  <c r="AU32" i="5"/>
  <c r="AL32" i="5"/>
  <c r="BA32" i="5" s="1"/>
  <c r="BF32" i="5" s="1"/>
  <c r="H32" i="5"/>
  <c r="BA31" i="5"/>
  <c r="BF31" i="5" s="1"/>
  <c r="AZ31" i="5"/>
  <c r="AL31" i="5"/>
  <c r="H31" i="5"/>
  <c r="BA30" i="5"/>
  <c r="AZ30" i="5"/>
  <c r="BF30" i="5" s="1"/>
  <c r="AU30" i="5"/>
  <c r="AU34" i="5" s="1"/>
  <c r="AL30" i="5"/>
  <c r="H30" i="5"/>
  <c r="AZ29" i="5"/>
  <c r="BF29" i="5" s="1"/>
  <c r="AL29" i="5"/>
  <c r="BA29" i="5" s="1"/>
  <c r="H29" i="5"/>
  <c r="BA28" i="5"/>
  <c r="BF28" i="5" s="1"/>
  <c r="AZ28" i="5"/>
  <c r="AL28" i="5"/>
  <c r="H28" i="5"/>
  <c r="BA27" i="5"/>
  <c r="AZ27" i="5"/>
  <c r="BF27" i="5" s="1"/>
  <c r="AL27" i="5"/>
  <c r="H27" i="5"/>
  <c r="BA26" i="5"/>
  <c r="AZ26" i="5"/>
  <c r="BF26" i="5" s="1"/>
  <c r="AU26" i="5"/>
  <c r="AL26" i="5"/>
  <c r="J26" i="5"/>
  <c r="N26" i="5" s="1"/>
  <c r="H26" i="5"/>
  <c r="AZ25" i="5"/>
  <c r="AL25" i="5"/>
  <c r="BA25" i="5" s="1"/>
  <c r="H25" i="5"/>
  <c r="BA24" i="5"/>
  <c r="AU24" i="5"/>
  <c r="H24" i="5"/>
  <c r="BA23" i="5"/>
  <c r="BF23" i="5" s="1"/>
  <c r="AZ23" i="5"/>
  <c r="N23" i="5"/>
  <c r="H23" i="5"/>
  <c r="BA22" i="5"/>
  <c r="BF22" i="5" s="1"/>
  <c r="AZ22" i="5"/>
  <c r="AL22" i="5"/>
  <c r="H22" i="5"/>
  <c r="AZ21" i="5"/>
  <c r="BF21" i="5" s="1"/>
  <c r="AL21" i="5"/>
  <c r="BA21" i="5" s="1"/>
  <c r="N21" i="5"/>
  <c r="H21" i="5"/>
  <c r="BF20" i="5"/>
  <c r="AZ20" i="5"/>
  <c r="AL20" i="5"/>
  <c r="BA20" i="5" s="1"/>
  <c r="H20" i="5"/>
  <c r="AZ19" i="5"/>
  <c r="AU19" i="5"/>
  <c r="BF36" i="5" s="1"/>
  <c r="AL19" i="5"/>
  <c r="J19" i="5"/>
  <c r="N19" i="5" s="1"/>
  <c r="H19" i="5"/>
  <c r="AZ18" i="5"/>
  <c r="AL18" i="5"/>
  <c r="BA18" i="5" s="1"/>
  <c r="H18" i="5"/>
  <c r="AZ17" i="5"/>
  <c r="AL17" i="5"/>
  <c r="BA17" i="5" s="1"/>
  <c r="BF17" i="5" s="1"/>
  <c r="H17" i="5"/>
  <c r="BA16" i="5"/>
  <c r="AZ16" i="5"/>
  <c r="AL16" i="5"/>
  <c r="AF16" i="5"/>
  <c r="AF17" i="5" s="1"/>
  <c r="H16" i="5"/>
  <c r="C16" i="5"/>
  <c r="B16" i="5"/>
  <c r="AZ15" i="5"/>
  <c r="AL15" i="5"/>
  <c r="BA15" i="5" s="1"/>
  <c r="H15" i="5"/>
  <c r="C15" i="5"/>
  <c r="B15" i="5"/>
  <c r="AZ14" i="5"/>
  <c r="AU14" i="5"/>
  <c r="AL14" i="5"/>
  <c r="BA14" i="5" s="1"/>
  <c r="AF14" i="5"/>
  <c r="H14" i="5"/>
  <c r="BF13" i="5"/>
  <c r="BA13" i="5"/>
  <c r="AZ13" i="5"/>
  <c r="AL13" i="5"/>
  <c r="H13" i="5"/>
  <c r="BA12" i="5"/>
  <c r="AZ12" i="5"/>
  <c r="BF12" i="5" s="1"/>
  <c r="AL12" i="5"/>
  <c r="J12" i="5"/>
  <c r="N12" i="5" s="1"/>
  <c r="H12" i="5"/>
  <c r="BF11" i="5"/>
  <c r="BA11" i="5"/>
  <c r="AZ11" i="5"/>
  <c r="AL11" i="5"/>
  <c r="N11" i="5"/>
  <c r="J11" i="5"/>
  <c r="H11" i="5"/>
  <c r="BA10" i="5"/>
  <c r="AZ10" i="5"/>
  <c r="BF10" i="5" s="1"/>
  <c r="AU10" i="5"/>
  <c r="AL10" i="5"/>
  <c r="N10" i="5"/>
  <c r="J10" i="5"/>
  <c r="H10" i="5"/>
  <c r="B10" i="5"/>
  <c r="B11" i="5" s="1"/>
  <c r="AZ9" i="5"/>
  <c r="AL9" i="5"/>
  <c r="J9" i="5"/>
  <c r="N9" i="5" s="1"/>
  <c r="H9" i="5"/>
  <c r="AZ8" i="5"/>
  <c r="AL8" i="5"/>
  <c r="BA8" i="5" s="1"/>
  <c r="BF8" i="5" s="1"/>
  <c r="AF8" i="5"/>
  <c r="AF10" i="5" s="1"/>
  <c r="V8" i="5"/>
  <c r="H8" i="5"/>
  <c r="BA7" i="5"/>
  <c r="AZ7" i="5"/>
  <c r="BF7" i="5" s="1"/>
  <c r="AL7" i="5"/>
  <c r="H7" i="5"/>
  <c r="AZ6" i="5"/>
  <c r="AU6" i="5"/>
  <c r="AU7" i="5" s="1"/>
  <c r="AL6" i="5"/>
  <c r="H6" i="5"/>
  <c r="H51" i="3"/>
  <c r="F51" i="3" s="1"/>
  <c r="E51" i="3"/>
  <c r="H50" i="3"/>
  <c r="F50" i="3"/>
  <c r="E50" i="3"/>
  <c r="H49" i="3"/>
  <c r="F49" i="3"/>
  <c r="E49" i="3"/>
  <c r="H48" i="3"/>
  <c r="F48" i="3" s="1"/>
  <c r="E48" i="3"/>
  <c r="H47" i="3"/>
  <c r="F47" i="3" s="1"/>
  <c r="E47" i="3"/>
  <c r="H46" i="3"/>
  <c r="F46" i="3"/>
  <c r="E46" i="3"/>
  <c r="H45" i="3"/>
  <c r="F45" i="3"/>
  <c r="E45" i="3"/>
  <c r="H44" i="3"/>
  <c r="F44" i="3" s="1"/>
  <c r="E44" i="3"/>
  <c r="H43" i="3"/>
  <c r="F43" i="3"/>
  <c r="E43" i="3"/>
  <c r="H42" i="3"/>
  <c r="F42" i="3"/>
  <c r="E42" i="3"/>
  <c r="H41" i="3"/>
  <c r="F41" i="3"/>
  <c r="E41" i="3"/>
  <c r="H40" i="3"/>
  <c r="F40" i="3" s="1"/>
  <c r="E40" i="3"/>
  <c r="H39" i="3"/>
  <c r="F39" i="3" s="1"/>
  <c r="E39" i="3"/>
  <c r="H38" i="3"/>
  <c r="F38" i="3" s="1"/>
  <c r="E38" i="3"/>
  <c r="H37" i="3"/>
  <c r="F37" i="3" s="1"/>
  <c r="E37" i="3"/>
  <c r="U36" i="3"/>
  <c r="H36" i="3"/>
  <c r="F36" i="3"/>
  <c r="E36" i="3"/>
  <c r="AI35" i="3"/>
  <c r="U35" i="3"/>
  <c r="H35" i="3"/>
  <c r="F35" i="3" s="1"/>
  <c r="E35" i="3"/>
  <c r="AI34" i="3"/>
  <c r="U34" i="3"/>
  <c r="H34" i="3"/>
  <c r="F34" i="3"/>
  <c r="E34" i="3"/>
  <c r="AI33" i="3"/>
  <c r="U33" i="3"/>
  <c r="H33" i="3"/>
  <c r="F33" i="3"/>
  <c r="E33" i="3"/>
  <c r="AI32" i="3"/>
  <c r="AD32" i="3"/>
  <c r="U32" i="3"/>
  <c r="H32" i="3"/>
  <c r="F32" i="3"/>
  <c r="E32" i="3"/>
  <c r="AI31" i="3"/>
  <c r="U31" i="3"/>
  <c r="H31" i="3"/>
  <c r="F31" i="3" s="1"/>
  <c r="E31" i="3"/>
  <c r="AD30" i="3"/>
  <c r="U30" i="3"/>
  <c r="H30" i="3"/>
  <c r="F30" i="3" s="1"/>
  <c r="E30" i="3"/>
  <c r="U29" i="3"/>
  <c r="H29" i="3"/>
  <c r="F29" i="3" s="1"/>
  <c r="E29" i="3"/>
  <c r="AI28" i="3"/>
  <c r="U28" i="3"/>
  <c r="H28" i="3"/>
  <c r="F28" i="3"/>
  <c r="E28" i="3"/>
  <c r="AI27" i="3"/>
  <c r="U27" i="3"/>
  <c r="H27" i="3"/>
  <c r="F27" i="3" s="1"/>
  <c r="E27" i="3"/>
  <c r="AI26" i="3"/>
  <c r="U26" i="3"/>
  <c r="H26" i="3"/>
  <c r="F26" i="3"/>
  <c r="E26" i="3"/>
  <c r="AI25" i="3"/>
  <c r="U25" i="3"/>
  <c r="H25" i="3"/>
  <c r="F25" i="3"/>
  <c r="E25" i="3"/>
  <c r="AD24" i="3"/>
  <c r="AD26" i="3" s="1"/>
  <c r="H24" i="3"/>
  <c r="F24" i="3"/>
  <c r="E24" i="3"/>
  <c r="H23" i="3"/>
  <c r="F23" i="3" s="1"/>
  <c r="E23" i="3"/>
  <c r="U22" i="3"/>
  <c r="H22" i="3"/>
  <c r="F22" i="3" s="1"/>
  <c r="E22" i="3"/>
  <c r="AI21" i="3"/>
  <c r="U21" i="3"/>
  <c r="H21" i="3"/>
  <c r="F21" i="3" s="1"/>
  <c r="E21" i="3"/>
  <c r="AI20" i="3"/>
  <c r="U20" i="3"/>
  <c r="AI19" i="3"/>
  <c r="AD19" i="3"/>
  <c r="U19" i="3"/>
  <c r="AI18" i="3"/>
  <c r="U18" i="3"/>
  <c r="AI17" i="3"/>
  <c r="U17" i="3"/>
  <c r="O17" i="3"/>
  <c r="U16" i="3"/>
  <c r="O16" i="3"/>
  <c r="O18" i="3" s="1"/>
  <c r="U15" i="3"/>
  <c r="AI14" i="3"/>
  <c r="AD14" i="3"/>
  <c r="U14" i="3"/>
  <c r="O14" i="3"/>
  <c r="AI13" i="3"/>
  <c r="U13" i="3"/>
  <c r="AI12" i="3"/>
  <c r="U12" i="3"/>
  <c r="AI11" i="3"/>
  <c r="U11" i="3"/>
  <c r="AI10" i="3"/>
  <c r="AD10" i="3"/>
  <c r="U10" i="3"/>
  <c r="U9" i="3"/>
  <c r="U8" i="3"/>
  <c r="O8" i="3"/>
  <c r="O10" i="3" s="1"/>
  <c r="AI7" i="3"/>
  <c r="U7" i="3"/>
  <c r="AI6" i="3"/>
  <c r="AD6" i="3"/>
  <c r="AD7" i="3" s="1"/>
  <c r="U6" i="3"/>
  <c r="H51" i="2"/>
  <c r="F51" i="2" s="1"/>
  <c r="E51" i="2"/>
  <c r="H50" i="2"/>
  <c r="F50" i="2"/>
  <c r="E50" i="2"/>
  <c r="H49" i="2"/>
  <c r="F49" i="2" s="1"/>
  <c r="E49" i="2"/>
  <c r="H48" i="2"/>
  <c r="F48" i="2" s="1"/>
  <c r="E48" i="2"/>
  <c r="H47" i="2"/>
  <c r="F47" i="2"/>
  <c r="E47" i="2"/>
  <c r="H46" i="2"/>
  <c r="F46" i="2"/>
  <c r="E46" i="2"/>
  <c r="H45" i="2"/>
  <c r="F45" i="2" s="1"/>
  <c r="E45" i="2"/>
  <c r="H44" i="2"/>
  <c r="F44" i="2" s="1"/>
  <c r="E44" i="2"/>
  <c r="H43" i="2"/>
  <c r="F43" i="2"/>
  <c r="E43" i="2"/>
  <c r="H42" i="2"/>
  <c r="F42" i="2"/>
  <c r="E42" i="2"/>
  <c r="H41" i="2"/>
  <c r="F41" i="2" s="1"/>
  <c r="E41" i="2"/>
  <c r="H40" i="2"/>
  <c r="F40" i="2"/>
  <c r="E40" i="2"/>
  <c r="H39" i="2"/>
  <c r="F39" i="2"/>
  <c r="E39" i="2"/>
  <c r="H38" i="2"/>
  <c r="F38" i="2" s="1"/>
  <c r="E38" i="2"/>
  <c r="H37" i="2"/>
  <c r="F37" i="2"/>
  <c r="E37" i="2"/>
  <c r="U36" i="2"/>
  <c r="H36" i="2"/>
  <c r="F36" i="2"/>
  <c r="E36" i="2"/>
  <c r="U35" i="2"/>
  <c r="H35" i="2"/>
  <c r="F35" i="2"/>
  <c r="E35" i="2"/>
  <c r="U34" i="2"/>
  <c r="H34" i="2"/>
  <c r="F34" i="2"/>
  <c r="E34" i="2"/>
  <c r="AC33" i="2"/>
  <c r="U33" i="2"/>
  <c r="H33" i="2"/>
  <c r="F33" i="2"/>
  <c r="E33" i="2"/>
  <c r="AC32" i="2"/>
  <c r="U32" i="2"/>
  <c r="H32" i="2"/>
  <c r="F32" i="2"/>
  <c r="E32" i="2"/>
  <c r="U31" i="2"/>
  <c r="H31" i="2"/>
  <c r="F31" i="2" s="1"/>
  <c r="E31" i="2"/>
  <c r="AC30" i="2"/>
  <c r="U30" i="2"/>
  <c r="H30" i="2"/>
  <c r="F30" i="2" s="1"/>
  <c r="E30" i="2"/>
  <c r="U29" i="2"/>
  <c r="H29" i="2"/>
  <c r="F29" i="2" s="1"/>
  <c r="E29" i="2"/>
  <c r="U28" i="2"/>
  <c r="H28" i="2"/>
  <c r="F28" i="2" s="1"/>
  <c r="E28" i="2"/>
  <c r="U27" i="2"/>
  <c r="H27" i="2"/>
  <c r="F27" i="2"/>
  <c r="E27" i="2"/>
  <c r="U26" i="2"/>
  <c r="H26" i="2"/>
  <c r="F26" i="2"/>
  <c r="E26" i="2"/>
  <c r="U25" i="2"/>
  <c r="H25" i="2"/>
  <c r="F25" i="2"/>
  <c r="E25" i="2"/>
  <c r="AC24" i="2"/>
  <c r="AC26" i="2" s="1"/>
  <c r="H24" i="2"/>
  <c r="F24" i="2"/>
  <c r="E24" i="2"/>
  <c r="H23" i="2"/>
  <c r="F23" i="2" s="1"/>
  <c r="E23" i="2"/>
  <c r="AC20" i="2" s="1"/>
  <c r="AC25" i="2" s="1"/>
  <c r="U22" i="2"/>
  <c r="H22" i="2"/>
  <c r="F22" i="2"/>
  <c r="E22" i="2"/>
  <c r="U21" i="2"/>
  <c r="H21" i="2"/>
  <c r="F21" i="2" s="1"/>
  <c r="E21" i="2"/>
  <c r="U20" i="2"/>
  <c r="U19" i="2"/>
  <c r="U18" i="2"/>
  <c r="U17" i="2"/>
  <c r="U16" i="2"/>
  <c r="O16" i="2"/>
  <c r="O18" i="2" s="1"/>
  <c r="U15" i="2"/>
  <c r="U14" i="2"/>
  <c r="O14" i="2"/>
  <c r="U13" i="2"/>
  <c r="U12" i="2"/>
  <c r="U11" i="2"/>
  <c r="U10" i="2"/>
  <c r="U9" i="2"/>
  <c r="U8" i="2"/>
  <c r="O8" i="2"/>
  <c r="O10" i="2" s="1"/>
  <c r="AC7" i="2"/>
  <c r="AC8" i="2" s="1"/>
  <c r="AC9" i="2" s="1"/>
  <c r="U7" i="2"/>
  <c r="AC6" i="2"/>
  <c r="U6" i="2"/>
  <c r="AO2" i="2"/>
  <c r="AN2" i="2"/>
  <c r="G64" i="27" l="1"/>
  <c r="G96" i="27"/>
  <c r="G106" i="27"/>
  <c r="L88" i="27"/>
  <c r="N88" i="27" s="1"/>
  <c r="L80" i="27"/>
  <c r="N80" i="27" s="1"/>
  <c r="M52" i="12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G68" i="27"/>
  <c r="L81" i="27"/>
  <c r="N81" i="27" s="1"/>
  <c r="G85" i="27"/>
  <c r="L108" i="27"/>
  <c r="N108" i="27" s="1"/>
  <c r="G110" i="27"/>
  <c r="G66" i="27"/>
  <c r="G89" i="27"/>
  <c r="G82" i="27"/>
  <c r="AA60" i="12"/>
  <c r="T60" i="12" s="1"/>
  <c r="AC11" i="2"/>
  <c r="AC12" i="2" s="1"/>
  <c r="AC10" i="2"/>
  <c r="AC27" i="2"/>
  <c r="AI8" i="2"/>
  <c r="AL8" i="2" s="1"/>
  <c r="AI12" i="2"/>
  <c r="AJ12" i="2" s="1"/>
  <c r="AH12" i="2" s="1"/>
  <c r="AL12" i="2" s="1"/>
  <c r="AU8" i="5"/>
  <c r="AU9" i="5" s="1"/>
  <c r="AU11" i="5" s="1"/>
  <c r="AU12" i="5" s="1"/>
  <c r="AI35" i="2"/>
  <c r="AJ35" i="2" s="1"/>
  <c r="AH35" i="2" s="1"/>
  <c r="AL35" i="2" s="1"/>
  <c r="AI25" i="2"/>
  <c r="AJ25" i="2" s="1"/>
  <c r="AH25" i="2" s="1"/>
  <c r="AL25" i="2" s="1"/>
  <c r="AI9" i="2"/>
  <c r="AL9" i="2" s="1"/>
  <c r="Q9" i="5"/>
  <c r="AD8" i="3"/>
  <c r="AD9" i="3" s="1"/>
  <c r="AD11" i="3" s="1"/>
  <c r="AD12" i="3" s="1"/>
  <c r="AJ28" i="3"/>
  <c r="AO28" i="3" s="1"/>
  <c r="I28" i="5"/>
  <c r="L28" i="5" s="1"/>
  <c r="I33" i="5"/>
  <c r="L33" i="5" s="1"/>
  <c r="P33" i="5" s="1"/>
  <c r="I27" i="5"/>
  <c r="L27" i="5" s="1"/>
  <c r="I23" i="5"/>
  <c r="L23" i="5" s="1"/>
  <c r="P23" i="5" s="1"/>
  <c r="I17" i="5"/>
  <c r="L17" i="5" s="1"/>
  <c r="I14" i="5"/>
  <c r="L14" i="5" s="1"/>
  <c r="I12" i="5"/>
  <c r="L12" i="5" s="1"/>
  <c r="P12" i="5" s="1"/>
  <c r="I34" i="5"/>
  <c r="L34" i="5" s="1"/>
  <c r="I31" i="5"/>
  <c r="L31" i="5" s="1"/>
  <c r="I13" i="5"/>
  <c r="L13" i="5" s="1"/>
  <c r="I11" i="5"/>
  <c r="L11" i="5" s="1"/>
  <c r="P11" i="5" s="1"/>
  <c r="I7" i="5"/>
  <c r="L7" i="5" s="1"/>
  <c r="I10" i="5"/>
  <c r="L10" i="5" s="1"/>
  <c r="P10" i="5" s="1"/>
  <c r="I35" i="5"/>
  <c r="L35" i="5" s="1"/>
  <c r="P35" i="5" s="1"/>
  <c r="I32" i="5"/>
  <c r="L32" i="5" s="1"/>
  <c r="I29" i="5"/>
  <c r="L29" i="5" s="1"/>
  <c r="I24" i="5"/>
  <c r="L24" i="5" s="1"/>
  <c r="I21" i="5"/>
  <c r="L21" i="5" s="1"/>
  <c r="P21" i="5" s="1"/>
  <c r="I16" i="5"/>
  <c r="L16" i="5" s="1"/>
  <c r="I25" i="5"/>
  <c r="L25" i="5" s="1"/>
  <c r="I22" i="5"/>
  <c r="L22" i="5" s="1"/>
  <c r="P22" i="5" s="1"/>
  <c r="I26" i="5"/>
  <c r="L26" i="5" s="1"/>
  <c r="P26" i="5" s="1"/>
  <c r="Q26" i="5"/>
  <c r="Q33" i="5"/>
  <c r="Q56" i="8"/>
  <c r="D56" i="9"/>
  <c r="V56" i="8"/>
  <c r="AK30" i="9"/>
  <c r="O4" i="2"/>
  <c r="O9" i="2" s="1"/>
  <c r="X9" i="2" s="1"/>
  <c r="AI36" i="2"/>
  <c r="AL36" i="2" s="1"/>
  <c r="AJ9" i="3"/>
  <c r="AO9" i="3" s="1"/>
  <c r="AJ21" i="3"/>
  <c r="U37" i="3"/>
  <c r="I9" i="5"/>
  <c r="L9" i="5" s="1"/>
  <c r="P9" i="5" s="1"/>
  <c r="C10" i="5"/>
  <c r="C11" i="5" s="1"/>
  <c r="Q11" i="5" s="1"/>
  <c r="I15" i="5"/>
  <c r="L15" i="5" s="1"/>
  <c r="I18" i="5"/>
  <c r="L18" i="5" s="1"/>
  <c r="Q19" i="5"/>
  <c r="I20" i="5"/>
  <c r="L20" i="5" s="1"/>
  <c r="P20" i="5" s="1"/>
  <c r="V50" i="8"/>
  <c r="Q50" i="8"/>
  <c r="D50" i="9"/>
  <c r="I19" i="5"/>
  <c r="L19" i="5" s="1"/>
  <c r="P19" i="5" s="1"/>
  <c r="AI32" i="2"/>
  <c r="AJ32" i="2" s="1"/>
  <c r="AH32" i="2" s="1"/>
  <c r="AL32" i="2" s="1"/>
  <c r="AI34" i="2"/>
  <c r="AJ34" i="2" s="1"/>
  <c r="AH34" i="2" s="1"/>
  <c r="AL34" i="2" s="1"/>
  <c r="AJ17" i="3"/>
  <c r="AO17" i="3" s="1"/>
  <c r="AJ19" i="3"/>
  <c r="AO19" i="3" s="1"/>
  <c r="AJ35" i="3"/>
  <c r="I6" i="5"/>
  <c r="AF18" i="5"/>
  <c r="BA19" i="5"/>
  <c r="X8" i="2"/>
  <c r="U37" i="2"/>
  <c r="O17" i="2"/>
  <c r="V27" i="8"/>
  <c r="L27" i="9" s="1"/>
  <c r="R27" i="9" s="1"/>
  <c r="D27" i="9"/>
  <c r="Q27" i="8"/>
  <c r="AJ6" i="3"/>
  <c r="AJ12" i="3"/>
  <c r="AO12" i="3" s="1"/>
  <c r="AJ36" i="3"/>
  <c r="AO36" i="3" s="1"/>
  <c r="AI16" i="2"/>
  <c r="AL16" i="2" s="1"/>
  <c r="AI22" i="2"/>
  <c r="AL22" i="2" s="1"/>
  <c r="AC34" i="2"/>
  <c r="AD35" i="3"/>
  <c r="BA9" i="5"/>
  <c r="BF9" i="5" s="1"/>
  <c r="BF14" i="5"/>
  <c r="BF15" i="5"/>
  <c r="D10" i="9"/>
  <c r="V10" i="8"/>
  <c r="L10" i="9" s="1"/>
  <c r="R10" i="9" s="1"/>
  <c r="Q10" i="8"/>
  <c r="V14" i="8"/>
  <c r="L14" i="9" s="1"/>
  <c r="R14" i="9" s="1"/>
  <c r="D14" i="9"/>
  <c r="Q14" i="8"/>
  <c r="AJ11" i="3"/>
  <c r="AO11" i="3" s="1"/>
  <c r="AD34" i="3"/>
  <c r="AD33" i="3"/>
  <c r="AI37" i="3"/>
  <c r="AJ16" i="3"/>
  <c r="AO16" i="3" s="1"/>
  <c r="AD20" i="3"/>
  <c r="AD25" i="3" s="1"/>
  <c r="O4" i="3"/>
  <c r="O9" i="3" s="1"/>
  <c r="X29" i="3" s="1"/>
  <c r="AO35" i="3"/>
  <c r="BF16" i="5"/>
  <c r="BF18" i="5"/>
  <c r="BF19" i="5"/>
  <c r="BF25" i="5"/>
  <c r="I30" i="5"/>
  <c r="L30" i="5" s="1"/>
  <c r="D46" i="9"/>
  <c r="V46" i="8"/>
  <c r="Q46" i="8"/>
  <c r="AO21" i="3"/>
  <c r="X16" i="2"/>
  <c r="AJ18" i="3"/>
  <c r="AO18" i="3" s="1"/>
  <c r="AJ22" i="3"/>
  <c r="AO22" i="3" s="1"/>
  <c r="AJ29" i="3"/>
  <c r="AO29" i="3" s="1"/>
  <c r="AJ30" i="3"/>
  <c r="AO30" i="3" s="1"/>
  <c r="AL37" i="5"/>
  <c r="AM37" i="5" s="1"/>
  <c r="BA6" i="5"/>
  <c r="I8" i="5"/>
  <c r="L8" i="5" s="1"/>
  <c r="J68" i="8"/>
  <c r="P68" i="8"/>
  <c r="BA35" i="5"/>
  <c r="BF35" i="5" s="1"/>
  <c r="J37" i="6"/>
  <c r="D35" i="9"/>
  <c r="V35" i="8"/>
  <c r="L35" i="9" s="1"/>
  <c r="R35" i="9" s="1"/>
  <c r="Q35" i="8"/>
  <c r="C55" i="8"/>
  <c r="C31" i="8" s="1"/>
  <c r="D53" i="9"/>
  <c r="V53" i="8"/>
  <c r="Q53" i="8"/>
  <c r="AK24" i="9"/>
  <c r="B50" i="8"/>
  <c r="C49" i="8"/>
  <c r="C50" i="8" s="1"/>
  <c r="AK13" i="9"/>
  <c r="I69" i="8"/>
  <c r="L69" i="8" s="1"/>
  <c r="I64" i="8"/>
  <c r="L64" i="8" s="1"/>
  <c r="I55" i="8"/>
  <c r="L55" i="8" s="1"/>
  <c r="P55" i="8" s="1"/>
  <c r="I33" i="8"/>
  <c r="L33" i="8" s="1"/>
  <c r="I19" i="8"/>
  <c r="L19" i="8" s="1"/>
  <c r="I8" i="8"/>
  <c r="L8" i="8" s="1"/>
  <c r="I67" i="8"/>
  <c r="L67" i="8" s="1"/>
  <c r="P67" i="8" s="1"/>
  <c r="I66" i="8"/>
  <c r="L66" i="8" s="1"/>
  <c r="I62" i="8"/>
  <c r="L62" i="8" s="1"/>
  <c r="P62" i="8" s="1"/>
  <c r="I50" i="8"/>
  <c r="L50" i="8" s="1"/>
  <c r="P50" i="8" s="1"/>
  <c r="I47" i="8"/>
  <c r="L47" i="8" s="1"/>
  <c r="I34" i="8"/>
  <c r="L34" i="8" s="1"/>
  <c r="I27" i="8"/>
  <c r="L27" i="8" s="1"/>
  <c r="P27" i="8" s="1"/>
  <c r="I21" i="8"/>
  <c r="L21" i="8" s="1"/>
  <c r="P21" i="8" s="1"/>
  <c r="I16" i="8"/>
  <c r="L16" i="8" s="1"/>
  <c r="I13" i="8"/>
  <c r="L13" i="8" s="1"/>
  <c r="P13" i="8" s="1"/>
  <c r="I12" i="8"/>
  <c r="L12" i="8" s="1"/>
  <c r="P12" i="8" s="1"/>
  <c r="I11" i="8"/>
  <c r="L11" i="8" s="1"/>
  <c r="P11" i="8" s="1"/>
  <c r="I6" i="8"/>
  <c r="L6" i="8" s="1"/>
  <c r="I74" i="8"/>
  <c r="L74" i="8" s="1"/>
  <c r="P74" i="8" s="1"/>
  <c r="I32" i="8"/>
  <c r="L32" i="8" s="1"/>
  <c r="P32" i="8" s="1"/>
  <c r="I26" i="8"/>
  <c r="L26" i="8" s="1"/>
  <c r="I20" i="8"/>
  <c r="L20" i="8" s="1"/>
  <c r="P20" i="8" s="1"/>
  <c r="I73" i="8"/>
  <c r="L73" i="8" s="1"/>
  <c r="I65" i="8"/>
  <c r="L65" i="8" s="1"/>
  <c r="I61" i="8"/>
  <c r="L61" i="8" s="1"/>
  <c r="P61" i="8" s="1"/>
  <c r="I58" i="8"/>
  <c r="L58" i="8" s="1"/>
  <c r="I53" i="8"/>
  <c r="L53" i="8" s="1"/>
  <c r="P53" i="8" s="1"/>
  <c r="I46" i="8"/>
  <c r="L46" i="8" s="1"/>
  <c r="P46" i="8" s="1"/>
  <c r="I31" i="8"/>
  <c r="L31" i="8" s="1"/>
  <c r="P31" i="8" s="1"/>
  <c r="I72" i="8"/>
  <c r="L72" i="8" s="1"/>
  <c r="I49" i="8"/>
  <c r="L49" i="8" s="1"/>
  <c r="I25" i="8"/>
  <c r="L25" i="8" s="1"/>
  <c r="I18" i="8"/>
  <c r="L18" i="8" s="1"/>
  <c r="I57" i="8"/>
  <c r="L57" i="8" s="1"/>
  <c r="I52" i="8"/>
  <c r="L52" i="8" s="1"/>
  <c r="I45" i="8"/>
  <c r="L45" i="8" s="1"/>
  <c r="I30" i="8"/>
  <c r="L30" i="8" s="1"/>
  <c r="I15" i="8"/>
  <c r="L15" i="8" s="1"/>
  <c r="I71" i="8"/>
  <c r="L71" i="8" s="1"/>
  <c r="P71" i="8" s="1"/>
  <c r="I60" i="8"/>
  <c r="L60" i="8" s="1"/>
  <c r="P60" i="8" s="1"/>
  <c r="I29" i="8"/>
  <c r="L29" i="8" s="1"/>
  <c r="I9" i="8"/>
  <c r="L9" i="8" s="1"/>
  <c r="I22" i="8"/>
  <c r="L22" i="8" s="1"/>
  <c r="P22" i="8" s="1"/>
  <c r="I51" i="8"/>
  <c r="L51" i="8" s="1"/>
  <c r="P51" i="8" s="1"/>
  <c r="D61" i="9"/>
  <c r="V61" i="8"/>
  <c r="Q61" i="8"/>
  <c r="D63" i="9"/>
  <c r="Q63" i="8"/>
  <c r="D71" i="9"/>
  <c r="V71" i="8"/>
  <c r="AK26" i="9"/>
  <c r="I7" i="8"/>
  <c r="L7" i="8" s="1"/>
  <c r="Q24" i="8"/>
  <c r="I28" i="8"/>
  <c r="L28" i="8" s="1"/>
  <c r="I36" i="8"/>
  <c r="L36" i="8" s="1"/>
  <c r="I54" i="8"/>
  <c r="L54" i="8" s="1"/>
  <c r="AK16" i="9"/>
  <c r="Q12" i="8"/>
  <c r="V32" i="8"/>
  <c r="L32" i="9" s="1"/>
  <c r="R32" i="9" s="1"/>
  <c r="Q32" i="8"/>
  <c r="D32" i="9"/>
  <c r="Q55" i="8"/>
  <c r="D55" i="9"/>
  <c r="V55" i="8"/>
  <c r="D67" i="9"/>
  <c r="V67" i="8"/>
  <c r="Q67" i="8"/>
  <c r="AK28" i="9"/>
  <c r="I10" i="8"/>
  <c r="L10" i="8" s="1"/>
  <c r="P10" i="8" s="1"/>
  <c r="I17" i="8"/>
  <c r="L17" i="8" s="1"/>
  <c r="P17" i="8" s="1"/>
  <c r="I48" i="8"/>
  <c r="L48" i="8" s="1"/>
  <c r="V63" i="8"/>
  <c r="AK18" i="9"/>
  <c r="AK22" i="9"/>
  <c r="I14" i="8"/>
  <c r="L14" i="8" s="1"/>
  <c r="P14" i="8" s="1"/>
  <c r="I23" i="8"/>
  <c r="L23" i="8" s="1"/>
  <c r="P23" i="8" s="1"/>
  <c r="I56" i="8"/>
  <c r="L56" i="8" s="1"/>
  <c r="P56" i="8" s="1"/>
  <c r="I59" i="8"/>
  <c r="L59" i="8" s="1"/>
  <c r="P59" i="8" s="1"/>
  <c r="I70" i="8"/>
  <c r="L70" i="8" s="1"/>
  <c r="Q71" i="8"/>
  <c r="AK10" i="9"/>
  <c r="AA36" i="9"/>
  <c r="G37" i="11"/>
  <c r="Y45" i="11"/>
  <c r="J34" i="11"/>
  <c r="J37" i="11" s="1"/>
  <c r="M63" i="12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V35" i="26"/>
  <c r="T35" i="26" s="1"/>
  <c r="X35" i="26" s="1"/>
  <c r="V27" i="26"/>
  <c r="T27" i="26" s="1"/>
  <c r="X27" i="26" s="1"/>
  <c r="V24" i="26"/>
  <c r="V34" i="26"/>
  <c r="T34" i="26" s="1"/>
  <c r="X34" i="26" s="1"/>
  <c r="V31" i="26"/>
  <c r="T31" i="26" s="1"/>
  <c r="X31" i="26" s="1"/>
  <c r="V26" i="26"/>
  <c r="T26" i="26" s="1"/>
  <c r="X26" i="26" s="1"/>
  <c r="V20" i="26"/>
  <c r="T20" i="26" s="1"/>
  <c r="X20" i="26" s="1"/>
  <c r="V15" i="26"/>
  <c r="V13" i="26"/>
  <c r="T13" i="26" s="1"/>
  <c r="X13" i="26" s="1"/>
  <c r="V12" i="26"/>
  <c r="T12" i="26" s="1"/>
  <c r="X12" i="26" s="1"/>
  <c r="V11" i="26"/>
  <c r="T11" i="26" s="1"/>
  <c r="X11" i="26" s="1"/>
  <c r="V8" i="26"/>
  <c r="V36" i="26"/>
  <c r="V23" i="26"/>
  <c r="V19" i="26"/>
  <c r="T19" i="26" s="1"/>
  <c r="X19" i="26" s="1"/>
  <c r="V28" i="26"/>
  <c r="T28" i="26" s="1"/>
  <c r="X28" i="26" s="1"/>
  <c r="V17" i="26"/>
  <c r="T17" i="26" s="1"/>
  <c r="X17" i="26" s="1"/>
  <c r="V22" i="26"/>
  <c r="V21" i="26"/>
  <c r="T21" i="26" s="1"/>
  <c r="X21" i="26" s="1"/>
  <c r="V14" i="26"/>
  <c r="T14" i="26" s="1"/>
  <c r="X14" i="26" s="1"/>
  <c r="V33" i="26"/>
  <c r="T33" i="26" s="1"/>
  <c r="X33" i="26" s="1"/>
  <c r="V32" i="26"/>
  <c r="T32" i="26" s="1"/>
  <c r="X32" i="26" s="1"/>
  <c r="V30" i="26"/>
  <c r="V18" i="26"/>
  <c r="T18" i="26" s="1"/>
  <c r="X18" i="26" s="1"/>
  <c r="V9" i="26"/>
  <c r="V16" i="26"/>
  <c r="V25" i="26"/>
  <c r="T25" i="26" s="1"/>
  <c r="X25" i="26" s="1"/>
  <c r="V6" i="26"/>
  <c r="T6" i="26" s="1"/>
  <c r="V29" i="26"/>
  <c r="V10" i="26"/>
  <c r="T10" i="26" s="1"/>
  <c r="X10" i="26" s="1"/>
  <c r="V7" i="26"/>
  <c r="T7" i="26" s="1"/>
  <c r="X7" i="26" s="1"/>
  <c r="AM19" i="26"/>
  <c r="X30" i="26"/>
  <c r="X15" i="26"/>
  <c r="X23" i="26"/>
  <c r="X16" i="26"/>
  <c r="X24" i="26"/>
  <c r="Q11" i="8"/>
  <c r="P38" i="9"/>
  <c r="AK25" i="9"/>
  <c r="AK29" i="9"/>
  <c r="AK34" i="9"/>
  <c r="AJ33" i="26"/>
  <c r="AM33" i="26" s="1"/>
  <c r="V31" i="8"/>
  <c r="L31" i="9" s="1"/>
  <c r="R31" i="9" s="1"/>
  <c r="AK14" i="9"/>
  <c r="X22" i="26"/>
  <c r="C54" i="8"/>
  <c r="Q62" i="8"/>
  <c r="AJ5" i="9"/>
  <c r="AJ36" i="9"/>
  <c r="AP6" i="9"/>
  <c r="AP7" i="9" s="1"/>
  <c r="AP8" i="9" s="1"/>
  <c r="AP9" i="9" s="1"/>
  <c r="AP10" i="9" s="1"/>
  <c r="AP11" i="9" s="1"/>
  <c r="AP12" i="9" s="1"/>
  <c r="AP13" i="9" s="1"/>
  <c r="AP14" i="9" s="1"/>
  <c r="AP15" i="9" s="1"/>
  <c r="AP16" i="9" s="1"/>
  <c r="AP17" i="9" s="1"/>
  <c r="AP18" i="9" s="1"/>
  <c r="AP19" i="9" s="1"/>
  <c r="AP20" i="9" s="1"/>
  <c r="AP21" i="9" s="1"/>
  <c r="AP22" i="9" s="1"/>
  <c r="AP23" i="9" s="1"/>
  <c r="AP24" i="9" s="1"/>
  <c r="AP25" i="9" s="1"/>
  <c r="AP26" i="9" s="1"/>
  <c r="AP27" i="9" s="1"/>
  <c r="AP28" i="9" s="1"/>
  <c r="AP29" i="9" s="1"/>
  <c r="AP30" i="9" s="1"/>
  <c r="AP31" i="9" s="1"/>
  <c r="AP32" i="9" s="1"/>
  <c r="AP33" i="9" s="1"/>
  <c r="AP34" i="9" s="1"/>
  <c r="AP35" i="9" s="1"/>
  <c r="AK17" i="9"/>
  <c r="AK23" i="9"/>
  <c r="AJ11" i="26"/>
  <c r="AM11" i="26" s="1"/>
  <c r="N38" i="27"/>
  <c r="V51" i="8"/>
  <c r="D51" i="9"/>
  <c r="B54" i="8"/>
  <c r="V62" i="8"/>
  <c r="AK6" i="9"/>
  <c r="D11" i="9"/>
  <c r="AK32" i="9"/>
  <c r="Q17" i="8"/>
  <c r="AM6" i="9"/>
  <c r="E36" i="12"/>
  <c r="E37" i="12"/>
  <c r="F37" i="12" s="1"/>
  <c r="D6" i="13"/>
  <c r="D16" i="13"/>
  <c r="D29" i="13"/>
  <c r="U37" i="26"/>
  <c r="AD8" i="26"/>
  <c r="AD9" i="26" s="1"/>
  <c r="AD11" i="26" s="1"/>
  <c r="AD12" i="26" s="1"/>
  <c r="AJ19" i="26"/>
  <c r="M38" i="27"/>
  <c r="L45" i="27"/>
  <c r="N45" i="27" s="1"/>
  <c r="M49" i="27"/>
  <c r="L49" i="27"/>
  <c r="N49" i="27" s="1"/>
  <c r="L55" i="27"/>
  <c r="N55" i="27" s="1"/>
  <c r="G55" i="27"/>
  <c r="N59" i="27"/>
  <c r="O38" i="9"/>
  <c r="D6" i="11"/>
  <c r="E63" i="12"/>
  <c r="AB65" i="12" s="1"/>
  <c r="D7" i="13"/>
  <c r="D18" i="13"/>
  <c r="D31" i="13"/>
  <c r="AJ16" i="26"/>
  <c r="AM16" i="26" s="1"/>
  <c r="AJ28" i="26"/>
  <c r="AM28" i="26" s="1"/>
  <c r="M70" i="27"/>
  <c r="L70" i="27"/>
  <c r="N70" i="27" s="1"/>
  <c r="N33" i="9"/>
  <c r="N37" i="9" s="1"/>
  <c r="D74" i="9"/>
  <c r="D8" i="13"/>
  <c r="D19" i="13"/>
  <c r="D34" i="13"/>
  <c r="X9" i="26"/>
  <c r="AD20" i="26"/>
  <c r="AD25" i="26" s="1"/>
  <c r="H25" i="27"/>
  <c r="H26" i="27" s="1"/>
  <c r="H27" i="27" s="1"/>
  <c r="H28" i="27" s="1"/>
  <c r="H29" i="27" s="1"/>
  <c r="H30" i="27" s="1"/>
  <c r="H31" i="27" s="1"/>
  <c r="H32" i="27" s="1"/>
  <c r="H33" i="27" s="1"/>
  <c r="H34" i="27" s="1"/>
  <c r="H35" i="27" s="1"/>
  <c r="M40" i="27"/>
  <c r="L40" i="27"/>
  <c r="N40" i="27" s="1"/>
  <c r="L63" i="27"/>
  <c r="N63" i="27" s="1"/>
  <c r="G71" i="27"/>
  <c r="L71" i="27"/>
  <c r="N71" i="27" s="1"/>
  <c r="M38" i="9"/>
  <c r="Y39" i="9"/>
  <c r="V37" i="11"/>
  <c r="U30" i="12"/>
  <c r="E77" i="12"/>
  <c r="M88" i="12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E111" i="12"/>
  <c r="D10" i="13"/>
  <c r="D20" i="13"/>
  <c r="AJ18" i="26"/>
  <c r="AM18" i="26" s="1"/>
  <c r="L54" i="27"/>
  <c r="N54" i="27" s="1"/>
  <c r="G54" i="27"/>
  <c r="X37" i="12"/>
  <c r="D33" i="13"/>
  <c r="D25" i="13"/>
  <c r="D30" i="13"/>
  <c r="D22" i="13"/>
  <c r="D32" i="13"/>
  <c r="D21" i="13"/>
  <c r="D13" i="13"/>
  <c r="D5" i="13"/>
  <c r="D27" i="13"/>
  <c r="D17" i="13"/>
  <c r="D9" i="13"/>
  <c r="AJ30" i="26"/>
  <c r="AM30" i="26" s="1"/>
  <c r="M37" i="27"/>
  <c r="L37" i="27"/>
  <c r="N37" i="27" s="1"/>
  <c r="Y41" i="11"/>
  <c r="Y35" i="12"/>
  <c r="E109" i="12"/>
  <c r="AB100" i="12" s="1"/>
  <c r="AE7" i="26"/>
  <c r="AJ31" i="26"/>
  <c r="AM31" i="26" s="1"/>
  <c r="AJ36" i="26"/>
  <c r="AM36" i="26" s="1"/>
  <c r="X36" i="26"/>
  <c r="M44" i="27"/>
  <c r="L44" i="27"/>
  <c r="N44" i="27" s="1"/>
  <c r="G72" i="27"/>
  <c r="L72" i="27"/>
  <c r="N72" i="27" s="1"/>
  <c r="AM36" i="9"/>
  <c r="E38" i="9"/>
  <c r="D14" i="13"/>
  <c r="D26" i="13"/>
  <c r="AJ8" i="26"/>
  <c r="AM8" i="26" s="1"/>
  <c r="AJ22" i="26"/>
  <c r="AM22" i="26" s="1"/>
  <c r="AD33" i="26"/>
  <c r="N46" i="27"/>
  <c r="L48" i="27"/>
  <c r="M48" i="27"/>
  <c r="E116" i="12"/>
  <c r="U34" i="12"/>
  <c r="D15" i="13"/>
  <c r="D28" i="13"/>
  <c r="X8" i="26"/>
  <c r="AJ29" i="26"/>
  <c r="AM29" i="26" s="1"/>
  <c r="X29" i="26"/>
  <c r="AD35" i="26"/>
  <c r="AD36" i="26" s="1"/>
  <c r="AD37" i="26" s="1"/>
  <c r="N41" i="27"/>
  <c r="L53" i="27"/>
  <c r="N53" i="27" s="1"/>
  <c r="G53" i="27"/>
  <c r="L56" i="27"/>
  <c r="N56" i="27" s="1"/>
  <c r="M59" i="27"/>
  <c r="L51" i="27"/>
  <c r="N51" i="27" s="1"/>
  <c r="G51" i="27"/>
  <c r="AJ10" i="26"/>
  <c r="AM10" i="26" s="1"/>
  <c r="L65" i="27"/>
  <c r="N65" i="27" s="1"/>
  <c r="L69" i="27"/>
  <c r="N69" i="27" s="1"/>
  <c r="L74" i="27"/>
  <c r="N74" i="27" s="1"/>
  <c r="L76" i="27"/>
  <c r="N76" i="27" s="1"/>
  <c r="G78" i="27"/>
  <c r="M79" i="27"/>
  <c r="L79" i="27"/>
  <c r="N79" i="27" s="1"/>
  <c r="V28" i="28"/>
  <c r="V7" i="28"/>
  <c r="V5" i="28"/>
  <c r="T5" i="28" s="1"/>
  <c r="V35" i="28"/>
  <c r="V16" i="28"/>
  <c r="T16" i="28" s="1"/>
  <c r="X16" i="28" s="1"/>
  <c r="V29" i="28"/>
  <c r="V23" i="28"/>
  <c r="V20" i="28"/>
  <c r="T20" i="28" s="1"/>
  <c r="X20" i="28" s="1"/>
  <c r="V19" i="28"/>
  <c r="T19" i="28" s="1"/>
  <c r="X19" i="28" s="1"/>
  <c r="V14" i="28"/>
  <c r="V12" i="28"/>
  <c r="T12" i="28" s="1"/>
  <c r="X12" i="28" s="1"/>
  <c r="V10" i="28"/>
  <c r="T10" i="28" s="1"/>
  <c r="X10" i="28" s="1"/>
  <c r="V30" i="28"/>
  <c r="T30" i="28" s="1"/>
  <c r="X30" i="28" s="1"/>
  <c r="V24" i="28"/>
  <c r="T24" i="28" s="1"/>
  <c r="X24" i="28" s="1"/>
  <c r="V31" i="28"/>
  <c r="T31" i="28" s="1"/>
  <c r="X31" i="28" s="1"/>
  <c r="V25" i="28"/>
  <c r="T25" i="28" s="1"/>
  <c r="X25" i="28" s="1"/>
  <c r="V21" i="28"/>
  <c r="V17" i="28"/>
  <c r="T17" i="28" s="1"/>
  <c r="X17" i="28" s="1"/>
  <c r="V8" i="28"/>
  <c r="V6" i="28"/>
  <c r="T6" i="28" s="1"/>
  <c r="X6" i="28" s="1"/>
  <c r="V32" i="28"/>
  <c r="T32" i="28" s="1"/>
  <c r="X32" i="28" s="1"/>
  <c r="V26" i="28"/>
  <c r="T26" i="28" s="1"/>
  <c r="X26" i="28" s="1"/>
  <c r="V13" i="28"/>
  <c r="T13" i="28" s="1"/>
  <c r="X13" i="28" s="1"/>
  <c r="V33" i="28"/>
  <c r="T33" i="28" s="1"/>
  <c r="X33" i="28" s="1"/>
  <c r="V27" i="28"/>
  <c r="T27" i="28" s="1"/>
  <c r="X27" i="28" s="1"/>
  <c r="V15" i="28"/>
  <c r="V11" i="28"/>
  <c r="T11" i="28" s="1"/>
  <c r="X11" i="28" s="1"/>
  <c r="V34" i="28"/>
  <c r="T34" i="28" s="1"/>
  <c r="X34" i="28" s="1"/>
  <c r="V22" i="28"/>
  <c r="V18" i="28"/>
  <c r="T18" i="28" s="1"/>
  <c r="X18" i="28" s="1"/>
  <c r="V9" i="28"/>
  <c r="T9" i="28" s="1"/>
  <c r="X9" i="28" s="1"/>
  <c r="X23" i="28"/>
  <c r="X22" i="28"/>
  <c r="X28" i="28"/>
  <c r="X7" i="28"/>
  <c r="X14" i="28"/>
  <c r="X29" i="28"/>
  <c r="M86" i="27"/>
  <c r="L86" i="27"/>
  <c r="N86" i="27" s="1"/>
  <c r="X8" i="28"/>
  <c r="X15" i="28"/>
  <c r="L52" i="27"/>
  <c r="N52" i="27" s="1"/>
  <c r="G52" i="27"/>
  <c r="L67" i="27"/>
  <c r="N67" i="27" s="1"/>
  <c r="L73" i="27"/>
  <c r="N73" i="27" s="1"/>
  <c r="L75" i="27"/>
  <c r="N75" i="27" s="1"/>
  <c r="M93" i="27"/>
  <c r="L93" i="27"/>
  <c r="N93" i="27" s="1"/>
  <c r="L109" i="27"/>
  <c r="N109" i="27" s="1"/>
  <c r="L107" i="27"/>
  <c r="N107" i="27" s="1"/>
  <c r="L125" i="27"/>
  <c r="N125" i="27" s="1"/>
  <c r="G83" i="27"/>
  <c r="G90" i="27"/>
  <c r="G97" i="27"/>
  <c r="G111" i="27"/>
  <c r="L115" i="27"/>
  <c r="N115" i="27" s="1"/>
  <c r="L119" i="27"/>
  <c r="N119" i="27" s="1"/>
  <c r="L123" i="27"/>
  <c r="N123" i="27" s="1"/>
  <c r="T65" i="12" l="1"/>
  <c r="AA61" i="12"/>
  <c r="T61" i="12" s="1"/>
  <c r="T63" i="12" s="1"/>
  <c r="AA63" i="12" s="1"/>
  <c r="T100" i="12"/>
  <c r="AA96" i="12"/>
  <c r="T96" i="12" s="1"/>
  <c r="T98" i="12" s="1"/>
  <c r="AA98" i="12" s="1"/>
  <c r="P48" i="8"/>
  <c r="J48" i="8"/>
  <c r="J15" i="8"/>
  <c r="P15" i="8"/>
  <c r="P72" i="8"/>
  <c r="J72" i="8"/>
  <c r="P16" i="8"/>
  <c r="J16" i="8"/>
  <c r="AO6" i="3"/>
  <c r="AD16" i="3" s="1"/>
  <c r="AE16" i="3" s="1"/>
  <c r="AJ37" i="3"/>
  <c r="AE6" i="3" s="1"/>
  <c r="AE5" i="3" s="1"/>
  <c r="J13" i="5"/>
  <c r="P13" i="5"/>
  <c r="J30" i="8"/>
  <c r="P30" i="8"/>
  <c r="J26" i="8"/>
  <c r="P26" i="8"/>
  <c r="P8" i="8"/>
  <c r="J8" i="8"/>
  <c r="X15" i="3"/>
  <c r="X23" i="3"/>
  <c r="X24" i="3"/>
  <c r="X22" i="3"/>
  <c r="P18" i="5"/>
  <c r="J18" i="5"/>
  <c r="J24" i="5"/>
  <c r="P24" i="5"/>
  <c r="J31" i="5"/>
  <c r="P31" i="5"/>
  <c r="J28" i="5"/>
  <c r="P28" i="5"/>
  <c r="O18" i="28"/>
  <c r="O19" i="28" s="1"/>
  <c r="O20" i="28" s="1"/>
  <c r="T36" i="28"/>
  <c r="T37" i="28" s="1"/>
  <c r="X5" i="28"/>
  <c r="P54" i="8"/>
  <c r="J54" i="8"/>
  <c r="P45" i="8"/>
  <c r="J45" i="8"/>
  <c r="J19" i="8"/>
  <c r="P19" i="8"/>
  <c r="P15" i="5"/>
  <c r="J15" i="5"/>
  <c r="X24" i="2"/>
  <c r="X23" i="2"/>
  <c r="X29" i="2"/>
  <c r="X15" i="2"/>
  <c r="X30" i="2"/>
  <c r="J29" i="5"/>
  <c r="P29" i="5"/>
  <c r="J34" i="5"/>
  <c r="P34" i="5"/>
  <c r="AJ9" i="2"/>
  <c r="M109" i="12"/>
  <c r="M110" i="12" s="1"/>
  <c r="M111" i="12" s="1"/>
  <c r="M112" i="12" s="1"/>
  <c r="M113" i="12" s="1"/>
  <c r="M114" i="12" s="1"/>
  <c r="M115" i="12" s="1"/>
  <c r="M116" i="12" s="1"/>
  <c r="AJ15" i="26"/>
  <c r="AM15" i="26" s="1"/>
  <c r="AJ23" i="26"/>
  <c r="AM23" i="26" s="1"/>
  <c r="AJ12" i="26"/>
  <c r="AM12" i="26" s="1"/>
  <c r="AJ27" i="26"/>
  <c r="AM27" i="26" s="1"/>
  <c r="AJ26" i="26"/>
  <c r="AM26" i="26" s="1"/>
  <c r="AJ25" i="26"/>
  <c r="AM25" i="26" s="1"/>
  <c r="AJ24" i="26"/>
  <c r="AM24" i="26" s="1"/>
  <c r="AJ9" i="26"/>
  <c r="AM9" i="26" s="1"/>
  <c r="AJ14" i="26"/>
  <c r="AM14" i="26" s="1"/>
  <c r="AJ13" i="26"/>
  <c r="AM13" i="26" s="1"/>
  <c r="AJ7" i="26"/>
  <c r="AM7" i="26" s="1"/>
  <c r="AJ21" i="26"/>
  <c r="AM21" i="26" s="1"/>
  <c r="AJ35" i="26"/>
  <c r="AM35" i="26" s="1"/>
  <c r="AJ17" i="26"/>
  <c r="AM17" i="26" s="1"/>
  <c r="AJ34" i="26"/>
  <c r="AM34" i="26" s="1"/>
  <c r="AJ32" i="26"/>
  <c r="AM32" i="26" s="1"/>
  <c r="AJ20" i="26"/>
  <c r="AM20" i="26" s="1"/>
  <c r="P36" i="8"/>
  <c r="J36" i="8"/>
  <c r="J52" i="8"/>
  <c r="P52" i="8"/>
  <c r="P34" i="8"/>
  <c r="J34" i="8"/>
  <c r="J33" i="8"/>
  <c r="P33" i="8"/>
  <c r="P30" i="5"/>
  <c r="J30" i="5"/>
  <c r="X16" i="3"/>
  <c r="Q12" i="5"/>
  <c r="P32" i="5"/>
  <c r="J32" i="5"/>
  <c r="O11" i="2"/>
  <c r="AI30" i="2"/>
  <c r="AI33" i="2"/>
  <c r="AJ33" i="2" s="1"/>
  <c r="AH33" i="2" s="1"/>
  <c r="AL33" i="2" s="1"/>
  <c r="AI31" i="2"/>
  <c r="AJ31" i="2" s="1"/>
  <c r="AH31" i="2" s="1"/>
  <c r="AL31" i="2" s="1"/>
  <c r="AI23" i="2"/>
  <c r="AI6" i="2"/>
  <c r="AI21" i="2"/>
  <c r="AJ21" i="2" s="1"/>
  <c r="AH21" i="2" s="1"/>
  <c r="AL21" i="2" s="1"/>
  <c r="AI27" i="2"/>
  <c r="AJ27" i="2" s="1"/>
  <c r="AH27" i="2" s="1"/>
  <c r="AL27" i="2" s="1"/>
  <c r="AI7" i="2"/>
  <c r="AJ7" i="2" s="1"/>
  <c r="AH7" i="2" s="1"/>
  <c r="AL7" i="2" s="1"/>
  <c r="AI29" i="2"/>
  <c r="AI24" i="2"/>
  <c r="AI13" i="2"/>
  <c r="AJ13" i="2" s="1"/>
  <c r="AH13" i="2" s="1"/>
  <c r="AL13" i="2" s="1"/>
  <c r="AI20" i="2"/>
  <c r="AJ20" i="2" s="1"/>
  <c r="AH20" i="2" s="1"/>
  <c r="AL20" i="2" s="1"/>
  <c r="AI14" i="2"/>
  <c r="AJ14" i="2" s="1"/>
  <c r="AH14" i="2" s="1"/>
  <c r="AL14" i="2" s="1"/>
  <c r="AI26" i="2"/>
  <c r="AJ26" i="2" s="1"/>
  <c r="AH26" i="2" s="1"/>
  <c r="AL26" i="2" s="1"/>
  <c r="AI19" i="2"/>
  <c r="AJ19" i="2" s="1"/>
  <c r="AH19" i="2" s="1"/>
  <c r="AL19" i="2" s="1"/>
  <c r="AI18" i="2"/>
  <c r="AJ18" i="2" s="1"/>
  <c r="AH18" i="2" s="1"/>
  <c r="AL18" i="2" s="1"/>
  <c r="AI17" i="2"/>
  <c r="AJ17" i="2" s="1"/>
  <c r="AH17" i="2" s="1"/>
  <c r="AL17" i="2" s="1"/>
  <c r="AI15" i="2"/>
  <c r="AI11" i="2"/>
  <c r="AJ11" i="2" s="1"/>
  <c r="AH11" i="2" s="1"/>
  <c r="AL11" i="2" s="1"/>
  <c r="D36" i="13"/>
  <c r="P28" i="8"/>
  <c r="J28" i="8"/>
  <c r="P9" i="8"/>
  <c r="J9" i="8"/>
  <c r="J57" i="8"/>
  <c r="P57" i="8"/>
  <c r="J58" i="8"/>
  <c r="P58" i="8"/>
  <c r="J6" i="8"/>
  <c r="P6" i="8"/>
  <c r="J47" i="8"/>
  <c r="P47" i="8"/>
  <c r="P8" i="5"/>
  <c r="J8" i="5"/>
  <c r="Q23" i="5"/>
  <c r="Q35" i="5"/>
  <c r="Q21" i="5"/>
  <c r="P14" i="5"/>
  <c r="J14" i="5"/>
  <c r="Q10" i="5"/>
  <c r="AJ22" i="2"/>
  <c r="AJ6" i="26"/>
  <c r="AK36" i="9"/>
  <c r="Y44" i="11"/>
  <c r="Y43" i="11" s="1"/>
  <c r="AA41" i="11" s="1"/>
  <c r="AA38" i="11" s="1"/>
  <c r="Y46" i="11"/>
  <c r="J29" i="8"/>
  <c r="P29" i="8"/>
  <c r="J18" i="8"/>
  <c r="P18" i="8"/>
  <c r="J64" i="8"/>
  <c r="P64" i="8"/>
  <c r="BA37" i="5"/>
  <c r="AV6" i="5" s="1"/>
  <c r="AV5" i="5" s="1"/>
  <c r="O11" i="3"/>
  <c r="X8" i="3"/>
  <c r="AD36" i="3"/>
  <c r="AD37" i="3" s="1"/>
  <c r="BF6" i="5"/>
  <c r="AU16" i="5" s="1"/>
  <c r="AV16" i="5" s="1"/>
  <c r="X9" i="3"/>
  <c r="P17" i="5"/>
  <c r="J17" i="5"/>
  <c r="AJ31" i="3"/>
  <c r="AO31" i="3" s="1"/>
  <c r="AJ15" i="3"/>
  <c r="AO15" i="3" s="1"/>
  <c r="AJ7" i="3"/>
  <c r="AO7" i="3" s="1"/>
  <c r="AJ27" i="3"/>
  <c r="AO27" i="3" s="1"/>
  <c r="AJ26" i="3"/>
  <c r="AO26" i="3" s="1"/>
  <c r="AJ13" i="3"/>
  <c r="AO13" i="3" s="1"/>
  <c r="AJ34" i="3"/>
  <c r="AO34" i="3" s="1"/>
  <c r="AJ32" i="3"/>
  <c r="AO32" i="3" s="1"/>
  <c r="AJ23" i="3"/>
  <c r="AO23" i="3" s="1"/>
  <c r="AJ20" i="3"/>
  <c r="AO20" i="3" s="1"/>
  <c r="AJ8" i="3"/>
  <c r="AO8" i="3" s="1"/>
  <c r="AJ24" i="3"/>
  <c r="AO24" i="3" s="1"/>
  <c r="AJ10" i="3"/>
  <c r="AO10" i="3" s="1"/>
  <c r="AJ14" i="3"/>
  <c r="AO14" i="3" s="1"/>
  <c r="AJ33" i="3"/>
  <c r="AO33" i="3" s="1"/>
  <c r="AQ6" i="9"/>
  <c r="AM7" i="9"/>
  <c r="O19" i="26"/>
  <c r="O20" i="26" s="1"/>
  <c r="O21" i="26" s="1"/>
  <c r="T37" i="26"/>
  <c r="X6" i="26"/>
  <c r="P70" i="8"/>
  <c r="J70" i="8"/>
  <c r="P7" i="8"/>
  <c r="J7" i="8"/>
  <c r="J25" i="8"/>
  <c r="P25" i="8"/>
  <c r="J65" i="8"/>
  <c r="P65" i="8"/>
  <c r="P69" i="8"/>
  <c r="J69" i="8"/>
  <c r="X30" i="3"/>
  <c r="AE7" i="3"/>
  <c r="AF7" i="3" s="1"/>
  <c r="AF11" i="3" s="1"/>
  <c r="AF13" i="3" s="1"/>
  <c r="AJ38" i="3"/>
  <c r="X36" i="2"/>
  <c r="P25" i="5"/>
  <c r="J25" i="5"/>
  <c r="J7" i="5"/>
  <c r="P7" i="5"/>
  <c r="AI28" i="2"/>
  <c r="AJ28" i="2" s="1"/>
  <c r="AH28" i="2" s="1"/>
  <c r="AL28" i="2" s="1"/>
  <c r="AJ8" i="2"/>
  <c r="AJ16" i="2"/>
  <c r="N48" i="27"/>
  <c r="J49" i="8"/>
  <c r="P49" i="8"/>
  <c r="J73" i="8"/>
  <c r="P73" i="8"/>
  <c r="J66" i="8"/>
  <c r="P66" i="8"/>
  <c r="X36" i="3"/>
  <c r="X22" i="2"/>
  <c r="L6" i="5"/>
  <c r="AU20" i="5"/>
  <c r="AU25" i="5" s="1"/>
  <c r="AF4" i="5"/>
  <c r="AF9" i="5" s="1"/>
  <c r="J16" i="5"/>
  <c r="P16" i="5"/>
  <c r="P27" i="5"/>
  <c r="J27" i="5"/>
  <c r="AI10" i="2"/>
  <c r="AJ10" i="2" s="1"/>
  <c r="AH10" i="2" s="1"/>
  <c r="AL10" i="2" s="1"/>
  <c r="AJ36" i="2"/>
  <c r="AJ25" i="3"/>
  <c r="AO25" i="3" s="1"/>
  <c r="V31" i="2" l="1"/>
  <c r="T31" i="2" s="1"/>
  <c r="X31" i="2" s="1"/>
  <c r="V35" i="2"/>
  <c r="T35" i="2" s="1"/>
  <c r="X35" i="2" s="1"/>
  <c r="V33" i="2"/>
  <c r="T33" i="2" s="1"/>
  <c r="X33" i="2" s="1"/>
  <c r="V30" i="2"/>
  <c r="V29" i="2"/>
  <c r="V19" i="2"/>
  <c r="T19" i="2" s="1"/>
  <c r="X19" i="2" s="1"/>
  <c r="V20" i="2"/>
  <c r="T20" i="2" s="1"/>
  <c r="X20" i="2" s="1"/>
  <c r="V18" i="2"/>
  <c r="T18" i="2" s="1"/>
  <c r="X18" i="2" s="1"/>
  <c r="V17" i="2"/>
  <c r="T17" i="2" s="1"/>
  <c r="X17" i="2" s="1"/>
  <c r="V15" i="2"/>
  <c r="V7" i="2"/>
  <c r="T7" i="2" s="1"/>
  <c r="X7" i="2" s="1"/>
  <c r="V26" i="2"/>
  <c r="T26" i="2" s="1"/>
  <c r="X26" i="2" s="1"/>
  <c r="V11" i="2"/>
  <c r="T11" i="2" s="1"/>
  <c r="X11" i="2" s="1"/>
  <c r="V16" i="2"/>
  <c r="V13" i="2"/>
  <c r="T13" i="2" s="1"/>
  <c r="X13" i="2" s="1"/>
  <c r="V34" i="2"/>
  <c r="T34" i="2" s="1"/>
  <c r="X34" i="2" s="1"/>
  <c r="V32" i="2"/>
  <c r="T32" i="2" s="1"/>
  <c r="X32" i="2" s="1"/>
  <c r="V21" i="2"/>
  <c r="T21" i="2" s="1"/>
  <c r="X21" i="2" s="1"/>
  <c r="V10" i="2"/>
  <c r="T10" i="2" s="1"/>
  <c r="X10" i="2" s="1"/>
  <c r="V12" i="2"/>
  <c r="T12" i="2" s="1"/>
  <c r="X12" i="2" s="1"/>
  <c r="V6" i="2"/>
  <c r="T6" i="2" s="1"/>
  <c r="V27" i="2"/>
  <c r="T27" i="2" s="1"/>
  <c r="X27" i="2" s="1"/>
  <c r="V24" i="2"/>
  <c r="V14" i="2"/>
  <c r="T14" i="2" s="1"/>
  <c r="X14" i="2" s="1"/>
  <c r="V28" i="2"/>
  <c r="T28" i="2" s="1"/>
  <c r="X28" i="2" s="1"/>
  <c r="V25" i="2"/>
  <c r="T25" i="2" s="1"/>
  <c r="X25" i="2" s="1"/>
  <c r="V23" i="2"/>
  <c r="V36" i="2"/>
  <c r="V9" i="2"/>
  <c r="V8" i="2"/>
  <c r="T38" i="26"/>
  <c r="AD13" i="26"/>
  <c r="V35" i="3"/>
  <c r="T35" i="3" s="1"/>
  <c r="X35" i="3" s="1"/>
  <c r="V27" i="3"/>
  <c r="T27" i="3" s="1"/>
  <c r="X27" i="3" s="1"/>
  <c r="V24" i="3"/>
  <c r="V6" i="3"/>
  <c r="T6" i="3" s="1"/>
  <c r="V32" i="3"/>
  <c r="T32" i="3" s="1"/>
  <c r="X32" i="3" s="1"/>
  <c r="V34" i="3"/>
  <c r="T34" i="3" s="1"/>
  <c r="X34" i="3" s="1"/>
  <c r="V31" i="3"/>
  <c r="T31" i="3" s="1"/>
  <c r="X31" i="3" s="1"/>
  <c r="V26" i="3"/>
  <c r="T26" i="3" s="1"/>
  <c r="X26" i="3" s="1"/>
  <c r="V20" i="3"/>
  <c r="T20" i="3" s="1"/>
  <c r="X20" i="3" s="1"/>
  <c r="V15" i="3"/>
  <c r="V19" i="3"/>
  <c r="T19" i="3" s="1"/>
  <c r="X19" i="3" s="1"/>
  <c r="V18" i="3"/>
  <c r="T18" i="3" s="1"/>
  <c r="X18" i="3" s="1"/>
  <c r="V17" i="3"/>
  <c r="T17" i="3" s="1"/>
  <c r="X17" i="3" s="1"/>
  <c r="V13" i="3"/>
  <c r="T13" i="3" s="1"/>
  <c r="X13" i="3" s="1"/>
  <c r="V12" i="3"/>
  <c r="T12" i="3" s="1"/>
  <c r="X12" i="3" s="1"/>
  <c r="V16" i="3"/>
  <c r="V8" i="3"/>
  <c r="V14" i="3"/>
  <c r="T14" i="3" s="1"/>
  <c r="X14" i="3" s="1"/>
  <c r="V30" i="3"/>
  <c r="V11" i="3"/>
  <c r="T11" i="3" s="1"/>
  <c r="X11" i="3" s="1"/>
  <c r="V21" i="3"/>
  <c r="T21" i="3" s="1"/>
  <c r="X21" i="3" s="1"/>
  <c r="V9" i="3"/>
  <c r="V22" i="3"/>
  <c r="V10" i="3"/>
  <c r="T10" i="3" s="1"/>
  <c r="X10" i="3" s="1"/>
  <c r="V23" i="3"/>
  <c r="V29" i="3"/>
  <c r="V36" i="3"/>
  <c r="V33" i="3"/>
  <c r="T33" i="3" s="1"/>
  <c r="X33" i="3" s="1"/>
  <c r="V28" i="3"/>
  <c r="T28" i="3" s="1"/>
  <c r="X28" i="3" s="1"/>
  <c r="V25" i="3"/>
  <c r="T25" i="3" s="1"/>
  <c r="X25" i="3" s="1"/>
  <c r="V7" i="3"/>
  <c r="T7" i="3" s="1"/>
  <c r="X7" i="3" s="1"/>
  <c r="C17" i="8"/>
  <c r="C18" i="8" s="1"/>
  <c r="C20" i="8" s="1"/>
  <c r="C21" i="8" s="1"/>
  <c r="C22" i="8" s="1"/>
  <c r="B17" i="8"/>
  <c r="B18" i="8" s="1"/>
  <c r="AI37" i="2"/>
  <c r="AD6" i="2" s="1"/>
  <c r="AD5" i="2" s="1"/>
  <c r="AJ6" i="2"/>
  <c r="AH6" i="2" s="1"/>
  <c r="AQ7" i="9"/>
  <c r="AM8" i="9"/>
  <c r="J6" i="5"/>
  <c r="P6" i="5"/>
  <c r="Y12" i="11"/>
  <c r="Y33" i="11"/>
  <c r="D33" i="11" s="1"/>
  <c r="Y26" i="11"/>
  <c r="D26" i="11" s="1"/>
  <c r="Y19" i="11"/>
  <c r="D19" i="11" s="1"/>
  <c r="AL23" i="2"/>
  <c r="AJ23" i="2"/>
  <c r="AO23" i="5"/>
  <c r="AO26" i="5"/>
  <c r="AO22" i="5"/>
  <c r="AO12" i="5"/>
  <c r="AO33" i="5"/>
  <c r="AO11" i="5"/>
  <c r="AO35" i="5"/>
  <c r="AO21" i="5"/>
  <c r="AF11" i="5"/>
  <c r="AO19" i="5"/>
  <c r="AO9" i="5"/>
  <c r="AO10" i="5"/>
  <c r="AO36" i="5"/>
  <c r="AJ37" i="26"/>
  <c r="AM6" i="26"/>
  <c r="AD16" i="26" s="1"/>
  <c r="AE16" i="26" s="1"/>
  <c r="AL15" i="2"/>
  <c r="AJ15" i="2"/>
  <c r="AL24" i="2"/>
  <c r="AJ24" i="2"/>
  <c r="AL29" i="2"/>
  <c r="AJ29" i="2"/>
  <c r="AL30" i="2"/>
  <c r="AJ30" i="2"/>
  <c r="C56" i="8"/>
  <c r="C57" i="8" s="1"/>
  <c r="C59" i="8" s="1"/>
  <c r="C60" i="8" s="1"/>
  <c r="C61" i="8" s="1"/>
  <c r="B56" i="8"/>
  <c r="B57" i="8" s="1"/>
  <c r="D12" i="11" l="1"/>
  <c r="Y3" i="11"/>
  <c r="Z2" i="11" s="1"/>
  <c r="AA12" i="11"/>
  <c r="AA13" i="11" s="1"/>
  <c r="AA14" i="11" s="1"/>
  <c r="AA15" i="11" s="1"/>
  <c r="AA16" i="11" s="1"/>
  <c r="AA17" i="11" s="1"/>
  <c r="AA18" i="11" s="1"/>
  <c r="AA19" i="11" s="1"/>
  <c r="AA20" i="11" s="1"/>
  <c r="AA21" i="11" s="1"/>
  <c r="AA22" i="11" s="1"/>
  <c r="AA23" i="11" s="1"/>
  <c r="AA24" i="11" s="1"/>
  <c r="AA25" i="11" s="1"/>
  <c r="AA26" i="11" s="1"/>
  <c r="AA27" i="11" s="1"/>
  <c r="AA28" i="11" s="1"/>
  <c r="AA29" i="11" s="1"/>
  <c r="AA30" i="11" s="1"/>
  <c r="AA31" i="11" s="1"/>
  <c r="AA32" i="11" s="1"/>
  <c r="AA33" i="11" s="1"/>
  <c r="AA34" i="11" s="1"/>
  <c r="AA35" i="11" s="1"/>
  <c r="AA36" i="11" s="1"/>
  <c r="M73" i="8"/>
  <c r="N73" i="8" s="1"/>
  <c r="M65" i="8"/>
  <c r="N65" i="8" s="1"/>
  <c r="M63" i="8"/>
  <c r="M50" i="8"/>
  <c r="M46" i="8"/>
  <c r="M28" i="8"/>
  <c r="N28" i="8" s="1"/>
  <c r="M14" i="8"/>
  <c r="M71" i="8"/>
  <c r="M72" i="8"/>
  <c r="N72" i="8" s="1"/>
  <c r="M57" i="8"/>
  <c r="N57" i="8" s="1"/>
  <c r="M52" i="8"/>
  <c r="N52" i="8" s="1"/>
  <c r="M49" i="8"/>
  <c r="N49" i="8" s="1"/>
  <c r="M45" i="8"/>
  <c r="N45" i="8" s="1"/>
  <c r="M19" i="8"/>
  <c r="N19" i="8" s="1"/>
  <c r="M10" i="8"/>
  <c r="M64" i="8"/>
  <c r="N64" i="8" s="1"/>
  <c r="M30" i="8"/>
  <c r="N30" i="8" s="1"/>
  <c r="M25" i="8"/>
  <c r="N25" i="8" s="1"/>
  <c r="M18" i="8"/>
  <c r="N18" i="8" s="1"/>
  <c r="M15" i="8"/>
  <c r="N15" i="8" s="1"/>
  <c r="M70" i="8"/>
  <c r="N70" i="8" s="1"/>
  <c r="M60" i="8"/>
  <c r="M51" i="8"/>
  <c r="M69" i="8"/>
  <c r="N69" i="8" s="1"/>
  <c r="M54" i="8"/>
  <c r="N54" i="8" s="1"/>
  <c r="M48" i="8"/>
  <c r="N48" i="8" s="1"/>
  <c r="M29" i="8"/>
  <c r="N29" i="8" s="1"/>
  <c r="M24" i="8"/>
  <c r="M17" i="8"/>
  <c r="M8" i="8"/>
  <c r="N8" i="8" s="1"/>
  <c r="M59" i="8"/>
  <c r="N59" i="8" s="1"/>
  <c r="M56" i="8"/>
  <c r="M36" i="8"/>
  <c r="N36" i="8" s="1"/>
  <c r="M35" i="8"/>
  <c r="M23" i="8"/>
  <c r="N23" i="8" s="1"/>
  <c r="M74" i="8"/>
  <c r="M68" i="8"/>
  <c r="N68" i="8" s="1"/>
  <c r="M67" i="8"/>
  <c r="M66" i="8"/>
  <c r="N66" i="8" s="1"/>
  <c r="M62" i="8"/>
  <c r="M47" i="8"/>
  <c r="N47" i="8" s="1"/>
  <c r="M34" i="8"/>
  <c r="N34" i="8" s="1"/>
  <c r="M27" i="8"/>
  <c r="M6" i="8"/>
  <c r="N6" i="8" s="1"/>
  <c r="M9" i="8"/>
  <c r="N9" i="8" s="1"/>
  <c r="M11" i="8"/>
  <c r="M26" i="8"/>
  <c r="N26" i="8" s="1"/>
  <c r="M7" i="8"/>
  <c r="N7" i="8" s="1"/>
  <c r="M55" i="8"/>
  <c r="M32" i="8"/>
  <c r="M22" i="8"/>
  <c r="N22" i="8" s="1"/>
  <c r="M12" i="8"/>
  <c r="M58" i="8"/>
  <c r="N58" i="8" s="1"/>
  <c r="M20" i="8"/>
  <c r="N20" i="8" s="1"/>
  <c r="M16" i="8"/>
  <c r="N16" i="8" s="1"/>
  <c r="M61" i="8"/>
  <c r="M13" i="8"/>
  <c r="M33" i="8"/>
  <c r="N33" i="8" s="1"/>
  <c r="M31" i="8"/>
  <c r="M53" i="8"/>
  <c r="M21" i="8"/>
  <c r="N21" i="8" s="1"/>
  <c r="AM29" i="5"/>
  <c r="AK29" i="5" s="1"/>
  <c r="AO29" i="5" s="1"/>
  <c r="AM34" i="5"/>
  <c r="AK34" i="5" s="1"/>
  <c r="AO34" i="5" s="1"/>
  <c r="AM33" i="5"/>
  <c r="AM27" i="5"/>
  <c r="AK27" i="5" s="1"/>
  <c r="AO27" i="5" s="1"/>
  <c r="AM13" i="5"/>
  <c r="AK13" i="5" s="1"/>
  <c r="AO13" i="5" s="1"/>
  <c r="AM12" i="5"/>
  <c r="AM11" i="5"/>
  <c r="AM7" i="5"/>
  <c r="AK7" i="5" s="1"/>
  <c r="AO7" i="5" s="1"/>
  <c r="AM31" i="5"/>
  <c r="AK31" i="5" s="1"/>
  <c r="AO31" i="5" s="1"/>
  <c r="AM6" i="5"/>
  <c r="AK6" i="5" s="1"/>
  <c r="AM28" i="5"/>
  <c r="AK28" i="5" s="1"/>
  <c r="AO28" i="5" s="1"/>
  <c r="AM23" i="5"/>
  <c r="AM16" i="5"/>
  <c r="AK16" i="5" s="1"/>
  <c r="AO16" i="5" s="1"/>
  <c r="AM10" i="5"/>
  <c r="AM32" i="5"/>
  <c r="AK32" i="5" s="1"/>
  <c r="AO32" i="5" s="1"/>
  <c r="AM21" i="5"/>
  <c r="AM20" i="5"/>
  <c r="AK20" i="5" s="1"/>
  <c r="AO20" i="5" s="1"/>
  <c r="AM18" i="5"/>
  <c r="AK18" i="5" s="1"/>
  <c r="AO18" i="5" s="1"/>
  <c r="AM15" i="5"/>
  <c r="AK15" i="5" s="1"/>
  <c r="AO15" i="5" s="1"/>
  <c r="AM9" i="5"/>
  <c r="AM8" i="5"/>
  <c r="AK8" i="5" s="1"/>
  <c r="AO8" i="5" s="1"/>
  <c r="AM35" i="5"/>
  <c r="AM25" i="5"/>
  <c r="AK25" i="5" s="1"/>
  <c r="AO25" i="5" s="1"/>
  <c r="AM24" i="5"/>
  <c r="AK24" i="5" s="1"/>
  <c r="AM22" i="5"/>
  <c r="AM17" i="5"/>
  <c r="AK17" i="5" s="1"/>
  <c r="AO17" i="5" s="1"/>
  <c r="AM14" i="5"/>
  <c r="AK14" i="5" s="1"/>
  <c r="AO14" i="5" s="1"/>
  <c r="AM19" i="5"/>
  <c r="AM26" i="5"/>
  <c r="AM30" i="5"/>
  <c r="AK30" i="5" s="1"/>
  <c r="AO30" i="5" s="1"/>
  <c r="C17" i="5"/>
  <c r="C18" i="5" s="1"/>
  <c r="C20" i="5" s="1"/>
  <c r="C21" i="5" s="1"/>
  <c r="C22" i="5" s="1"/>
  <c r="B17" i="5"/>
  <c r="B18" i="5" s="1"/>
  <c r="AQ8" i="9"/>
  <c r="AM9" i="9"/>
  <c r="O19" i="2"/>
  <c r="O20" i="2" s="1"/>
  <c r="O21" i="2" s="1"/>
  <c r="X6" i="2"/>
  <c r="T37" i="2"/>
  <c r="T37" i="3"/>
  <c r="X6" i="3"/>
  <c r="O19" i="3"/>
  <c r="O20" i="3" s="1"/>
  <c r="O21" i="3" s="1"/>
  <c r="AE6" i="26"/>
  <c r="AE5" i="26" s="1"/>
  <c r="AJ38" i="26"/>
  <c r="AL6" i="2"/>
  <c r="AC16" i="2" s="1"/>
  <c r="AD16" i="2" s="1"/>
  <c r="AC35" i="2"/>
  <c r="AC36" i="2" s="1"/>
  <c r="AC37" i="2" s="1"/>
  <c r="AH37" i="2"/>
  <c r="AD7" i="2" s="1"/>
  <c r="AZ24" i="5" l="1"/>
  <c r="AO24" i="5"/>
  <c r="V21" i="8"/>
  <c r="L21" i="9" s="1"/>
  <c r="R21" i="9" s="1"/>
  <c r="Q21" i="8"/>
  <c r="D21" i="9"/>
  <c r="V58" i="8"/>
  <c r="Q58" i="8"/>
  <c r="D58" i="9"/>
  <c r="D9" i="9"/>
  <c r="V9" i="8"/>
  <c r="L9" i="9" s="1"/>
  <c r="R9" i="9" s="1"/>
  <c r="Q9" i="8"/>
  <c r="D68" i="9"/>
  <c r="V68" i="8"/>
  <c r="Q68" i="8"/>
  <c r="Q70" i="8"/>
  <c r="D70" i="9"/>
  <c r="V70" i="8"/>
  <c r="D45" i="9"/>
  <c r="V45" i="8"/>
  <c r="Q45" i="8"/>
  <c r="C64" i="8"/>
  <c r="V6" i="8"/>
  <c r="L6" i="9" s="1"/>
  <c r="Q6" i="8"/>
  <c r="C25" i="8"/>
  <c r="D6" i="9"/>
  <c r="Q15" i="8"/>
  <c r="V15" i="8"/>
  <c r="L15" i="9" s="1"/>
  <c r="R15" i="9" s="1"/>
  <c r="D15" i="9"/>
  <c r="V49" i="8"/>
  <c r="D49" i="9"/>
  <c r="Q49" i="8"/>
  <c r="D22" i="9"/>
  <c r="V22" i="8"/>
  <c r="L22" i="9" s="1"/>
  <c r="R22" i="9" s="1"/>
  <c r="Q22" i="8"/>
  <c r="V23" i="8"/>
  <c r="L23" i="9" s="1"/>
  <c r="R23" i="9" s="1"/>
  <c r="D23" i="9"/>
  <c r="Q23" i="8"/>
  <c r="D29" i="9"/>
  <c r="V29" i="8"/>
  <c r="L29" i="9" s="1"/>
  <c r="R29" i="9" s="1"/>
  <c r="Q29" i="8"/>
  <c r="V18" i="8"/>
  <c r="L18" i="9" s="1"/>
  <c r="R18" i="9" s="1"/>
  <c r="Q18" i="8"/>
  <c r="D18" i="9"/>
  <c r="D52" i="9"/>
  <c r="V52" i="8"/>
  <c r="Q52" i="8"/>
  <c r="M33" i="5"/>
  <c r="M32" i="5"/>
  <c r="N32" i="5" s="1"/>
  <c r="Q32" i="5" s="1"/>
  <c r="M28" i="5"/>
  <c r="N28" i="5" s="1"/>
  <c r="Q28" i="5" s="1"/>
  <c r="M10" i="5"/>
  <c r="M35" i="5"/>
  <c r="M24" i="5"/>
  <c r="N24" i="5" s="1"/>
  <c r="Q24" i="5" s="1"/>
  <c r="M16" i="5"/>
  <c r="N16" i="5" s="1"/>
  <c r="Q16" i="5" s="1"/>
  <c r="M29" i="5"/>
  <c r="N29" i="5" s="1"/>
  <c r="Q29" i="5" s="1"/>
  <c r="M25" i="5"/>
  <c r="N25" i="5" s="1"/>
  <c r="Q25" i="5" s="1"/>
  <c r="M21" i="5"/>
  <c r="M15" i="5"/>
  <c r="N15" i="5" s="1"/>
  <c r="Q15" i="5" s="1"/>
  <c r="M9" i="5"/>
  <c r="M26" i="5"/>
  <c r="M20" i="5"/>
  <c r="N20" i="5" s="1"/>
  <c r="Q20" i="5" s="1"/>
  <c r="M19" i="5"/>
  <c r="M18" i="5"/>
  <c r="N18" i="5" s="1"/>
  <c r="Q18" i="5" s="1"/>
  <c r="M22" i="5"/>
  <c r="N22" i="5" s="1"/>
  <c r="Q22" i="5" s="1"/>
  <c r="M8" i="5"/>
  <c r="N8" i="5" s="1"/>
  <c r="Q8" i="5" s="1"/>
  <c r="M30" i="5"/>
  <c r="N30" i="5" s="1"/>
  <c r="Q30" i="5" s="1"/>
  <c r="M27" i="5"/>
  <c r="N27" i="5" s="1"/>
  <c r="Q27" i="5" s="1"/>
  <c r="M23" i="5"/>
  <c r="M34" i="5"/>
  <c r="N34" i="5" s="1"/>
  <c r="Q34" i="5" s="1"/>
  <c r="M14" i="5"/>
  <c r="N14" i="5" s="1"/>
  <c r="Q14" i="5" s="1"/>
  <c r="M11" i="5"/>
  <c r="M6" i="5"/>
  <c r="N6" i="5" s="1"/>
  <c r="M31" i="5"/>
  <c r="N31" i="5" s="1"/>
  <c r="Q31" i="5" s="1"/>
  <c r="M7" i="5"/>
  <c r="N7" i="5" s="1"/>
  <c r="Q7" i="5" s="1"/>
  <c r="M17" i="5"/>
  <c r="N17" i="5" s="1"/>
  <c r="Q17" i="5" s="1"/>
  <c r="M13" i="5"/>
  <c r="N13" i="5" s="1"/>
  <c r="Q13" i="5" s="1"/>
  <c r="M12" i="5"/>
  <c r="T38" i="3"/>
  <c r="AD13" i="3"/>
  <c r="U38" i="2"/>
  <c r="T38" i="2"/>
  <c r="AC13" i="2"/>
  <c r="V33" i="8"/>
  <c r="L33" i="9" s="1"/>
  <c r="R33" i="9" s="1"/>
  <c r="D33" i="9"/>
  <c r="Q33" i="8"/>
  <c r="D34" i="9"/>
  <c r="V34" i="8"/>
  <c r="L34" i="9" s="1"/>
  <c r="R34" i="9" s="1"/>
  <c r="Q34" i="8"/>
  <c r="Q48" i="8"/>
  <c r="D48" i="9"/>
  <c r="V48" i="8"/>
  <c r="D25" i="9"/>
  <c r="V25" i="8"/>
  <c r="L25" i="9" s="1"/>
  <c r="R25" i="9" s="1"/>
  <c r="Q25" i="8"/>
  <c r="D57" i="9"/>
  <c r="V57" i="8"/>
  <c r="Q57" i="8"/>
  <c r="D65" i="9"/>
  <c r="V65" i="8"/>
  <c r="Q65" i="8"/>
  <c r="V47" i="8"/>
  <c r="D47" i="9"/>
  <c r="Q47" i="8"/>
  <c r="Q36" i="8"/>
  <c r="D36" i="9"/>
  <c r="V36" i="8"/>
  <c r="L36" i="9" s="1"/>
  <c r="R36" i="9" s="1"/>
  <c r="Q54" i="8"/>
  <c r="D54" i="9"/>
  <c r="V54" i="8"/>
  <c r="D30" i="9"/>
  <c r="Q30" i="8"/>
  <c r="V30" i="8"/>
  <c r="L30" i="9" s="1"/>
  <c r="R30" i="9" s="1"/>
  <c r="D72" i="9"/>
  <c r="V72" i="8"/>
  <c r="Q72" i="8"/>
  <c r="D73" i="9"/>
  <c r="Q73" i="8"/>
  <c r="V73" i="8"/>
  <c r="Q64" i="8"/>
  <c r="V64" i="8"/>
  <c r="D64" i="9"/>
  <c r="Q69" i="8"/>
  <c r="V69" i="8"/>
  <c r="D69" i="9"/>
  <c r="AQ9" i="9"/>
  <c r="AM10" i="9"/>
  <c r="AO6" i="5"/>
  <c r="AK37" i="5"/>
  <c r="AF19" i="5"/>
  <c r="AF20" i="5" s="1"/>
  <c r="AF21" i="5" s="1"/>
  <c r="V16" i="8"/>
  <c r="L16" i="9" s="1"/>
  <c r="R16" i="9" s="1"/>
  <c r="D16" i="9"/>
  <c r="Q16" i="8"/>
  <c r="Q26" i="8"/>
  <c r="D26" i="9"/>
  <c r="V26" i="8"/>
  <c r="L26" i="9" s="1"/>
  <c r="R26" i="9" s="1"/>
  <c r="V66" i="8"/>
  <c r="Q66" i="8"/>
  <c r="D66" i="9"/>
  <c r="Q59" i="8"/>
  <c r="D59" i="9"/>
  <c r="V59" i="8"/>
  <c r="Q7" i="8"/>
  <c r="V7" i="8"/>
  <c r="L7" i="9" s="1"/>
  <c r="R7" i="9" s="1"/>
  <c r="D7" i="9"/>
  <c r="D20" i="9"/>
  <c r="V20" i="8"/>
  <c r="L20" i="9" s="1"/>
  <c r="R20" i="9" s="1"/>
  <c r="Q20" i="8"/>
  <c r="V8" i="8"/>
  <c r="L8" i="9" s="1"/>
  <c r="R8" i="9" s="1"/>
  <c r="D8" i="9"/>
  <c r="Q8" i="8"/>
  <c r="V19" i="8"/>
  <c r="L19" i="9" s="1"/>
  <c r="R19" i="9" s="1"/>
  <c r="D19" i="9"/>
  <c r="Q19" i="8"/>
  <c r="Q28" i="8"/>
  <c r="D28" i="9"/>
  <c r="V28" i="8"/>
  <c r="L28" i="9" s="1"/>
  <c r="R28" i="9" s="1"/>
  <c r="D37" i="11"/>
  <c r="D38" i="11"/>
  <c r="D16" i="8" l="1"/>
  <c r="C26" i="8"/>
  <c r="D25" i="8"/>
  <c r="Q6" i="5"/>
  <c r="C23" i="5" s="1"/>
  <c r="C25" i="5"/>
  <c r="C26" i="5" s="1"/>
  <c r="C23" i="8"/>
  <c r="AL38" i="5"/>
  <c r="AK38" i="5"/>
  <c r="AU13" i="5"/>
  <c r="R6" i="9"/>
  <c r="L38" i="9"/>
  <c r="M39" i="9" s="1"/>
  <c r="AM11" i="9"/>
  <c r="AQ10" i="9"/>
  <c r="C65" i="8"/>
  <c r="D55" i="8"/>
  <c r="C62" i="8"/>
  <c r="D38" i="9"/>
  <c r="E39" i="9" s="1"/>
  <c r="BF24" i="5"/>
  <c r="AZ37" i="5"/>
  <c r="AU35" i="5"/>
  <c r="AU36" i="5" s="1"/>
  <c r="AU37" i="5" s="1"/>
  <c r="AQ11" i="9" l="1"/>
  <c r="AM12" i="9"/>
  <c r="BA38" i="5"/>
  <c r="AV7" i="5"/>
  <c r="AW7" i="5" s="1"/>
  <c r="AW11" i="5" s="1"/>
  <c r="AW13" i="5" s="1"/>
  <c r="AQ12" i="9" l="1"/>
  <c r="AM13" i="9"/>
  <c r="AQ13" i="9" l="1"/>
  <c r="AM14" i="9"/>
  <c r="AQ14" i="9" l="1"/>
  <c r="AM15" i="9"/>
  <c r="AQ15" i="9" l="1"/>
  <c r="AM16" i="9"/>
  <c r="AQ16" i="9" l="1"/>
  <c r="AM17" i="9"/>
  <c r="AQ17" i="9" l="1"/>
  <c r="AM18" i="9"/>
  <c r="AQ18" i="9" l="1"/>
  <c r="AM19" i="9"/>
  <c r="AQ19" i="9" l="1"/>
  <c r="AM20" i="9"/>
  <c r="AQ20" i="9" l="1"/>
  <c r="AM21" i="9"/>
  <c r="AQ21" i="9" l="1"/>
  <c r="AM22" i="9"/>
  <c r="AQ22" i="9" l="1"/>
  <c r="AM23" i="9"/>
  <c r="AQ23" i="9" l="1"/>
  <c r="AM24" i="9"/>
  <c r="AQ24" i="9" l="1"/>
  <c r="AM25" i="9"/>
  <c r="AQ25" i="9" l="1"/>
  <c r="AM26" i="9"/>
  <c r="AQ26" i="9" l="1"/>
  <c r="AM27" i="9"/>
  <c r="AQ27" i="9" l="1"/>
  <c r="AM28" i="9"/>
  <c r="AQ28" i="9" l="1"/>
  <c r="AM29" i="9"/>
  <c r="AQ29" i="9" l="1"/>
  <c r="AM30" i="9"/>
  <c r="AM31" i="9" l="1"/>
  <c r="AQ30" i="9"/>
  <c r="AQ31" i="9" l="1"/>
  <c r="AM32" i="9"/>
  <c r="AQ32" i="9" l="1"/>
  <c r="AM33" i="9"/>
  <c r="AQ33" i="9" l="1"/>
  <c r="AM34" i="9"/>
  <c r="AQ34" i="9" l="1"/>
  <c r="AM35" i="9"/>
  <c r="AQ35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3" authorId="0" shapeId="0" xr:uid="{00000000-0006-0000-1A00-000001000000}">
      <text>
        <r>
          <rPr>
            <sz val="10"/>
            <color rgb="FF000000"/>
            <rFont val="Arial"/>
          </rPr>
          <t>Total 49,000 
- 31,500待驗收 
- 10,500 進貨異常
- 7,000 welcome package</t>
        </r>
      </text>
    </comment>
  </commentList>
</comments>
</file>

<file path=xl/sharedStrings.xml><?xml version="1.0" encoding="utf-8"?>
<sst xmlns="http://schemas.openxmlformats.org/spreadsheetml/2006/main" count="3965" uniqueCount="576">
  <si>
    <t xml:space="preserve">以labor 為target </t>
  </si>
  <si>
    <t xml:space="preserve">以order 為target </t>
  </si>
  <si>
    <t xml:space="preserve">Max pcs handled per hr (most efficient day) </t>
  </si>
  <si>
    <t>IB</t>
  </si>
  <si>
    <t xml:space="preserve">OB </t>
  </si>
  <si>
    <t>WH</t>
  </si>
  <si>
    <t>(daily)</t>
  </si>
  <si>
    <t>Definition:</t>
  </si>
  <si>
    <t>Actual</t>
  </si>
  <si>
    <t xml:space="preserve">WH capacity OB/IB: </t>
  </si>
  <si>
    <t>Date</t>
  </si>
  <si>
    <t>Target</t>
  </si>
  <si>
    <t>Labor 
demand</t>
  </si>
  <si>
    <t>Notes</t>
  </si>
  <si>
    <t xml:space="preserve">Full order demand days </t>
  </si>
  <si>
    <t>WH capacity</t>
  </si>
  <si>
    <t xml:space="preserve">Total daily capacity (pcs): </t>
  </si>
  <si>
    <t>IB
(pcs)</t>
  </si>
  <si>
    <t>OB
(orders)</t>
  </si>
  <si>
    <t>Room for IB</t>
  </si>
  <si>
    <t>IB check</t>
  </si>
  <si>
    <t>Half order demand days</t>
  </si>
  <si>
    <t xml:space="preserve">Actual </t>
  </si>
  <si>
    <t>-</t>
  </si>
  <si>
    <t>IB (pcs) and OB (order): daily capacity projected by warehouse</t>
  </si>
  <si>
    <t xml:space="preserve">Full time </t>
  </si>
  <si>
    <t>WH input</t>
  </si>
  <si>
    <t xml:space="preserve">Mar daily order target </t>
  </si>
  <si>
    <t xml:space="preserve">PT </t>
  </si>
  <si>
    <t>Fri</t>
  </si>
  <si>
    <t xml:space="preserve">Mar OB order   </t>
  </si>
  <si>
    <t>IB (pcs): actual IB order made and reserved</t>
  </si>
  <si>
    <t xml:space="preserve">Labor efficiency full PT/full time: </t>
  </si>
  <si>
    <t>Sat</t>
  </si>
  <si>
    <t>Mar IB needed (pcs)</t>
  </si>
  <si>
    <t>IB (backlog cleanup): projected capacity to clean-up backlog</t>
  </si>
  <si>
    <t>Total labor</t>
  </si>
  <si>
    <t>Sun</t>
  </si>
  <si>
    <t xml:space="preserve">Total pcs need to be handled </t>
  </si>
  <si>
    <t>OB (backlog cleanup): projected capacity to clean-up backlog</t>
  </si>
  <si>
    <t>Pcs handled per labor</t>
  </si>
  <si>
    <t>Mon</t>
  </si>
  <si>
    <t>全站 - CFS日</t>
  </si>
  <si>
    <t xml:space="preserve">Daily pcs need to be handled </t>
  </si>
  <si>
    <t>OB (可乘載新訂單): room for new orders aside of backlog clean-up</t>
  </si>
  <si>
    <t>labor (decrease by 20%)</t>
  </si>
  <si>
    <t>Tue</t>
  </si>
  <si>
    <t xml:space="preserve">** Pcs handled per labor </t>
  </si>
  <si>
    <t>Total pcs can be handled</t>
  </si>
  <si>
    <t>Wed</t>
  </si>
  <si>
    <t xml:space="preserve">Daily max OB order </t>
  </si>
  <si>
    <t>Thu</t>
  </si>
  <si>
    <t xml:space="preserve">IB target dec. </t>
  </si>
  <si>
    <t>S&amp;OP</t>
  </si>
  <si>
    <t xml:space="preserve">(daily) </t>
  </si>
  <si>
    <t xml:space="preserve">March Forecast </t>
  </si>
  <si>
    <t xml:space="preserve">OB target dec. </t>
  </si>
  <si>
    <t>Pcs per OB order</t>
  </si>
  <si>
    <t xml:space="preserve">Days of forecast month </t>
  </si>
  <si>
    <t xml:space="preserve">Mar OB order </t>
  </si>
  <si>
    <t>24h主題日 - 專區超取免運 (TBD)</t>
  </si>
  <si>
    <t>labor (decrease to %)</t>
  </si>
  <si>
    <t xml:space="preserve">Mar daily order </t>
  </si>
  <si>
    <t>IB 
(pcs)</t>
  </si>
  <si>
    <t>OB 
(order)</t>
  </si>
  <si>
    <t xml:space="preserve">Total (pcs) </t>
  </si>
  <si>
    <t>OB</t>
  </si>
  <si>
    <t>Total</t>
  </si>
  <si>
    <t>Total planned IB (Mar)</t>
  </si>
  <si>
    <t>Extra capacity</t>
  </si>
  <si>
    <t>IB gap (excess pcs) (buffer)</t>
  </si>
  <si>
    <t xml:space="preserve">24h flashday pre-hype </t>
  </si>
  <si>
    <t>daily IB buffer</t>
  </si>
  <si>
    <t>24h flashday peak day</t>
  </si>
  <si>
    <t>全站 - 品牌盛宴 + CFS日 (超取FS)</t>
  </si>
  <si>
    <t>全站 - 品牌盛宴</t>
  </si>
  <si>
    <t>24h主題日 - 專區超取FS (&lt;50品)</t>
  </si>
  <si>
    <t>全站 - 品牌盛宴 (超取免運10am - 18pm)</t>
  </si>
  <si>
    <t xml:space="preserve">* Under circumstance to fulfill target of lowing labor by 20%, daily maximum OB is 8,000 orders </t>
  </si>
  <si>
    <t xml:space="preserve">* To maximize WH labor utilization, utilize spare labor on IB after OB is fulfilled on daily basis </t>
  </si>
  <si>
    <t xml:space="preserve">* 5,600 March daily order and 2.5X of IB pcs per order demand are achieveable under target labor allocation </t>
  </si>
  <si>
    <t>March campaign plan
https://docs.google.com/spreadsheets/d/1HMRlMUbDskYhmdIOZaPtJneeE6SS4gyFnu5y1HJdbz8/edit#gid=0</t>
  </si>
  <si>
    <t xml:space="preserve">IB/ OB pcs </t>
  </si>
  <si>
    <t xml:space="preserve">以order 為target (WH labor most efficient) </t>
  </si>
  <si>
    <t xml:space="preserve">can IB day </t>
  </si>
  <si>
    <t xml:space="preserve">extra labor needed </t>
  </si>
  <si>
    <t xml:space="preserve">Total labor </t>
  </si>
  <si>
    <t xml:space="preserve">Pcs handled per labor (based on 300人) </t>
  </si>
  <si>
    <t>Adjustable</t>
  </si>
  <si>
    <t xml:space="preserve">Labor </t>
  </si>
  <si>
    <t xml:space="preserve">Original </t>
  </si>
  <si>
    <t xml:space="preserve">Optimized </t>
  </si>
  <si>
    <t>Labor</t>
  </si>
  <si>
    <t>OB handle (order)</t>
  </si>
  <si>
    <t>O</t>
  </si>
  <si>
    <t xml:space="preserve">IB handled (pcs) </t>
  </si>
  <si>
    <t>OB:IB</t>
  </si>
  <si>
    <t xml:space="preserve">OB: IB </t>
  </si>
  <si>
    <t>Break</t>
  </si>
  <si>
    <t xml:space="preserve">Total pcs handled </t>
  </si>
  <si>
    <t xml:space="preserve">Pcs handled/ labor </t>
  </si>
  <si>
    <t xml:space="preserve">Days of month </t>
  </si>
  <si>
    <t>Target OB avg</t>
  </si>
  <si>
    <t xml:space="preserve">Target OB total </t>
  </si>
  <si>
    <t xml:space="preserve">Target IB total </t>
  </si>
  <si>
    <t xml:space="preserve">IB vs OB </t>
  </si>
  <si>
    <t xml:space="preserve">IB vs OB needed </t>
  </si>
  <si>
    <t>Extra IB pcs needed daily</t>
  </si>
  <si>
    <t xml:space="preserve">Break </t>
  </si>
  <si>
    <t xml:space="preserve">Extra labor needed daily </t>
  </si>
  <si>
    <t xml:space="preserve">Total labor needed </t>
  </si>
  <si>
    <t xml:space="preserve">Total IB </t>
  </si>
  <si>
    <t>Projection / Actual</t>
  </si>
  <si>
    <t>Utilization%</t>
  </si>
  <si>
    <t>pcs</t>
  </si>
  <si>
    <t>IB(pcs)</t>
  </si>
  <si>
    <t>OB(order)</t>
  </si>
  <si>
    <t>Overall</t>
  </si>
  <si>
    <t>Projection</t>
  </si>
  <si>
    <t>Act./reserved</t>
  </si>
  <si>
    <t>Accu%</t>
  </si>
  <si>
    <t>break</t>
  </si>
  <si>
    <t>Long-weekend</t>
  </si>
  <si>
    <t>Tues</t>
  </si>
  <si>
    <t>Thur</t>
  </si>
  <si>
    <t>品牌盛宴peak (時尚出遊)</t>
  </si>
  <si>
    <t>24h flash day</t>
  </si>
  <si>
    <t>品牌盛宴peak (3C)</t>
  </si>
  <si>
    <t>品牌盛宴peak (女神) + Super CFS day</t>
  </si>
  <si>
    <t>Campaign plan</t>
  </si>
  <si>
    <t>24H</t>
  </si>
  <si>
    <t>SBS SBD</t>
  </si>
  <si>
    <t>Other 
platform</t>
  </si>
  <si>
    <t xml:space="preserve">SBS IB </t>
  </si>
  <si>
    <t>Flash day</t>
  </si>
  <si>
    <t>Flash day - peak</t>
  </si>
  <si>
    <t>EL day</t>
  </si>
  <si>
    <t>EL day - peak</t>
  </si>
  <si>
    <t>TBD</t>
  </si>
  <si>
    <t>TBD - peak</t>
  </si>
  <si>
    <t>618 begins</t>
  </si>
  <si>
    <t>618-FMCG</t>
  </si>
  <si>
    <t>618-FMCG peak</t>
  </si>
  <si>
    <t>618-HB</t>
  </si>
  <si>
    <t>24h 快速到貨日</t>
  </si>
  <si>
    <t>618-HB peak</t>
  </si>
  <si>
    <t>618-家電</t>
  </si>
  <si>
    <t>618-大電</t>
  </si>
  <si>
    <t>618 peak</t>
  </si>
  <si>
    <t>618-返場</t>
  </si>
  <si>
    <t>March</t>
  </si>
  <si>
    <t>April</t>
  </si>
  <si>
    <t>May</t>
  </si>
  <si>
    <t>June</t>
  </si>
  <si>
    <t>IB to OB rate</t>
  </si>
  <si>
    <t>Total pcs (OB:IB=8)</t>
  </si>
  <si>
    <t>MoM</t>
  </si>
  <si>
    <t>人力</t>
  </si>
  <si>
    <t>MoM (considered efficiency)</t>
  </si>
  <si>
    <t>IB: OB = 2.7</t>
  </si>
  <si>
    <t>&lt; prep for 618</t>
  </si>
  <si>
    <t>IB: OB = 2.2</t>
  </si>
  <si>
    <t>pieces</t>
  </si>
  <si>
    <t>order</t>
  </si>
  <si>
    <t xml:space="preserve">stock </t>
  </si>
  <si>
    <t>Target (ADO)</t>
  </si>
  <si>
    <t xml:space="preserve">5/20 revised </t>
  </si>
  <si>
    <t>(piece/ order)</t>
  </si>
  <si>
    <t xml:space="preserve">Projection </t>
  </si>
  <si>
    <t>Target_Original</t>
  </si>
  <si>
    <t>Adjusted target</t>
  </si>
  <si>
    <t>IB breakdown</t>
  </si>
  <si>
    <t>Original</t>
  </si>
  <si>
    <t>Adjusted</t>
  </si>
  <si>
    <t xml:space="preserve">Inbound </t>
  </si>
  <si>
    <t xml:space="preserve">Outbound </t>
  </si>
  <si>
    <t xml:space="preserve">OB (pcs) </t>
  </si>
  <si>
    <t xml:space="preserve">Return </t>
  </si>
  <si>
    <t>Daily expected Ending Inventory</t>
  </si>
  <si>
    <t xml:space="preserve">L30 qty sold </t>
  </si>
  <si>
    <t>DOC</t>
  </si>
  <si>
    <t xml:space="preserve">Ending Inventory </t>
  </si>
  <si>
    <t xml:space="preserve">DOC </t>
  </si>
  <si>
    <t>ADQ (L30)</t>
  </si>
  <si>
    <t xml:space="preserve">ADO (L30) </t>
  </si>
  <si>
    <t xml:space="preserve">Current stock </t>
  </si>
  <si>
    <t>SBD</t>
  </si>
  <si>
    <t>Regular</t>
  </si>
  <si>
    <t>extra for SBS</t>
  </si>
  <si>
    <t xml:space="preserve">Comm reserve </t>
  </si>
  <si>
    <t>Order achievement rate %</t>
  </si>
  <si>
    <t xml:space="preserve">ADQ </t>
  </si>
  <si>
    <t xml:space="preserve">IB achievement % </t>
  </si>
  <si>
    <t xml:space="preserve">Return achievement % </t>
  </si>
  <si>
    <t>HB FS 12-18pm</t>
  </si>
  <si>
    <t>VICHY薇姿 (SBS)</t>
  </si>
  <si>
    <t>Order</t>
  </si>
  <si>
    <t>Super CFS</t>
  </si>
  <si>
    <t xml:space="preserve">Pcs/ order </t>
  </si>
  <si>
    <t>Super CFS + FS</t>
  </si>
  <si>
    <t xml:space="preserve"> </t>
  </si>
  <si>
    <t xml:space="preserve">Total pcs be sold </t>
  </si>
  <si>
    <t xml:space="preserve">Pcs need to return </t>
  </si>
  <si>
    <t xml:space="preserve">Return buffer </t>
  </si>
  <si>
    <t>快速到貨日</t>
  </si>
  <si>
    <t xml:space="preserve">Total pcs be returned </t>
  </si>
  <si>
    <t xml:space="preserve">IB pcs needed </t>
  </si>
  <si>
    <t>Watson's (Non SBS)</t>
  </si>
  <si>
    <t>Watson's (Non SBS) - peak</t>
  </si>
  <si>
    <t>LINE 5% point</t>
  </si>
  <si>
    <t>Re-branding</t>
  </si>
  <si>
    <t xml:space="preserve">DOC target </t>
  </si>
  <si>
    <t xml:space="preserve">return 多少 </t>
  </si>
  <si>
    <t>Re-branding - peak</t>
  </si>
  <si>
    <t xml:space="preserve">IB = OB * pcs/ Order + return </t>
  </si>
  <si>
    <t xml:space="preserve">return </t>
  </si>
  <si>
    <t>A-Mart愛買 (non-SBS)</t>
  </si>
  <si>
    <t>Logitech</t>
  </si>
  <si>
    <t>Logitech - peak</t>
  </si>
  <si>
    <t xml:space="preserve">Revised </t>
  </si>
  <si>
    <t>Original Target</t>
  </si>
  <si>
    <t xml:space="preserve">Adjusted Target </t>
  </si>
  <si>
    <t>Orginal Target</t>
  </si>
  <si>
    <t>Orginal IB 
(pcs)</t>
  </si>
  <si>
    <t xml:space="preserve">* WH aim to seperate IB and OB labor, and expect to have stable daily IB pcs; yet due to this in-time change &amp; DOC control, IB utilization has been low recently </t>
  </si>
  <si>
    <t xml:space="preserve">(adjusted since May 1st) </t>
  </si>
  <si>
    <t xml:space="preserve">* 4/22 adjusted free shipping threshold to 490, cause drop in order (and increase in GMV), therefore adjust overall OB target </t>
  </si>
  <si>
    <t xml:space="preserve">* Actual more in-time projection still on going, as discussed earlier </t>
  </si>
  <si>
    <t>pc/order</t>
  </si>
  <si>
    <t>July</t>
  </si>
  <si>
    <t xml:space="preserve">Inventory Control </t>
  </si>
  <si>
    <t xml:space="preserve">Orginial </t>
  </si>
  <si>
    <t xml:space="preserve">Adjusted </t>
  </si>
  <si>
    <t>Adjusted on 7/2</t>
  </si>
  <si>
    <t>Actual Inventory flow</t>
  </si>
  <si>
    <t xml:space="preserve">Expected ending inventory </t>
  </si>
  <si>
    <t xml:space="preserve">Expected DOC </t>
  </si>
  <si>
    <t xml:space="preserve">Target DOC </t>
  </si>
  <si>
    <t>Ending Inventory</t>
  </si>
  <si>
    <t xml:space="preserve">IB parameter </t>
  </si>
  <si>
    <t xml:space="preserve">low </t>
  </si>
  <si>
    <t>HB 10-17 200品99 FS</t>
  </si>
  <si>
    <t xml:space="preserve">normal </t>
  </si>
  <si>
    <t xml:space="preserve">no </t>
  </si>
  <si>
    <t>品牌盛宴</t>
  </si>
  <si>
    <t>品牌盛宴 + Super CFS</t>
  </si>
  <si>
    <t>FS TBD</t>
  </si>
  <si>
    <t>理膚寶水 (non-SBS)</t>
  </si>
  <si>
    <t>Nyx (SBS)</t>
  </si>
  <si>
    <t xml:space="preserve">Avg </t>
  </si>
  <si>
    <t xml:space="preserve">Total </t>
  </si>
  <si>
    <t xml:space="preserve">Total pcs needed </t>
  </si>
  <si>
    <t xml:space="preserve">Actual IB </t>
  </si>
  <si>
    <t>Return</t>
  </si>
  <si>
    <t>August</t>
  </si>
  <si>
    <t>September</t>
  </si>
  <si>
    <t>Update target: 7/19</t>
  </si>
  <si>
    <t>Update:  7/19</t>
  </si>
  <si>
    <t xml:space="preserve">Update target: 8/26 </t>
  </si>
  <si>
    <t xml:space="preserve">Order (pcs) </t>
  </si>
  <si>
    <t>OB
 (forecast)</t>
  </si>
  <si>
    <t>Nyx (SBS) - peak</t>
  </si>
  <si>
    <t>99 campaign - HB showtime</t>
  </si>
  <si>
    <t>collection 超取299免運</t>
  </si>
  <si>
    <t>99 campaign - EL showtime</t>
  </si>
  <si>
    <t>99 campaign - all showtime</t>
  </si>
  <si>
    <t>99 campaign - 快速到貨日</t>
  </si>
  <si>
    <t>99 campaign - 生活showtime</t>
  </si>
  <si>
    <t>品牌盛宴 - peak</t>
  </si>
  <si>
    <t>99 campaign - peak (CFS FS)</t>
  </si>
  <si>
    <t>Sandisk (SBS)</t>
  </si>
  <si>
    <t>Sandisk (SBS) - peak</t>
  </si>
  <si>
    <t>Asus (SBS)</t>
  </si>
  <si>
    <t>Asus (SBS) - peak</t>
  </si>
  <si>
    <t>蘭芝/IOPE (SBS)</t>
  </si>
  <si>
    <t>大樹 (non-SBS)</t>
  </si>
  <si>
    <t>蘭芝/IOPE (SBS) - peak</t>
  </si>
  <si>
    <t>Levis (non-SBS)</t>
  </si>
  <si>
    <t>99 campaign - kickoff</t>
  </si>
  <si>
    <t>Levis (non-SBS) - peak</t>
  </si>
  <si>
    <t>永豐 (SBS)</t>
  </si>
  <si>
    <t>99 campaign - spike</t>
  </si>
  <si>
    <t>永豐 (SBS) - peak</t>
  </si>
  <si>
    <t>Innisfree (SBS)</t>
  </si>
  <si>
    <t>avg</t>
  </si>
  <si>
    <t xml:space="preserve">total </t>
  </si>
  <si>
    <t>pcs/ order</t>
  </si>
  <si>
    <t>Return % of IB</t>
  </si>
  <si>
    <t xml:space="preserve">Variables </t>
  </si>
  <si>
    <t>days</t>
  </si>
  <si>
    <t xml:space="preserve"># IB days </t>
  </si>
  <si>
    <t>- extra high</t>
  </si>
  <si>
    <t>- high</t>
  </si>
  <si>
    <t xml:space="preserve">- medium </t>
  </si>
  <si>
    <t xml:space="preserve">- low </t>
  </si>
  <si>
    <t xml:space="preserve">- stop </t>
  </si>
  <si>
    <t xml:space="preserve">Summary </t>
  </si>
  <si>
    <t xml:space="preserve">Daily avg </t>
  </si>
  <si>
    <t xml:space="preserve">Inbound (pcs) </t>
  </si>
  <si>
    <t xml:space="preserve">Order </t>
  </si>
  <si>
    <t>99 campaign - peak</t>
  </si>
  <si>
    <t>Mar</t>
  </si>
  <si>
    <t>Planned</t>
  </si>
  <si>
    <t>Inventory Control</t>
  </si>
  <si>
    <t>OB
(24h orders)</t>
  </si>
  <si>
    <t>OB
(SBS orders)</t>
  </si>
  <si>
    <t>Note
(WW確認中)</t>
  </si>
  <si>
    <t>[00-10]3館[22-00]3館超取$99免運</t>
  </si>
  <si>
    <t>Loreal</t>
  </si>
  <si>
    <t>可提高 比照3/9</t>
  </si>
  <si>
    <t>[00-10]3館超取$99免運 / [10-24] 生活$199 超取免運</t>
  </si>
  <si>
    <t>相較3/10 無品牌盛宴只多200 可再提高</t>
  </si>
  <si>
    <t>00-24 [美妝]$99 超取+宅配免運</t>
  </si>
  <si>
    <t>品牌盛宴 (Peak)</t>
  </si>
  <si>
    <t>00-24 [生活] $199 超取+宅配免運</t>
  </si>
  <si>
    <t>蝦皮公益-婦女專案</t>
  </si>
  <si>
    <t>相同案型是否比照3/13 提高</t>
  </si>
  <si>
    <t>[22-00]3館超取$99免運 / 00-22 [生活]$199 超取+宅配免運</t>
  </si>
  <si>
    <t>[00-10]3館 [22-00]3館 超取$99免運</t>
  </si>
  <si>
    <t>雙11 大促前一天也只做8000+ 可下修</t>
  </si>
  <si>
    <t>[00-10]3館 [22-00]3館超取$99免運 / 生活+美妝[超取+宅配99免運]</t>
  </si>
  <si>
    <t>[00-10]3館 超取$99免運 / [10-24] 生活$199 超取免運</t>
  </si>
  <si>
    <t>永豐商店 (non-SBS)</t>
  </si>
  <si>
    <t>可提高 平均周二可做5300</t>
  </si>
  <si>
    <t>P&amp;G (non-SBS)</t>
  </si>
  <si>
    <t>[22-00]3館 超取$99免運 / [00-22] 生活 $199 超取+宅配免運</t>
  </si>
  <si>
    <t>聯合利華 (non-SBS)</t>
  </si>
  <si>
    <t>可略提高 比照3/9</t>
  </si>
  <si>
    <t>愛買 (non-SBS)</t>
  </si>
  <si>
    <t>應比3/11 目標高(因這天多了EL免運)</t>
  </si>
  <si>
    <t>00-24 [EL] $199 超取免運 / 00-24 [生活] $199 超取+宅配免運</t>
  </si>
  <si>
    <t>康是美 (non-SBS)</t>
  </si>
  <si>
    <t>00-24 [EL]$199 超取免運</t>
  </si>
  <si>
    <t>00-24 [EL]$199 超取免運 / 00-24 [生活] $199 超取+宅配免運</t>
  </si>
  <si>
    <t>特力家 (non-SBS)</t>
  </si>
  <si>
    <t>可略為下修</t>
  </si>
  <si>
    <t>24h flashday / 00-24 [三館]$199超取+宅配免運</t>
  </si>
  <si>
    <t>24h flashday / 00-24 [三館] $99超取+宅配免運</t>
  </si>
  <si>
    <t>ADATA (B2C)</t>
  </si>
  <si>
    <t>[22-00]3館超取$99免運 / [00-22] 生活$199 超取+宅配免運</t>
  </si>
  <si>
    <t>[00-10]3館[22-00]3館 超取$99免運</t>
  </si>
  <si>
    <t>是否有特別活動</t>
  </si>
  <si>
    <t>[00-24]3館 超取$99免運</t>
  </si>
  <si>
    <t>4.4大促暖身 - 24h</t>
  </si>
  <si>
    <t>可提高  平均周二可做5300</t>
  </si>
  <si>
    <t>00-24 [美妝] $99 超取+宅配免運</t>
  </si>
  <si>
    <t>=sum &gt;&gt; to get fraction to get total pcs allocation</t>
  </si>
  <si>
    <t>pcs/order</t>
  </si>
  <si>
    <t>step 3-1</t>
  </si>
  <si>
    <t>step 3-2 落每天分布</t>
  </si>
  <si>
    <t>*Sat</t>
  </si>
  <si>
    <t>*Sun/big day/next day</t>
  </si>
  <si>
    <t>Backlog</t>
  </si>
  <si>
    <t>OB
(24h)</t>
  </si>
  <si>
    <t>WH order</t>
  </si>
  <si>
    <t>WH pcs</t>
  </si>
  <si>
    <t>WH PPO</t>
  </si>
  <si>
    <t>Outsourcing order</t>
  </si>
  <si>
    <t>Outsourcing order %</t>
  </si>
  <si>
    <t>Total order</t>
  </si>
  <si>
    <t>ach%</t>
  </si>
  <si>
    <t xml:space="preserve">WH order
</t>
  </si>
  <si>
    <t>WH ppo</t>
  </si>
  <si>
    <t>est. backlog order</t>
  </si>
  <si>
    <t>est. backlog pcs</t>
  </si>
  <si>
    <t>Expected ending inventory</t>
  </si>
  <si>
    <t>Expected DOC</t>
  </si>
  <si>
    <t>優雅食x韓麗x海底撈 BOD</t>
  </si>
  <si>
    <t>acer(Non-SBS)</t>
  </si>
  <si>
    <t>永豐商店(Non-SBS)</t>
  </si>
  <si>
    <t>中衛 930 pcs</t>
  </si>
  <si>
    <t>F&amp;B BOD</t>
  </si>
  <si>
    <t>購Men節-spike</t>
  </si>
  <si>
    <t>康是美(Non-SBS)</t>
  </si>
  <si>
    <t>懶人節/中元節</t>
  </si>
  <si>
    <t>懶人節(Spike)/中元節</t>
  </si>
  <si>
    <t>花王旗鑑館(Non-SBS)</t>
  </si>
  <si>
    <t>懶人節/中元節(Spike)</t>
  </si>
  <si>
    <t>中元節</t>
  </si>
  <si>
    <t>3M(Non-SBS)</t>
  </si>
  <si>
    <t>New balance(Non-SBS)</t>
  </si>
  <si>
    <t>Samsung(Non-SBS)</t>
  </si>
  <si>
    <t>2nd spike</t>
  </si>
  <si>
    <t>HL BOD</t>
  </si>
  <si>
    <t>樂扣樂扣(Non-SBS)</t>
  </si>
  <si>
    <t>Razer(Non-SBS)</t>
  </si>
  <si>
    <t>3rd spike(Mall)</t>
  </si>
  <si>
    <t>科技娛樂日</t>
  </si>
  <si>
    <t>10.10 warm up</t>
  </si>
  <si>
    <t>流行時尚日</t>
  </si>
  <si>
    <t>美妝生活日</t>
  </si>
  <si>
    <t>10.10 peak day</t>
  </si>
  <si>
    <t>周年慶倒數3日</t>
  </si>
  <si>
    <t>Edwin(Non-SBS)</t>
  </si>
  <si>
    <t>1028(Non-SBS)</t>
  </si>
  <si>
    <t>Huggies/Kimberly(Non-SBS)</t>
  </si>
  <si>
    <t>順發3C(Non-SBS)</t>
  </si>
  <si>
    <t>Etude/innisfree(SBS)</t>
  </si>
  <si>
    <t>24h flash day (peak)</t>
  </si>
  <si>
    <t>蝦券日</t>
  </si>
  <si>
    <t>閃購日</t>
  </si>
  <si>
    <t>免運日</t>
  </si>
  <si>
    <t>電子日</t>
  </si>
  <si>
    <t>時尚日</t>
  </si>
  <si>
    <t>蝦幣日</t>
  </si>
  <si>
    <t>IB 
(pcs)
revised</t>
  </si>
  <si>
    <t>OB 
(actual OB)</t>
  </si>
  <si>
    <t>美食日</t>
  </si>
  <si>
    <t>清潔廚用日</t>
  </si>
  <si>
    <t>醫美保健日</t>
  </si>
  <si>
    <t>戶外運動日</t>
  </si>
  <si>
    <t>3C家電日</t>
  </si>
  <si>
    <t>時尚配飾日</t>
  </si>
  <si>
    <t>11.11 warm up</t>
  </si>
  <si>
    <t>娛樂遊戲日</t>
  </si>
  <si>
    <t>母嬰毛孩日</t>
  </si>
  <si>
    <t>居家日</t>
  </si>
  <si>
    <t>美妝保養日</t>
  </si>
  <si>
    <t>11.11 peak day</t>
  </si>
  <si>
    <t>正式日</t>
  </si>
  <si>
    <t>返場</t>
  </si>
  <si>
    <t>味王 (SBS)</t>
  </si>
  <si>
    <t>未來實驗室 (Non-SBS)</t>
  </si>
  <si>
    <t>嬌生 (Non-SBS)</t>
  </si>
  <si>
    <t>OPPO+realme (SBS)</t>
  </si>
  <si>
    <t>Acer (Non-SBS)</t>
  </si>
  <si>
    <t>千萬補貼</t>
  </si>
  <si>
    <t>輕奢時尚日</t>
  </si>
  <si>
    <t>蝦幣回饋日</t>
  </si>
  <si>
    <t>蝦皮超市日</t>
  </si>
  <si>
    <t>狂歡蝦券日</t>
  </si>
  <si>
    <t>IB 
(pcs)
old</t>
  </si>
  <si>
    <t>狂歡5折日</t>
  </si>
  <si>
    <t>狂歡免運日</t>
  </si>
  <si>
    <t>潮流科技日</t>
  </si>
  <si>
    <t>狂歡閃購日</t>
  </si>
  <si>
    <t>商城最低價日</t>
  </si>
  <si>
    <t>狂歡遊戲日</t>
  </si>
  <si>
    <t>狂歡直播日</t>
  </si>
  <si>
    <t>誠品 (Non-SBS)</t>
  </si>
  <si>
    <t>Dyson (Non-SBS)</t>
  </si>
  <si>
    <t>神腦國際 (Non-SBS)</t>
  </si>
  <si>
    <t>Roborock (Non-SBS)</t>
  </si>
  <si>
    <t>Bogazy (Non-SBS)</t>
  </si>
  <si>
    <t>羅技 (SBS)</t>
  </si>
  <si>
    <t>屈臣氏 (Non-SBS)</t>
  </si>
  <si>
    <t>永豐 (Non-SBS)</t>
  </si>
  <si>
    <t>快車肉乾 (Non-SBS)</t>
  </si>
  <si>
    <t>ON (Non-SBS)</t>
  </si>
  <si>
    <t>FujiFilm (Non-SBS)</t>
  </si>
  <si>
    <t>Tefal (Non-SBS)</t>
  </si>
  <si>
    <t>蝦拚年貨節-spike</t>
  </si>
  <si>
    <t>美食保健日</t>
  </si>
  <si>
    <t>居家生活日</t>
  </si>
  <si>
    <t>Adidas (Non-SBS)</t>
  </si>
  <si>
    <t>蝦幣20倍日</t>
  </si>
  <si>
    <t>Cool-PC (Non-SBS)</t>
  </si>
  <si>
    <t>閃購5折日</t>
  </si>
  <si>
    <t>生活科技日</t>
  </si>
  <si>
    <t>休閒遊戲日</t>
  </si>
  <si>
    <t>Levis (Non-SBS)</t>
  </si>
  <si>
    <t>蝦幣40倍日</t>
  </si>
  <si>
    <t>buffer</t>
  </si>
  <si>
    <t>千萬紅包日</t>
  </si>
  <si>
    <t>LOCK &amp; LOCK (Non-SBS)</t>
  </si>
  <si>
    <t>蝦皮直送日</t>
  </si>
  <si>
    <t>保健綜合SBD</t>
  </si>
  <si>
    <t>順發(Non-SBS)</t>
  </si>
  <si>
    <t>希爾思(Non-SBS)</t>
  </si>
  <si>
    <t>大樹(Non-SBS)</t>
  </si>
  <si>
    <t>Senao(Non-SBS)</t>
  </si>
  <si>
    <t>蝦皮電子日</t>
  </si>
  <si>
    <t>蝦皮輕奢日</t>
  </si>
  <si>
    <t>女神節-spike</t>
  </si>
  <si>
    <t>L'oreal CPD (Non-SBS)</t>
  </si>
  <si>
    <t>嬌聯 (Non-SBS)</t>
  </si>
  <si>
    <t>ASUS (Non-SBS)</t>
  </si>
  <si>
    <t>innisfree (SBS)</t>
  </si>
  <si>
    <t>康是美 (Non-SBS)</t>
  </si>
  <si>
    <t>Rebranding</t>
  </si>
  <si>
    <t>24h flash day+Rebranding</t>
  </si>
  <si>
    <t>P&amp;G (Non-SBS)</t>
  </si>
  <si>
    <t>資生堂 (Non-SBS)</t>
  </si>
  <si>
    <t>聯合利華 (Non-SBS)</t>
  </si>
  <si>
    <t>Samsung (Non-SBS)</t>
  </si>
  <si>
    <t>OB
 (orders)</t>
  </si>
  <si>
    <t>OB
 (24h)</t>
  </si>
  <si>
    <t>OB
 (SBS orders)</t>
  </si>
  <si>
    <t>Other 
 platform</t>
  </si>
  <si>
    <t>3C科技日</t>
  </si>
  <si>
    <t>生活家電日</t>
  </si>
  <si>
    <t>時尚休閒日</t>
  </si>
  <si>
    <t>品牌購物節-spike</t>
  </si>
  <si>
    <t>E-Life全國 (Non-SBS)</t>
  </si>
  <si>
    <t>L'oreal ACD (Non-SBS)</t>
  </si>
  <si>
    <t>特力家 (Non-SBS)</t>
  </si>
  <si>
    <t>New Balance (Non-SBS)</t>
  </si>
  <si>
    <t>順發 (Non-SBS)</t>
  </si>
  <si>
    <t>1028 (Non-SBS)</t>
  </si>
  <si>
    <t>超狂美妝節</t>
  </si>
  <si>
    <t>科技日</t>
  </si>
  <si>
    <t>超市日</t>
  </si>
  <si>
    <t>娛樂日</t>
  </si>
  <si>
    <t>OPPO (SBS)</t>
  </si>
  <si>
    <t>美好購物節-spike</t>
  </si>
  <si>
    <t>愛買 (Non-SBS)</t>
  </si>
  <si>
    <t>LANEIGE (Non-SBS)</t>
  </si>
  <si>
    <t>2nd-spike</t>
  </si>
  <si>
    <t>QueenShop (Non-SBS)</t>
  </si>
  <si>
    <t>24h flashday</t>
  </si>
  <si>
    <t>Realme (SBS)</t>
  </si>
  <si>
    <t>Fujifilm (Non-SBS)</t>
  </si>
  <si>
    <t>金百利 BOD</t>
  </si>
  <si>
    <t>閃購日-Mini spike</t>
  </si>
  <si>
    <t>女神時尚日</t>
  </si>
  <si>
    <t>蝦幣加碼日</t>
  </si>
  <si>
    <t>蝦券日-Mini spike</t>
  </si>
  <si>
    <t>生活居家日</t>
  </si>
  <si>
    <t>運動休閒日</t>
  </si>
  <si>
    <t>超便宜日</t>
  </si>
  <si>
    <t>618年中慶-spike</t>
  </si>
  <si>
    <t>哈根達斯(Non-SBS)</t>
  </si>
  <si>
    <t>LG(Non-SBS)</t>
  </si>
  <si>
    <t>P&amp;G(Non-SBS)</t>
  </si>
  <si>
    <t>New projection</t>
  </si>
  <si>
    <t>Net  WH pcs</t>
  </si>
  <si>
    <t>%</t>
  </si>
  <si>
    <t>Projected</t>
  </si>
  <si>
    <t>WH projected</t>
  </si>
  <si>
    <t>WH actual</t>
  </si>
  <si>
    <t>backlog pcs</t>
  </si>
  <si>
    <t>嬌聯(Non-SBS)</t>
  </si>
  <si>
    <t>娛樂休閒日</t>
  </si>
  <si>
    <t>生活美妝日</t>
  </si>
  <si>
    <t>太古BOD</t>
  </si>
  <si>
    <t>DR.WU(Non-SBS)</t>
  </si>
  <si>
    <t>D-day</t>
  </si>
  <si>
    <t>Hitachi(Non-SBS)</t>
  </si>
  <si>
    <t>棒棒節</t>
  </si>
  <si>
    <t>棒棒節(正式)</t>
  </si>
  <si>
    <t>L'oreal ACD(Non-SBS)</t>
  </si>
  <si>
    <t>開架彩妝SBD</t>
  </si>
  <si>
    <t>神腦(Non-SBS)</t>
  </si>
  <si>
    <t>羅技(SBS)</t>
  </si>
  <si>
    <t>Bogazy(Non-SBS)</t>
  </si>
  <si>
    <t>聯合利華SBD</t>
  </si>
  <si>
    <t>全國電子(Non-SBS)</t>
  </si>
  <si>
    <t>Philips(SBS)</t>
  </si>
  <si>
    <t>Roborock(Non-SBS)</t>
  </si>
  <si>
    <t>eop</t>
  </si>
  <si>
    <t>IB (backlog cleanup): projected capacity to clean-up 1111 backlog given daily 30,000 IB</t>
  </si>
  <si>
    <t>OB (backlog cleanup): projected capacity to clean-up 1111 backlog given daily 8,000 OB</t>
  </si>
  <si>
    <t>Tracking by date</t>
  </si>
  <si>
    <t xml:space="preserve">WH total capacity </t>
  </si>
  <si>
    <t>IB (pcs)</t>
  </si>
  <si>
    <t>OB (order)</t>
  </si>
  <si>
    <t>Actual/reserved</t>
  </si>
  <si>
    <t>*Utilization% is based on recent updated ratio IB:OB 8:1, considering WH staff can shift among IB/OB</t>
  </si>
  <si>
    <t xml:space="preserve">  </t>
  </si>
  <si>
    <t>一月出貨: 15,392  一月進貨: 13,818</t>
  </si>
  <si>
    <t>二月出貨:   6,262  二月進貨:   3,987</t>
  </si>
  <si>
    <t>No IB</t>
  </si>
  <si>
    <t>under IB of 1846 pcs</t>
  </si>
  <si>
    <t>under IB of 1589 pcs</t>
  </si>
  <si>
    <t>Excess IB of 155 pcs</t>
  </si>
  <si>
    <t>under IB of 3846 pcs</t>
  </si>
  <si>
    <t>under IB of 3589 pcs</t>
  </si>
  <si>
    <t>#REF!</t>
  </si>
  <si>
    <t>Excess IB of 1721 pcs</t>
  </si>
  <si>
    <t>under IB of 2280 pcs</t>
  </si>
  <si>
    <t>under IB of 6280 pcs</t>
  </si>
  <si>
    <t>Excess IB of 17721 pcs</t>
  </si>
  <si>
    <t>Excess IB of 16721 pcs</t>
  </si>
  <si>
    <t>Excess IB of 25721 pcs</t>
  </si>
  <si>
    <t>Excess IB of 12155 pcs</t>
  </si>
  <si>
    <t>under IB of 11846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</si>
</sst>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m/d"/>
    <numFmt numFmtId="178" formatCode="#,##0.0"/>
    <numFmt numFmtId="179" formatCode="0.0%"/>
  </numFmts>
  <fonts count="69">
    <font>
      <sz val="10"/>
      <color rgb="FF000000"/>
      <name val="Arial"/>
    </font>
    <font>
      <b/>
      <sz val="10"/>
      <name val="Proxima Nova"/>
    </font>
    <font>
      <sz val="10"/>
      <name val="Proxima Nova"/>
    </font>
    <font>
      <b/>
      <u/>
      <sz val="10"/>
      <name val="Proxima Nova"/>
    </font>
    <font>
      <sz val="10"/>
      <name val="Arial"/>
      <family val="2"/>
    </font>
    <font>
      <sz val="12"/>
      <color rgb="FF000000"/>
      <name val="Arial"/>
      <family val="2"/>
    </font>
    <font>
      <b/>
      <sz val="11"/>
      <name val="Proxima Nova"/>
    </font>
    <font>
      <sz val="11"/>
      <name val="Proxima Nova"/>
    </font>
    <font>
      <b/>
      <u/>
      <sz val="11"/>
      <name val="Proxima Nova"/>
    </font>
    <font>
      <sz val="11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name val="Helvetica Neue"/>
      <family val="2"/>
    </font>
    <font>
      <sz val="10"/>
      <name val="Arial"/>
      <family val="2"/>
    </font>
    <font>
      <b/>
      <u/>
      <sz val="11"/>
      <name val="Proxima Nova"/>
    </font>
    <font>
      <b/>
      <sz val="10"/>
      <name val="Arial"/>
      <family val="2"/>
    </font>
    <font>
      <sz val="11"/>
      <color rgb="FF000000"/>
      <name val="Helvetica Neue"/>
      <family val="2"/>
    </font>
    <font>
      <sz val="11"/>
      <color rgb="FFFF0000"/>
      <name val="Helvetica Neue"/>
      <family val="2"/>
    </font>
    <font>
      <b/>
      <u/>
      <sz val="11"/>
      <name val="Proxima Nova"/>
    </font>
    <font>
      <b/>
      <sz val="10"/>
      <color rgb="FFFFFFFF"/>
      <name val="Proxima Nova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u/>
      <sz val="10"/>
      <name val="Proxima Nova"/>
    </font>
    <font>
      <b/>
      <sz val="12"/>
      <color rgb="FFFFFFFF"/>
      <name val="Helvetica Neue"/>
      <family val="2"/>
    </font>
    <font>
      <b/>
      <sz val="11"/>
      <color rgb="FFFFFFFF"/>
      <name val="Helvetica Neue"/>
      <family val="2"/>
    </font>
    <font>
      <b/>
      <sz val="10"/>
      <name val="Helvetica Neue"/>
      <family val="2"/>
    </font>
    <font>
      <sz val="12"/>
      <color rgb="FF000000"/>
      <name val="&quot;Arial Unicode MS&quot;"/>
    </font>
    <font>
      <i/>
      <sz val="12"/>
      <color rgb="FF000000"/>
      <name val="&quot;Arial Unicode MS&quot;"/>
    </font>
    <font>
      <b/>
      <u/>
      <sz val="14"/>
      <name val="Arial"/>
      <family val="2"/>
    </font>
    <font>
      <b/>
      <u/>
      <sz val="12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4"/>
      <color rgb="FFFFFFFF"/>
      <name val="Helvetica Neue"/>
      <family val="2"/>
    </font>
    <font>
      <b/>
      <sz val="14"/>
      <color rgb="FF000000"/>
      <name val="Helvetica Neue"/>
      <family val="2"/>
    </font>
    <font>
      <b/>
      <sz val="12"/>
      <color rgb="FF000000"/>
      <name val="Helvetica Neue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新細明體"/>
      <family val="1"/>
      <charset val="136"/>
    </font>
    <font>
      <sz val="10"/>
      <color rgb="FFD9D9D9"/>
      <name val="Arial"/>
      <family val="2"/>
    </font>
    <font>
      <sz val="10"/>
      <color rgb="FFFF0000"/>
      <name val="Arial"/>
      <family val="2"/>
    </font>
    <font>
      <sz val="12"/>
      <color rgb="FF000000"/>
      <name val="新細明體"/>
      <family val="1"/>
      <charset val="136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0000"/>
      <name val="Arial"/>
      <family val="2"/>
    </font>
    <font>
      <sz val="10"/>
      <color rgb="FF434343"/>
      <name val="Arial"/>
      <family val="2"/>
    </font>
    <font>
      <sz val="10"/>
      <name val="Roboto"/>
    </font>
    <font>
      <sz val="10"/>
      <color rgb="FF000000"/>
      <name val="Roboto"/>
    </font>
    <font>
      <sz val="10"/>
      <color rgb="FFFF0000"/>
      <name val="Arial"/>
      <family val="2"/>
    </font>
    <font>
      <b/>
      <u/>
      <sz val="11"/>
      <name val="Proxima Nova"/>
    </font>
    <font>
      <b/>
      <u/>
      <sz val="11"/>
      <name val="Proxima Nova"/>
    </font>
    <font>
      <sz val="10"/>
      <color rgb="FF000000"/>
      <name val="Proxima Nova"/>
    </font>
    <font>
      <b/>
      <u/>
      <sz val="11"/>
      <name val="Proxima Nova"/>
    </font>
    <font>
      <b/>
      <sz val="12"/>
      <color rgb="FFFFFFFF"/>
      <name val="Proxima Nova"/>
    </font>
    <font>
      <sz val="10"/>
      <color rgb="FFFFFFFF"/>
      <name val="Proxima Nova"/>
    </font>
    <font>
      <sz val="11"/>
      <color rgb="FFB7B7B7"/>
      <name val="Helvetica Neue"/>
      <family val="2"/>
    </font>
    <font>
      <sz val="11"/>
      <color rgb="FF000000"/>
      <name val="Proxima Nova"/>
    </font>
    <font>
      <i/>
      <sz val="11"/>
      <color rgb="FF666666"/>
      <name val="Helvetica Neue"/>
      <family val="2"/>
    </font>
    <font>
      <i/>
      <sz val="10"/>
      <color rgb="FF666666"/>
      <name val="Helvetica Neue"/>
      <family val="2"/>
    </font>
    <font>
      <sz val="11"/>
      <color rgb="FF999999"/>
      <name val="Helvetica Neue"/>
      <family val="2"/>
    </font>
    <font>
      <sz val="10"/>
      <name val="Helvetica Neue"/>
      <family val="2"/>
    </font>
    <font>
      <sz val="10"/>
      <name val="Helvetica Neue"/>
      <family val="2"/>
    </font>
    <font>
      <sz val="10"/>
      <color rgb="FF000000"/>
      <name val="Helvetica Neue"/>
      <family val="2"/>
    </font>
    <font>
      <i/>
      <sz val="10"/>
      <color rgb="FF666666"/>
      <name val="Proxima Nova"/>
    </font>
    <font>
      <sz val="9"/>
      <name val="jf open 粉圓 1.0"/>
      <family val="3"/>
      <charset val="136"/>
    </font>
  </fonts>
  <fills count="3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45818E"/>
        <bgColor rgb="FF45818E"/>
      </patternFill>
    </fill>
    <fill>
      <patternFill patternType="solid">
        <fgColor rgb="FF134F5C"/>
        <bgColor rgb="FF134F5C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  <fill>
      <patternFill patternType="solid">
        <fgColor rgb="FFB4A7D6"/>
        <bgColor rgb="FFB4A7D6"/>
      </patternFill>
    </fill>
    <fill>
      <patternFill patternType="solid">
        <fgColor rgb="FF76A5AF"/>
        <bgColor rgb="FF76A5AF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A2C4C9"/>
        <bgColor rgb="FFA2C4C9"/>
      </patternFill>
    </fill>
    <fill>
      <patternFill patternType="solid">
        <fgColor rgb="FFE2EFDA"/>
        <bgColor rgb="FFE2EFDA"/>
      </patternFill>
    </fill>
    <fill>
      <patternFill patternType="solid">
        <fgColor rgb="FFE69138"/>
        <bgColor rgb="FFE69138"/>
      </patternFill>
    </fill>
    <fill>
      <patternFill patternType="solid">
        <fgColor rgb="FF999999"/>
        <bgColor rgb="FF999999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4A86E8"/>
        <bgColor rgb="FF4A86E8"/>
      </patternFill>
    </fill>
    <fill>
      <patternFill patternType="solid">
        <fgColor rgb="FFD0E0E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F4C7C3"/>
        <bgColor rgb="FFF4C7C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990000"/>
        <bgColor rgb="FF990000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dotted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hair">
        <color rgb="FF000000"/>
      </left>
      <right/>
      <top/>
      <bottom style="dotted">
        <color rgb="FF000000"/>
      </bottom>
      <diagonal/>
    </border>
    <border>
      <left/>
      <right style="hair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6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2" borderId="0" xfId="0" applyFont="1" applyFill="1" applyAlignment="1"/>
    <xf numFmtId="0" fontId="5" fillId="0" borderId="0" xfId="0" applyFont="1" applyAlignment="1"/>
    <xf numFmtId="176" fontId="5" fillId="0" borderId="0" xfId="0" applyNumberFormat="1" applyFont="1" applyAlignment="1"/>
    <xf numFmtId="176" fontId="4" fillId="0" borderId="0" xfId="0" applyNumberFormat="1" applyFont="1" applyAlignment="1"/>
    <xf numFmtId="176" fontId="4" fillId="0" borderId="0" xfId="0" applyNumberFormat="1" applyFont="1"/>
    <xf numFmtId="0" fontId="6" fillId="0" borderId="1" xfId="0" applyFont="1" applyBorder="1" applyAlignment="1"/>
    <xf numFmtId="0" fontId="7" fillId="0" borderId="2" xfId="0" applyFont="1" applyBorder="1"/>
    <xf numFmtId="0" fontId="8" fillId="0" borderId="2" xfId="0" applyFont="1" applyBorder="1" applyAlignment="1">
      <alignment horizontal="center"/>
    </xf>
    <xf numFmtId="0" fontId="2" fillId="0" borderId="0" xfId="0" applyFont="1" applyAlignment="1"/>
    <xf numFmtId="0" fontId="10" fillId="4" borderId="4" xfId="0" applyFont="1" applyFill="1" applyBorder="1" applyAlignment="1">
      <alignment horizontal="center"/>
    </xf>
    <xf numFmtId="0" fontId="12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7" xfId="0" applyFont="1" applyBorder="1"/>
    <xf numFmtId="176" fontId="12" fillId="0" borderId="0" xfId="0" applyNumberFormat="1" applyFont="1" applyAlignment="1"/>
    <xf numFmtId="0" fontId="7" fillId="0" borderId="3" xfId="0" applyFont="1" applyBorder="1" applyAlignment="1"/>
    <xf numFmtId="0" fontId="6" fillId="0" borderId="0" xfId="0" applyFont="1" applyAlignment="1"/>
    <xf numFmtId="0" fontId="13" fillId="0" borderId="0" xfId="0" applyFont="1" applyAlignment="1">
      <alignment horizontal="center"/>
    </xf>
    <xf numFmtId="3" fontId="4" fillId="0" borderId="0" xfId="0" applyNumberFormat="1" applyFont="1"/>
    <xf numFmtId="0" fontId="4" fillId="0" borderId="3" xfId="0" applyFont="1" applyBorder="1"/>
    <xf numFmtId="0" fontId="9" fillId="3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4" fillId="0" borderId="5" xfId="0" applyFont="1" applyBorder="1"/>
    <xf numFmtId="0" fontId="4" fillId="0" borderId="3" xfId="0" applyFont="1" applyBorder="1" applyAlignment="1"/>
    <xf numFmtId="0" fontId="14" fillId="0" borderId="5" xfId="0" applyFont="1" applyBorder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3" fontId="4" fillId="7" borderId="0" xfId="0" applyNumberFormat="1" applyFont="1" applyFill="1" applyAlignment="1"/>
    <xf numFmtId="0" fontId="4" fillId="0" borderId="9" xfId="0" applyFont="1" applyBorder="1"/>
    <xf numFmtId="0" fontId="4" fillId="0" borderId="10" xfId="0" applyFont="1" applyBorder="1"/>
    <xf numFmtId="3" fontId="4" fillId="8" borderId="0" xfId="0" applyNumberFormat="1" applyFont="1" applyFill="1" applyAlignment="1"/>
    <xf numFmtId="3" fontId="14" fillId="0" borderId="5" xfId="0" applyNumberFormat="1" applyFont="1" applyBorder="1" applyAlignment="1"/>
    <xf numFmtId="177" fontId="11" fillId="9" borderId="3" xfId="0" applyNumberFormat="1" applyFont="1" applyFill="1" applyBorder="1" applyAlignment="1">
      <alignment horizontal="right"/>
    </xf>
    <xf numFmtId="3" fontId="11" fillId="9" borderId="0" xfId="0" applyNumberFormat="1" applyFont="1" applyFill="1" applyAlignment="1"/>
    <xf numFmtId="3" fontId="15" fillId="0" borderId="0" xfId="0" applyNumberFormat="1" applyFont="1" applyAlignment="1">
      <alignment horizontal="right"/>
    </xf>
    <xf numFmtId="1" fontId="4" fillId="0" borderId="5" xfId="0" applyNumberFormat="1" applyFont="1" applyBorder="1"/>
    <xf numFmtId="0" fontId="12" fillId="0" borderId="8" xfId="0" applyFont="1" applyBorder="1" applyAlignment="1"/>
    <xf numFmtId="3" fontId="14" fillId="0" borderId="5" xfId="0" applyNumberFormat="1" applyFont="1" applyBorder="1"/>
    <xf numFmtId="178" fontId="4" fillId="7" borderId="0" xfId="0" applyNumberFormat="1" applyFont="1" applyFill="1" applyAlignment="1"/>
    <xf numFmtId="177" fontId="11" fillId="9" borderId="9" xfId="0" applyNumberFormat="1" applyFont="1" applyFill="1" applyBorder="1" applyAlignment="1">
      <alignment horizontal="right"/>
    </xf>
    <xf numFmtId="3" fontId="11" fillId="9" borderId="10" xfId="0" applyNumberFormat="1" applyFont="1" applyFill="1" applyBorder="1" applyAlignment="1"/>
    <xf numFmtId="3" fontId="15" fillId="0" borderId="10" xfId="0" applyNumberFormat="1" applyFont="1" applyBorder="1" applyAlignment="1">
      <alignment horizontal="right"/>
    </xf>
    <xf numFmtId="3" fontId="4" fillId="0" borderId="10" xfId="0" applyNumberFormat="1" applyFont="1" applyBorder="1"/>
    <xf numFmtId="1" fontId="4" fillId="0" borderId="12" xfId="0" applyNumberFormat="1" applyFont="1" applyBorder="1"/>
    <xf numFmtId="0" fontId="12" fillId="0" borderId="11" xfId="0" applyFont="1" applyBorder="1" applyAlignment="1"/>
    <xf numFmtId="177" fontId="11" fillId="9" borderId="1" xfId="0" applyNumberFormat="1" applyFont="1" applyFill="1" applyBorder="1" applyAlignment="1">
      <alignment horizontal="right"/>
    </xf>
    <xf numFmtId="3" fontId="11" fillId="9" borderId="2" xfId="0" applyNumberFormat="1" applyFont="1" applyFill="1" applyBorder="1" applyAlignment="1"/>
    <xf numFmtId="3" fontId="16" fillId="0" borderId="0" xfId="0" applyNumberFormat="1" applyFont="1" applyAlignment="1">
      <alignment horizontal="right"/>
    </xf>
    <xf numFmtId="0" fontId="2" fillId="0" borderId="8" xfId="0" applyFont="1" applyBorder="1" applyAlignment="1"/>
    <xf numFmtId="0" fontId="2" fillId="0" borderId="0" xfId="0" applyFont="1" applyAlignment="1"/>
    <xf numFmtId="0" fontId="7" fillId="0" borderId="9" xfId="0" applyFont="1" applyBorder="1" applyAlignment="1"/>
    <xf numFmtId="0" fontId="7" fillId="0" borderId="10" xfId="0" applyFont="1" applyBorder="1" applyAlignment="1">
      <alignment horizontal="right"/>
    </xf>
    <xf numFmtId="0" fontId="7" fillId="0" borderId="10" xfId="0" applyFont="1" applyBorder="1" applyAlignment="1"/>
    <xf numFmtId="0" fontId="17" fillId="0" borderId="10" xfId="0" applyFont="1" applyBorder="1" applyAlignment="1">
      <alignment horizontal="center"/>
    </xf>
    <xf numFmtId="9" fontId="4" fillId="10" borderId="0" xfId="0" applyNumberFormat="1" applyFont="1" applyFill="1" applyAlignment="1"/>
    <xf numFmtId="3" fontId="4" fillId="11" borderId="0" xfId="0" applyNumberFormat="1" applyFont="1" applyFill="1"/>
    <xf numFmtId="179" fontId="4" fillId="0" borderId="0" xfId="0" applyNumberFormat="1" applyFont="1"/>
    <xf numFmtId="178" fontId="4" fillId="12" borderId="0" xfId="0" applyNumberFormat="1" applyFont="1" applyFill="1" applyAlignment="1"/>
    <xf numFmtId="10" fontId="4" fillId="0" borderId="0" xfId="0" applyNumberFormat="1" applyFont="1"/>
    <xf numFmtId="3" fontId="4" fillId="0" borderId="0" xfId="0" applyNumberFormat="1" applyFont="1" applyAlignment="1"/>
    <xf numFmtId="9" fontId="4" fillId="0" borderId="0" xfId="0" applyNumberFormat="1" applyFont="1" applyAlignment="1"/>
    <xf numFmtId="3" fontId="12" fillId="0" borderId="11" xfId="0" applyNumberFormat="1" applyFont="1" applyBorder="1" applyAlignment="1"/>
    <xf numFmtId="3" fontId="12" fillId="0" borderId="0" xfId="0" applyNumberFormat="1" applyFont="1" applyAlignment="1"/>
    <xf numFmtId="177" fontId="11" fillId="9" borderId="1" xfId="0" applyNumberFormat="1" applyFont="1" applyFill="1" applyBorder="1" applyAlignment="1">
      <alignment horizontal="right"/>
    </xf>
    <xf numFmtId="0" fontId="2" fillId="0" borderId="8" xfId="0" applyFont="1" applyBorder="1" applyAlignment="1"/>
    <xf numFmtId="0" fontId="2" fillId="0" borderId="0" xfId="0" applyFont="1" applyAlignment="1"/>
    <xf numFmtId="0" fontId="4" fillId="0" borderId="9" xfId="0" applyFont="1" applyBorder="1" applyAlignment="1"/>
    <xf numFmtId="9" fontId="4" fillId="10" borderId="12" xfId="0" applyNumberFormat="1" applyFont="1" applyFill="1" applyBorder="1" applyAlignment="1"/>
    <xf numFmtId="177" fontId="11" fillId="9" borderId="3" xfId="0" applyNumberFormat="1" applyFont="1" applyFill="1" applyBorder="1" applyAlignment="1">
      <alignment horizontal="right"/>
    </xf>
    <xf numFmtId="0" fontId="10" fillId="4" borderId="14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 vertical="center"/>
    </xf>
    <xf numFmtId="0" fontId="19" fillId="0" borderId="0" xfId="0" applyFont="1" applyAlignment="1"/>
    <xf numFmtId="3" fontId="19" fillId="0" borderId="0" xfId="0" applyNumberFormat="1" applyFont="1"/>
    <xf numFmtId="0" fontId="4" fillId="9" borderId="0" xfId="0" applyFont="1" applyFill="1" applyAlignment="1"/>
    <xf numFmtId="0" fontId="4" fillId="9" borderId="0" xfId="0" applyFont="1" applyFill="1"/>
    <xf numFmtId="0" fontId="9" fillId="13" borderId="17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2" fillId="9" borderId="0" xfId="0" applyFont="1" applyFill="1" applyAlignment="1"/>
    <xf numFmtId="0" fontId="9" fillId="13" borderId="1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14" borderId="0" xfId="0" applyFont="1" applyFill="1" applyAlignment="1"/>
    <xf numFmtId="3" fontId="4" fillId="14" borderId="0" xfId="0" applyNumberFormat="1" applyFont="1" applyFill="1"/>
    <xf numFmtId="3" fontId="4" fillId="9" borderId="0" xfId="0" applyNumberFormat="1" applyFont="1" applyFill="1"/>
    <xf numFmtId="3" fontId="15" fillId="7" borderId="0" xfId="0" applyNumberFormat="1" applyFont="1" applyFill="1" applyAlignment="1">
      <alignment horizontal="right"/>
    </xf>
    <xf numFmtId="3" fontId="15" fillId="12" borderId="0" xfId="0" applyNumberFormat="1" applyFont="1" applyFill="1" applyAlignment="1">
      <alignment horizontal="right"/>
    </xf>
    <xf numFmtId="0" fontId="2" fillId="0" borderId="8" xfId="0" applyFont="1" applyBorder="1"/>
    <xf numFmtId="1" fontId="4" fillId="14" borderId="0" xfId="0" applyNumberFormat="1" applyFont="1" applyFill="1"/>
    <xf numFmtId="3" fontId="4" fillId="9" borderId="0" xfId="0" applyNumberFormat="1" applyFont="1" applyFill="1" applyAlignment="1"/>
    <xf numFmtId="177" fontId="11" fillId="9" borderId="9" xfId="0" applyNumberFormat="1" applyFont="1" applyFill="1" applyBorder="1" applyAlignment="1">
      <alignment horizontal="right"/>
    </xf>
    <xf numFmtId="3" fontId="4" fillId="0" borderId="10" xfId="0" applyNumberFormat="1" applyFont="1" applyBorder="1" applyAlignment="1"/>
    <xf numFmtId="0" fontId="2" fillId="0" borderId="11" xfId="0" applyFont="1" applyBorder="1" applyAlignment="1"/>
    <xf numFmtId="3" fontId="15" fillId="7" borderId="10" xfId="0" applyNumberFormat="1" applyFont="1" applyFill="1" applyBorder="1" applyAlignment="1">
      <alignment horizontal="right"/>
    </xf>
    <xf numFmtId="3" fontId="15" fillId="12" borderId="10" xfId="0" applyNumberFormat="1" applyFont="1" applyFill="1" applyBorder="1" applyAlignment="1">
      <alignment horizontal="right"/>
    </xf>
    <xf numFmtId="0" fontId="2" fillId="0" borderId="11" xfId="0" applyFont="1" applyBorder="1"/>
    <xf numFmtId="178" fontId="4" fillId="9" borderId="0" xfId="0" applyNumberFormat="1" applyFont="1" applyFill="1" applyAlignment="1"/>
    <xf numFmtId="3" fontId="15" fillId="7" borderId="2" xfId="0" applyNumberFormat="1" applyFont="1" applyFill="1" applyBorder="1" applyAlignment="1">
      <alignment horizontal="right"/>
    </xf>
    <xf numFmtId="3" fontId="16" fillId="12" borderId="2" xfId="0" applyNumberFormat="1" applyFont="1" applyFill="1" applyBorder="1" applyAlignment="1">
      <alignment horizontal="right"/>
    </xf>
    <xf numFmtId="3" fontId="15" fillId="0" borderId="2" xfId="0" applyNumberFormat="1" applyFont="1" applyBorder="1" applyAlignment="1">
      <alignment horizontal="right"/>
    </xf>
    <xf numFmtId="0" fontId="2" fillId="0" borderId="8" xfId="0" applyFont="1" applyBorder="1" applyAlignment="1"/>
    <xf numFmtId="9" fontId="4" fillId="9" borderId="0" xfId="0" applyNumberFormat="1" applyFont="1" applyFill="1" applyAlignment="1"/>
    <xf numFmtId="3" fontId="12" fillId="0" borderId="11" xfId="0" applyNumberFormat="1" applyFont="1" applyBorder="1" applyAlignment="1">
      <alignment horizontal="center"/>
    </xf>
    <xf numFmtId="0" fontId="19" fillId="9" borderId="0" xfId="0" applyFont="1" applyFill="1" applyAlignment="1"/>
    <xf numFmtId="3" fontId="19" fillId="9" borderId="0" xfId="0" applyNumberFormat="1" applyFont="1" applyFill="1"/>
    <xf numFmtId="0" fontId="2" fillId="0" borderId="11" xfId="0" applyFont="1" applyBorder="1" applyAlignment="1"/>
    <xf numFmtId="0" fontId="14" fillId="0" borderId="0" xfId="0" applyFont="1" applyAlignment="1"/>
    <xf numFmtId="0" fontId="14" fillId="0" borderId="0" xfId="0" applyFont="1"/>
    <xf numFmtId="3" fontId="14" fillId="0" borderId="0" xfId="0" applyNumberFormat="1" applyFont="1"/>
    <xf numFmtId="1" fontId="4" fillId="9" borderId="0" xfId="0" applyNumberFormat="1" applyFont="1" applyFill="1"/>
    <xf numFmtId="3" fontId="11" fillId="7" borderId="0" xfId="0" applyNumberFormat="1" applyFont="1" applyFill="1" applyAlignment="1">
      <alignment horizontal="right"/>
    </xf>
    <xf numFmtId="3" fontId="16" fillId="12" borderId="0" xfId="0" applyNumberFormat="1" applyFont="1" applyFill="1" applyAlignment="1">
      <alignment horizontal="right"/>
    </xf>
    <xf numFmtId="3" fontId="11" fillId="0" borderId="0" xfId="0" applyNumberFormat="1" applyFont="1" applyAlignment="1">
      <alignment horizontal="right"/>
    </xf>
    <xf numFmtId="0" fontId="20" fillId="15" borderId="0" xfId="0" applyFont="1" applyFill="1" applyAlignment="1"/>
    <xf numFmtId="3" fontId="11" fillId="12" borderId="0" xfId="0" applyNumberFormat="1" applyFont="1" applyFill="1" applyAlignment="1">
      <alignment horizontal="right"/>
    </xf>
    <xf numFmtId="3" fontId="11" fillId="12" borderId="10" xfId="0" applyNumberFormat="1" applyFont="1" applyFill="1" applyBorder="1" applyAlignment="1">
      <alignment horizontal="right"/>
    </xf>
    <xf numFmtId="3" fontId="11" fillId="0" borderId="10" xfId="0" applyNumberFormat="1" applyFont="1" applyBorder="1" applyAlignment="1">
      <alignment horizontal="right"/>
    </xf>
    <xf numFmtId="176" fontId="12" fillId="0" borderId="0" xfId="0" applyNumberFormat="1" applyFont="1" applyAlignment="1"/>
    <xf numFmtId="176" fontId="21" fillId="0" borderId="0" xfId="0" applyNumberFormat="1" applyFont="1" applyAlignment="1"/>
    <xf numFmtId="1" fontId="4" fillId="0" borderId="0" xfId="0" applyNumberFormat="1" applyFont="1"/>
    <xf numFmtId="3" fontId="4" fillId="16" borderId="0" xfId="0" applyNumberFormat="1" applyFont="1" applyFill="1"/>
    <xf numFmtId="3" fontId="4" fillId="16" borderId="0" xfId="0" applyNumberFormat="1" applyFont="1" applyFill="1" applyAlignment="1"/>
    <xf numFmtId="0" fontId="4" fillId="17" borderId="3" xfId="0" applyFont="1" applyFill="1" applyBorder="1" applyAlignment="1"/>
    <xf numFmtId="3" fontId="4" fillId="17" borderId="0" xfId="0" applyNumberFormat="1" applyFont="1" applyFill="1" applyAlignment="1"/>
    <xf numFmtId="2" fontId="4" fillId="13" borderId="0" xfId="0" applyNumberFormat="1" applyFont="1" applyFill="1" applyAlignment="1"/>
    <xf numFmtId="0" fontId="19" fillId="9" borderId="0" xfId="0" applyFont="1" applyFill="1"/>
    <xf numFmtId="0" fontId="22" fillId="0" borderId="0" xfId="0" applyFont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9" fillId="13" borderId="0" xfId="0" applyFont="1" applyFill="1" applyAlignment="1">
      <alignment horizontal="center" vertical="center"/>
    </xf>
    <xf numFmtId="3" fontId="2" fillId="0" borderId="0" xfId="0" applyNumberFormat="1" applyFont="1" applyAlignment="1"/>
    <xf numFmtId="3" fontId="15" fillId="15" borderId="2" xfId="0" applyNumberFormat="1" applyFont="1" applyFill="1" applyBorder="1" applyAlignment="1">
      <alignment horizontal="right"/>
    </xf>
    <xf numFmtId="3" fontId="2" fillId="0" borderId="0" xfId="0" applyNumberFormat="1" applyFont="1" applyAlignment="1"/>
    <xf numFmtId="3" fontId="15" fillId="15" borderId="0" xfId="0" applyNumberFormat="1" applyFont="1" applyFill="1" applyAlignment="1">
      <alignment horizontal="right"/>
    </xf>
    <xf numFmtId="177" fontId="15" fillId="9" borderId="3" xfId="0" applyNumberFormat="1" applyFont="1" applyFill="1" applyBorder="1" applyAlignment="1">
      <alignment horizontal="right"/>
    </xf>
    <xf numFmtId="177" fontId="16" fillId="9" borderId="3" xfId="0" applyNumberFormat="1" applyFont="1" applyFill="1" applyBorder="1" applyAlignment="1">
      <alignment horizontal="right"/>
    </xf>
    <xf numFmtId="177" fontId="15" fillId="9" borderId="9" xfId="0" applyNumberFormat="1" applyFont="1" applyFill="1" applyBorder="1" applyAlignment="1">
      <alignment horizontal="right"/>
    </xf>
    <xf numFmtId="3" fontId="15" fillId="15" borderId="10" xfId="0" applyNumberFormat="1" applyFont="1" applyFill="1" applyBorder="1" applyAlignment="1">
      <alignment horizontal="right"/>
    </xf>
    <xf numFmtId="178" fontId="2" fillId="0" borderId="0" xfId="0" applyNumberFormat="1" applyFont="1" applyAlignment="1"/>
    <xf numFmtId="178" fontId="2" fillId="0" borderId="0" xfId="0" applyNumberFormat="1" applyFont="1" applyAlignment="1"/>
    <xf numFmtId="3" fontId="16" fillId="15" borderId="0" xfId="0" applyNumberFormat="1" applyFont="1" applyFill="1" applyAlignment="1">
      <alignment horizontal="right"/>
    </xf>
    <xf numFmtId="3" fontId="1" fillId="19" borderId="0" xfId="0" applyNumberFormat="1" applyFont="1" applyFill="1" applyAlignment="1"/>
    <xf numFmtId="3" fontId="1" fillId="0" borderId="0" xfId="0" applyNumberFormat="1" applyFont="1" applyAlignment="1"/>
    <xf numFmtId="3" fontId="16" fillId="15" borderId="10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23" fillId="4" borderId="21" xfId="0" applyFont="1" applyFill="1" applyBorder="1" applyAlignment="1">
      <alignment horizontal="center"/>
    </xf>
    <xf numFmtId="0" fontId="9" fillId="8" borderId="17" xfId="0" applyFont="1" applyFill="1" applyBorder="1" applyAlignment="1">
      <alignment horizontal="center" vertical="center"/>
    </xf>
    <xf numFmtId="0" fontId="4" fillId="0" borderId="26" xfId="0" applyFont="1" applyBorder="1"/>
    <xf numFmtId="0" fontId="9" fillId="8" borderId="10" xfId="0" applyFont="1" applyFill="1" applyBorder="1" applyAlignment="1">
      <alignment horizontal="center" vertical="center"/>
    </xf>
    <xf numFmtId="9" fontId="9" fillId="8" borderId="26" xfId="0" applyNumberFormat="1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177" fontId="25" fillId="9" borderId="3" xfId="0" applyNumberFormat="1" applyFont="1" applyFill="1" applyBorder="1" applyAlignment="1">
      <alignment horizontal="right"/>
    </xf>
    <xf numFmtId="0" fontId="4" fillId="0" borderId="27" xfId="0" applyFont="1" applyBorder="1"/>
    <xf numFmtId="3" fontId="4" fillId="0" borderId="27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9" fontId="4" fillId="0" borderId="27" xfId="0" applyNumberFormat="1" applyFont="1" applyBorder="1" applyAlignment="1">
      <alignment horizontal="right"/>
    </xf>
    <xf numFmtId="9" fontId="4" fillId="0" borderId="0" xfId="0" applyNumberFormat="1" applyFont="1" applyAlignment="1">
      <alignment horizontal="right"/>
    </xf>
    <xf numFmtId="9" fontId="4" fillId="0" borderId="5" xfId="0" applyNumberFormat="1" applyFont="1" applyBorder="1" applyAlignment="1">
      <alignment horizontal="right"/>
    </xf>
    <xf numFmtId="3" fontId="15" fillId="15" borderId="7" xfId="0" applyNumberFormat="1" applyFont="1" applyFill="1" applyBorder="1" applyAlignment="1">
      <alignment horizontal="right"/>
    </xf>
    <xf numFmtId="3" fontId="15" fillId="0" borderId="8" xfId="0" applyNumberFormat="1" applyFont="1" applyBorder="1" applyAlignment="1">
      <alignment horizontal="left"/>
    </xf>
    <xf numFmtId="3" fontId="15" fillId="15" borderId="5" xfId="0" applyNumberFormat="1" applyFont="1" applyFill="1" applyBorder="1" applyAlignment="1">
      <alignment horizontal="right"/>
    </xf>
    <xf numFmtId="177" fontId="25" fillId="9" borderId="9" xfId="0" applyNumberFormat="1" applyFont="1" applyFill="1" applyBorder="1" applyAlignment="1">
      <alignment horizontal="right"/>
    </xf>
    <xf numFmtId="3" fontId="4" fillId="0" borderId="26" xfId="0" applyNumberFormat="1" applyFont="1" applyBorder="1" applyAlignment="1">
      <alignment horizontal="right"/>
    </xf>
    <xf numFmtId="3" fontId="4" fillId="0" borderId="10" xfId="0" applyNumberFormat="1" applyFont="1" applyBorder="1" applyAlignment="1">
      <alignment horizontal="right"/>
    </xf>
    <xf numFmtId="9" fontId="4" fillId="0" borderId="26" xfId="0" applyNumberFormat="1" applyFont="1" applyBorder="1" applyAlignment="1">
      <alignment horizontal="right"/>
    </xf>
    <xf numFmtId="9" fontId="4" fillId="0" borderId="10" xfId="0" applyNumberFormat="1" applyFont="1" applyBorder="1" applyAlignment="1">
      <alignment horizontal="right"/>
    </xf>
    <xf numFmtId="9" fontId="4" fillId="0" borderId="12" xfId="0" applyNumberFormat="1" applyFont="1" applyBorder="1" applyAlignment="1">
      <alignment horizontal="right"/>
    </xf>
    <xf numFmtId="3" fontId="15" fillId="15" borderId="12" xfId="0" applyNumberFormat="1" applyFont="1" applyFill="1" applyBorder="1" applyAlignment="1">
      <alignment horizontal="right"/>
    </xf>
    <xf numFmtId="3" fontId="15" fillId="0" borderId="11" xfId="0" applyNumberFormat="1" applyFont="1" applyBorder="1" applyAlignment="1">
      <alignment horizontal="left"/>
    </xf>
    <xf numFmtId="0" fontId="4" fillId="0" borderId="26" xfId="0" applyFont="1" applyBorder="1" applyAlignment="1">
      <alignment horizontal="right"/>
    </xf>
    <xf numFmtId="0" fontId="4" fillId="0" borderId="27" xfId="0" applyFont="1" applyBorder="1" applyAlignment="1">
      <alignment horizontal="right"/>
    </xf>
    <xf numFmtId="10" fontId="4" fillId="0" borderId="0" xfId="0" applyNumberFormat="1" applyFont="1" applyAlignment="1">
      <alignment horizontal="right"/>
    </xf>
    <xf numFmtId="3" fontId="16" fillId="15" borderId="5" xfId="0" applyNumberFormat="1" applyFont="1" applyFill="1" applyBorder="1" applyAlignment="1">
      <alignment horizontal="right"/>
    </xf>
    <xf numFmtId="0" fontId="4" fillId="0" borderId="26" xfId="0" applyFont="1" applyBorder="1" applyAlignment="1">
      <alignment horizontal="right"/>
    </xf>
    <xf numFmtId="10" fontId="4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3" fontId="16" fillId="16" borderId="0" xfId="0" applyNumberFormat="1" applyFont="1" applyFill="1" applyAlignment="1">
      <alignment horizontal="right"/>
    </xf>
    <xf numFmtId="3" fontId="16" fillId="16" borderId="5" xfId="0" applyNumberFormat="1" applyFont="1" applyFill="1" applyBorder="1" applyAlignment="1">
      <alignment horizontal="right"/>
    </xf>
    <xf numFmtId="0" fontId="4" fillId="0" borderId="10" xfId="0" applyFont="1" applyBorder="1" applyAlignment="1">
      <alignment horizontal="right"/>
    </xf>
    <xf numFmtId="3" fontId="16" fillId="15" borderId="12" xfId="0" applyNumberFormat="1" applyFont="1" applyFill="1" applyBorder="1" applyAlignment="1">
      <alignment horizontal="right"/>
    </xf>
    <xf numFmtId="9" fontId="4" fillId="0" borderId="0" xfId="0" applyNumberFormat="1" applyFont="1"/>
    <xf numFmtId="0" fontId="9" fillId="20" borderId="19" xfId="0" applyFont="1" applyFill="1" applyBorder="1" applyAlignment="1">
      <alignment horizontal="center" vertical="center"/>
    </xf>
    <xf numFmtId="3" fontId="9" fillId="3" borderId="12" xfId="0" applyNumberFormat="1" applyFont="1" applyFill="1" applyBorder="1" applyAlignment="1">
      <alignment horizontal="center" vertical="center"/>
    </xf>
    <xf numFmtId="177" fontId="4" fillId="9" borderId="3" xfId="0" applyNumberFormat="1" applyFont="1" applyFill="1" applyBorder="1" applyAlignment="1"/>
    <xf numFmtId="1" fontId="4" fillId="0" borderId="7" xfId="0" applyNumberFormat="1" applyFont="1" applyBorder="1"/>
    <xf numFmtId="177" fontId="4" fillId="9" borderId="9" xfId="0" applyNumberFormat="1" applyFont="1" applyFill="1" applyBorder="1" applyAlignment="1"/>
    <xf numFmtId="3" fontId="19" fillId="0" borderId="0" xfId="0" applyNumberFormat="1" applyFont="1" applyAlignment="1"/>
    <xf numFmtId="0" fontId="4" fillId="0" borderId="5" xfId="0" applyFont="1" applyBorder="1" applyAlignment="1"/>
    <xf numFmtId="0" fontId="21" fillId="0" borderId="0" xfId="0" applyFont="1" applyAlignment="1">
      <alignment horizontal="right"/>
    </xf>
    <xf numFmtId="0" fontId="9" fillId="20" borderId="10" xfId="0" applyFont="1" applyFill="1" applyBorder="1" applyAlignment="1">
      <alignment horizontal="center" vertical="center"/>
    </xf>
    <xf numFmtId="3" fontId="4" fillId="5" borderId="0" xfId="0" applyNumberFormat="1" applyFont="1" applyFill="1"/>
    <xf numFmtId="3" fontId="4" fillId="5" borderId="10" xfId="0" applyNumberFormat="1" applyFont="1" applyFill="1" applyBorder="1"/>
    <xf numFmtId="1" fontId="4" fillId="0" borderId="10" xfId="0" applyNumberFormat="1" applyFont="1" applyBorder="1"/>
    <xf numFmtId="3" fontId="4" fillId="5" borderId="0" xfId="0" applyNumberFormat="1" applyFont="1" applyFill="1" applyAlignment="1"/>
    <xf numFmtId="1" fontId="4" fillId="0" borderId="0" xfId="0" applyNumberFormat="1" applyFont="1" applyAlignment="1"/>
    <xf numFmtId="0" fontId="4" fillId="0" borderId="10" xfId="0" applyFont="1" applyBorder="1" applyAlignment="1"/>
    <xf numFmtId="0" fontId="4" fillId="13" borderId="5" xfId="0" applyFont="1" applyFill="1" applyBorder="1" applyAlignment="1"/>
    <xf numFmtId="0" fontId="26" fillId="0" borderId="0" xfId="0" applyFont="1" applyAlignment="1"/>
    <xf numFmtId="0" fontId="26" fillId="21" borderId="0" xfId="0" applyFont="1" applyFill="1" applyAlignment="1"/>
    <xf numFmtId="0" fontId="26" fillId="21" borderId="0" xfId="0" applyFont="1" applyFill="1" applyAlignment="1"/>
    <xf numFmtId="0" fontId="26" fillId="21" borderId="0" xfId="0" applyFont="1" applyFill="1" applyAlignment="1">
      <alignment horizontal="left"/>
    </xf>
    <xf numFmtId="0" fontId="26" fillId="0" borderId="0" xfId="0" applyFont="1" applyAlignment="1"/>
    <xf numFmtId="3" fontId="26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0" fontId="27" fillId="0" borderId="28" xfId="0" applyFont="1" applyBorder="1" applyAlignment="1"/>
    <xf numFmtId="0" fontId="27" fillId="0" borderId="28" xfId="0" applyFont="1" applyBorder="1" applyAlignment="1"/>
    <xf numFmtId="9" fontId="27" fillId="0" borderId="28" xfId="0" applyNumberFormat="1" applyFont="1" applyBorder="1" applyAlignment="1">
      <alignment horizontal="right"/>
    </xf>
    <xf numFmtId="0" fontId="26" fillId="0" borderId="28" xfId="0" applyFont="1" applyBorder="1" applyAlignment="1"/>
    <xf numFmtId="0" fontId="27" fillId="0" borderId="2" xfId="0" applyFont="1" applyBorder="1" applyAlignment="1"/>
    <xf numFmtId="0" fontId="27" fillId="0" borderId="2" xfId="0" applyFont="1" applyBorder="1" applyAlignment="1"/>
    <xf numFmtId="9" fontId="27" fillId="0" borderId="2" xfId="0" applyNumberFormat="1" applyFont="1" applyBorder="1" applyAlignment="1">
      <alignment horizontal="right"/>
    </xf>
    <xf numFmtId="0" fontId="27" fillId="0" borderId="10" xfId="0" applyFont="1" applyBorder="1" applyAlignment="1"/>
    <xf numFmtId="0" fontId="27" fillId="0" borderId="10" xfId="0" applyFont="1" applyBorder="1" applyAlignment="1"/>
    <xf numFmtId="9" fontId="27" fillId="0" borderId="10" xfId="0" applyNumberFormat="1" applyFont="1" applyBorder="1" applyAlignment="1">
      <alignment horizontal="right"/>
    </xf>
    <xf numFmtId="0" fontId="26" fillId="0" borderId="10" xfId="0" applyFont="1" applyBorder="1" applyAlignment="1"/>
    <xf numFmtId="0" fontId="28" fillId="0" borderId="0" xfId="0" applyFont="1" applyAlignment="1"/>
    <xf numFmtId="10" fontId="4" fillId="0" borderId="0" xfId="0" applyNumberFormat="1" applyFont="1" applyAlignment="1"/>
    <xf numFmtId="0" fontId="29" fillId="0" borderId="0" xfId="0" applyFont="1" applyAlignment="1"/>
    <xf numFmtId="10" fontId="30" fillId="0" borderId="0" xfId="0" applyNumberFormat="1" applyFont="1" applyAlignment="1"/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3" fontId="24" fillId="3" borderId="0" xfId="0" applyNumberFormat="1" applyFont="1" applyFill="1" applyAlignment="1">
      <alignment horizontal="center" vertical="center"/>
    </xf>
    <xf numFmtId="3" fontId="24" fillId="22" borderId="0" xfId="0" applyNumberFormat="1" applyFont="1" applyFill="1" applyAlignment="1">
      <alignment horizontal="center" vertical="center"/>
    </xf>
    <xf numFmtId="0" fontId="9" fillId="23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3" fontId="31" fillId="0" borderId="0" xfId="0" applyNumberFormat="1" applyFont="1" applyAlignment="1">
      <alignment horizontal="right"/>
    </xf>
    <xf numFmtId="3" fontId="24" fillId="22" borderId="22" xfId="0" applyNumberFormat="1" applyFont="1" applyFill="1" applyBorder="1" applyAlignment="1">
      <alignment horizontal="center" vertical="center"/>
    </xf>
    <xf numFmtId="0" fontId="9" fillId="8" borderId="29" xfId="0" applyFont="1" applyFill="1" applyBorder="1" applyAlignment="1">
      <alignment horizontal="center" vertical="center"/>
    </xf>
    <xf numFmtId="0" fontId="9" fillId="8" borderId="30" xfId="0" applyFont="1" applyFill="1" applyBorder="1" applyAlignment="1">
      <alignment horizontal="center" vertical="center"/>
    </xf>
    <xf numFmtId="0" fontId="9" fillId="8" borderId="31" xfId="0" applyFont="1" applyFill="1" applyBorder="1" applyAlignment="1">
      <alignment horizontal="center" vertical="center"/>
    </xf>
    <xf numFmtId="0" fontId="9" fillId="8" borderId="28" xfId="0" applyFont="1" applyFill="1" applyBorder="1" applyAlignment="1">
      <alignment horizontal="center" vertical="center"/>
    </xf>
    <xf numFmtId="0" fontId="9" fillId="8" borderId="32" xfId="0" applyFont="1" applyFill="1" applyBorder="1" applyAlignment="1">
      <alignment horizontal="center" vertical="center" wrapText="1"/>
    </xf>
    <xf numFmtId="0" fontId="9" fillId="24" borderId="31" xfId="0" applyFont="1" applyFill="1" applyBorder="1" applyAlignment="1">
      <alignment horizontal="center" vertical="center"/>
    </xf>
    <xf numFmtId="0" fontId="9" fillId="24" borderId="32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/>
    </xf>
    <xf numFmtId="3" fontId="9" fillId="22" borderId="12" xfId="0" applyNumberFormat="1" applyFont="1" applyFill="1" applyBorder="1" applyAlignment="1">
      <alignment horizontal="center" vertical="center"/>
    </xf>
    <xf numFmtId="3" fontId="9" fillId="17" borderId="33" xfId="0" applyNumberFormat="1" applyFont="1" applyFill="1" applyBorder="1" applyAlignment="1">
      <alignment horizontal="center" vertical="center"/>
    </xf>
    <xf numFmtId="3" fontId="9" fillId="17" borderId="12" xfId="0" applyNumberFormat="1" applyFont="1" applyFill="1" applyBorder="1" applyAlignment="1">
      <alignment horizontal="center" vertical="center"/>
    </xf>
    <xf numFmtId="0" fontId="4" fillId="11" borderId="29" xfId="0" applyFont="1" applyFill="1" applyBorder="1" applyAlignment="1"/>
    <xf numFmtId="0" fontId="4" fillId="11" borderId="30" xfId="0" applyFont="1" applyFill="1" applyBorder="1"/>
    <xf numFmtId="3" fontId="4" fillId="11" borderId="34" xfId="0" applyNumberFormat="1" applyFont="1" applyFill="1" applyBorder="1"/>
    <xf numFmtId="0" fontId="4" fillId="11" borderId="34" xfId="0" applyFont="1" applyFill="1" applyBorder="1"/>
    <xf numFmtId="3" fontId="4" fillId="0" borderId="27" xfId="0" applyNumberFormat="1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left"/>
    </xf>
    <xf numFmtId="3" fontId="4" fillId="0" borderId="5" xfId="0" applyNumberFormat="1" applyFont="1" applyBorder="1"/>
    <xf numFmtId="3" fontId="32" fillId="0" borderId="27" xfId="0" applyNumberFormat="1" applyFont="1" applyBorder="1" applyAlignment="1">
      <alignment horizontal="right"/>
    </xf>
    <xf numFmtId="3" fontId="32" fillId="0" borderId="5" xfId="0" applyNumberFormat="1" applyFont="1" applyBorder="1" applyAlignment="1">
      <alignment horizontal="right"/>
    </xf>
    <xf numFmtId="3" fontId="4" fillId="0" borderId="5" xfId="0" applyNumberFormat="1" applyFont="1" applyBorder="1" applyAlignment="1"/>
    <xf numFmtId="3" fontId="32" fillId="0" borderId="27" xfId="0" applyNumberFormat="1" applyFont="1" applyBorder="1" applyAlignment="1">
      <alignment horizontal="right"/>
    </xf>
    <xf numFmtId="3" fontId="32" fillId="0" borderId="26" xfId="0" applyNumberFormat="1" applyFont="1" applyBorder="1" applyAlignment="1">
      <alignment horizontal="right"/>
    </xf>
    <xf numFmtId="3" fontId="32" fillId="0" borderId="12" xfId="0" applyNumberFormat="1" applyFont="1" applyBorder="1" applyAlignment="1">
      <alignment horizontal="right"/>
    </xf>
    <xf numFmtId="3" fontId="4" fillId="0" borderId="12" xfId="0" applyNumberFormat="1" applyFont="1" applyBorder="1" applyAlignment="1"/>
    <xf numFmtId="3" fontId="4" fillId="0" borderId="26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4" fillId="0" borderId="10" xfId="0" applyNumberFormat="1" applyFont="1" applyBorder="1" applyAlignment="1">
      <alignment horizontal="left"/>
    </xf>
    <xf numFmtId="3" fontId="4" fillId="0" borderId="12" xfId="0" applyNumberFormat="1" applyFont="1" applyBorder="1"/>
    <xf numFmtId="3" fontId="33" fillId="0" borderId="0" xfId="0" applyNumberFormat="1" applyFont="1" applyAlignment="1">
      <alignment horizontal="right"/>
    </xf>
    <xf numFmtId="3" fontId="19" fillId="0" borderId="0" xfId="0" applyNumberFormat="1" applyFont="1" applyAlignment="1">
      <alignment horizontal="left"/>
    </xf>
    <xf numFmtId="3" fontId="32" fillId="13" borderId="27" xfId="0" applyNumberFormat="1" applyFont="1" applyFill="1" applyBorder="1" applyAlignment="1">
      <alignment horizontal="right"/>
    </xf>
    <xf numFmtId="178" fontId="33" fillId="0" borderId="0" xfId="0" applyNumberFormat="1" applyFont="1" applyAlignment="1">
      <alignment horizontal="right"/>
    </xf>
    <xf numFmtId="0" fontId="19" fillId="15" borderId="5" xfId="0" applyFont="1" applyFill="1" applyBorder="1" applyAlignment="1"/>
    <xf numFmtId="3" fontId="19" fillId="15" borderId="5" xfId="0" applyNumberFormat="1" applyFont="1" applyFill="1" applyBorder="1" applyAlignment="1"/>
    <xf numFmtId="3" fontId="14" fillId="0" borderId="0" xfId="0" applyNumberFormat="1" applyFont="1" applyAlignment="1"/>
    <xf numFmtId="3" fontId="32" fillId="0" borderId="0" xfId="0" applyNumberFormat="1" applyFont="1" applyAlignment="1">
      <alignment horizontal="left"/>
    </xf>
    <xf numFmtId="3" fontId="32" fillId="16" borderId="5" xfId="0" applyNumberFormat="1" applyFont="1" applyFill="1" applyBorder="1" applyAlignment="1">
      <alignment horizontal="right"/>
    </xf>
    <xf numFmtId="177" fontId="4" fillId="0" borderId="0" xfId="0" applyNumberFormat="1" applyFont="1" applyAlignment="1"/>
    <xf numFmtId="0" fontId="19" fillId="15" borderId="0" xfId="0" applyFont="1" applyFill="1" applyAlignment="1"/>
    <xf numFmtId="3" fontId="32" fillId="15" borderId="0" xfId="0" applyNumberFormat="1" applyFont="1" applyFill="1" applyAlignment="1"/>
    <xf numFmtId="3" fontId="32" fillId="0" borderId="0" xfId="0" applyNumberFormat="1" applyFont="1" applyAlignment="1"/>
    <xf numFmtId="3" fontId="32" fillId="0" borderId="0" xfId="0" applyNumberFormat="1" applyFont="1"/>
    <xf numFmtId="4" fontId="4" fillId="0" borderId="0" xfId="0" applyNumberFormat="1" applyFont="1"/>
    <xf numFmtId="0" fontId="4" fillId="16" borderId="0" xfId="0" applyFont="1" applyFill="1" applyAlignment="1"/>
    <xf numFmtId="0" fontId="10" fillId="4" borderId="4" xfId="0" applyFont="1" applyFill="1" applyBorder="1" applyAlignment="1">
      <alignment horizontal="center" wrapText="1"/>
    </xf>
    <xf numFmtId="0" fontId="10" fillId="4" borderId="22" xfId="0" applyFont="1" applyFill="1" applyBorder="1" applyAlignment="1">
      <alignment horizontal="center" wrapText="1"/>
    </xf>
    <xf numFmtId="3" fontId="24" fillId="22" borderId="4" xfId="0" applyNumberFormat="1" applyFont="1" applyFill="1" applyBorder="1" applyAlignment="1">
      <alignment horizontal="center" vertical="center" wrapText="1"/>
    </xf>
    <xf numFmtId="3" fontId="24" fillId="22" borderId="22" xfId="0" applyNumberFormat="1" applyFont="1" applyFill="1" applyBorder="1" applyAlignment="1">
      <alignment horizontal="center" vertical="center" wrapText="1"/>
    </xf>
    <xf numFmtId="0" fontId="15" fillId="16" borderId="19" xfId="0" applyFont="1" applyFill="1" applyBorder="1" applyAlignment="1">
      <alignment horizontal="center" vertical="center"/>
    </xf>
    <xf numFmtId="3" fontId="15" fillId="16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4" borderId="5" xfId="0" applyFont="1" applyFill="1" applyBorder="1" applyAlignment="1">
      <alignment horizontal="center"/>
    </xf>
    <xf numFmtId="0" fontId="34" fillId="23" borderId="0" xfId="0" applyFont="1" applyFill="1" applyAlignment="1">
      <alignment horizontal="left" vertical="center"/>
    </xf>
    <xf numFmtId="0" fontId="34" fillId="23" borderId="0" xfId="0" applyFont="1" applyFill="1" applyAlignment="1">
      <alignment horizontal="center" vertical="center"/>
    </xf>
    <xf numFmtId="3" fontId="9" fillId="17" borderId="5" xfId="0" applyNumberFormat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3" fontId="9" fillId="22" borderId="7" xfId="0" applyNumberFormat="1" applyFont="1" applyFill="1" applyBorder="1" applyAlignment="1">
      <alignment horizontal="center" vertical="center"/>
    </xf>
    <xf numFmtId="0" fontId="34" fillId="8" borderId="0" xfId="0" applyFont="1" applyFill="1" applyAlignment="1">
      <alignment horizontal="left" vertical="center"/>
    </xf>
    <xf numFmtId="0" fontId="34" fillId="23" borderId="1" xfId="0" applyFont="1" applyFill="1" applyBorder="1" applyAlignment="1">
      <alignment horizontal="left" vertical="center"/>
    </xf>
    <xf numFmtId="0" fontId="34" fillId="23" borderId="7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center" vertical="center"/>
    </xf>
    <xf numFmtId="3" fontId="9" fillId="3" borderId="5" xfId="0" applyNumberFormat="1" applyFont="1" applyFill="1" applyBorder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20" borderId="3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3" fontId="9" fillId="8" borderId="0" xfId="0" applyNumberFormat="1" applyFont="1" applyFill="1" applyAlignment="1">
      <alignment horizontal="center" vertical="center"/>
    </xf>
    <xf numFmtId="3" fontId="9" fillId="17" borderId="3" xfId="0" applyNumberFormat="1" applyFont="1" applyFill="1" applyBorder="1" applyAlignment="1">
      <alignment horizontal="center" vertical="center" wrapText="1"/>
    </xf>
    <xf numFmtId="3" fontId="9" fillId="17" borderId="0" xfId="0" applyNumberFormat="1" applyFont="1" applyFill="1" applyAlignment="1">
      <alignment horizontal="center" vertical="center"/>
    </xf>
    <xf numFmtId="3" fontId="11" fillId="9" borderId="5" xfId="0" applyNumberFormat="1" applyFont="1" applyFill="1" applyBorder="1" applyAlignment="1"/>
    <xf numFmtId="3" fontId="32" fillId="0" borderId="0" xfId="0" applyNumberFormat="1" applyFont="1" applyAlignment="1">
      <alignment horizontal="right"/>
    </xf>
    <xf numFmtId="3" fontId="32" fillId="0" borderId="3" xfId="0" applyNumberFormat="1" applyFont="1" applyBorder="1" applyAlignment="1">
      <alignment horizontal="right"/>
    </xf>
    <xf numFmtId="0" fontId="4" fillId="11" borderId="5" xfId="0" applyFont="1" applyFill="1" applyBorder="1" applyAlignment="1"/>
    <xf numFmtId="3" fontId="4" fillId="0" borderId="3" xfId="0" applyNumberFormat="1" applyFont="1" applyBorder="1"/>
    <xf numFmtId="3" fontId="32" fillId="0" borderId="0" xfId="0" applyNumberFormat="1" applyFont="1" applyAlignment="1">
      <alignment horizontal="right"/>
    </xf>
    <xf numFmtId="3" fontId="12" fillId="0" borderId="34" xfId="0" applyNumberFormat="1" applyFont="1" applyBorder="1" applyAlignment="1">
      <alignment horizontal="center"/>
    </xf>
    <xf numFmtId="3" fontId="4" fillId="0" borderId="3" xfId="0" applyNumberFormat="1" applyFont="1" applyBorder="1" applyAlignment="1"/>
    <xf numFmtId="3" fontId="12" fillId="0" borderId="11" xfId="0" applyNumberFormat="1" applyFont="1" applyBorder="1" applyAlignment="1">
      <alignment horizontal="center"/>
    </xf>
    <xf numFmtId="3" fontId="11" fillId="9" borderId="12" xfId="0" applyNumberFormat="1" applyFont="1" applyFill="1" applyBorder="1" applyAlignment="1"/>
    <xf numFmtId="3" fontId="32" fillId="0" borderId="10" xfId="0" applyNumberFormat="1" applyFont="1" applyBorder="1" applyAlignment="1">
      <alignment horizontal="right"/>
    </xf>
    <xf numFmtId="3" fontId="32" fillId="0" borderId="9" xfId="0" applyNumberFormat="1" applyFont="1" applyBorder="1" applyAlignment="1">
      <alignment horizontal="right"/>
    </xf>
    <xf numFmtId="0" fontId="4" fillId="0" borderId="12" xfId="0" applyFont="1" applyBorder="1" applyAlignment="1"/>
    <xf numFmtId="0" fontId="4" fillId="11" borderId="12" xfId="0" applyFont="1" applyFill="1" applyBorder="1" applyAlignment="1"/>
    <xf numFmtId="3" fontId="4" fillId="0" borderId="9" xfId="0" applyNumberFormat="1" applyFont="1" applyBorder="1" applyAlignment="1"/>
    <xf numFmtId="0" fontId="4" fillId="5" borderId="5" xfId="0" applyFont="1" applyFill="1" applyBorder="1" applyAlignment="1"/>
    <xf numFmtId="0" fontId="4" fillId="5" borderId="12" xfId="0" applyFont="1" applyFill="1" applyBorder="1" applyAlignment="1"/>
    <xf numFmtId="0" fontId="4" fillId="0" borderId="5" xfId="0" applyFont="1" applyBorder="1" applyAlignment="1"/>
    <xf numFmtId="3" fontId="19" fillId="0" borderId="0" xfId="0" applyNumberFormat="1" applyFont="1" applyAlignment="1">
      <alignment horizontal="right"/>
    </xf>
    <xf numFmtId="3" fontId="19" fillId="0" borderId="3" xfId="0" applyNumberFormat="1" applyFont="1" applyBorder="1" applyAlignment="1">
      <alignment horizontal="right"/>
    </xf>
    <xf numFmtId="3" fontId="19" fillId="12" borderId="3" xfId="0" applyNumberFormat="1" applyFont="1" applyFill="1" applyBorder="1" applyAlignment="1">
      <alignment horizontal="right"/>
    </xf>
    <xf numFmtId="3" fontId="32" fillId="12" borderId="3" xfId="0" applyNumberFormat="1" applyFont="1" applyFill="1" applyBorder="1" applyAlignment="1">
      <alignment horizontal="right"/>
    </xf>
    <xf numFmtId="3" fontId="4" fillId="0" borderId="9" xfId="0" applyNumberFormat="1" applyFont="1" applyBorder="1"/>
    <xf numFmtId="0" fontId="19" fillId="0" borderId="0" xfId="0" applyFont="1"/>
    <xf numFmtId="0" fontId="10" fillId="4" borderId="6" xfId="0" applyFont="1" applyFill="1" applyBorder="1" applyAlignment="1">
      <alignment horizontal="center"/>
    </xf>
    <xf numFmtId="3" fontId="35" fillId="11" borderId="6" xfId="0" applyNumberFormat="1" applyFont="1" applyFill="1" applyBorder="1" applyAlignment="1">
      <alignment horizontal="left" vertical="center"/>
    </xf>
    <xf numFmtId="3" fontId="35" fillId="11" borderId="6" xfId="0" applyNumberFormat="1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left" vertical="center"/>
    </xf>
    <xf numFmtId="3" fontId="10" fillId="3" borderId="34" xfId="0" applyNumberFormat="1" applyFont="1" applyFill="1" applyBorder="1" applyAlignment="1">
      <alignment horizontal="center" vertical="center"/>
    </xf>
    <xf numFmtId="3" fontId="36" fillId="3" borderId="34" xfId="0" applyNumberFormat="1" applyFont="1" applyFill="1" applyBorder="1" applyAlignment="1">
      <alignment horizontal="left" vertical="center"/>
    </xf>
    <xf numFmtId="3" fontId="35" fillId="3" borderId="34" xfId="0" applyNumberFormat="1" applyFont="1" applyFill="1" applyBorder="1" applyAlignment="1">
      <alignment horizontal="center" vertical="center"/>
    </xf>
    <xf numFmtId="3" fontId="35" fillId="11" borderId="34" xfId="0" applyNumberFormat="1" applyFont="1" applyFill="1" applyBorder="1" applyAlignment="1">
      <alignment horizontal="left" vertical="center"/>
    </xf>
    <xf numFmtId="3" fontId="35" fillId="11" borderId="34" xfId="0" applyNumberFormat="1" applyFont="1" applyFill="1" applyBorder="1" applyAlignment="1">
      <alignment horizontal="center" vertical="center"/>
    </xf>
    <xf numFmtId="3" fontId="9" fillId="3" borderId="0" xfId="0" applyNumberFormat="1" applyFont="1" applyFill="1" applyAlignment="1">
      <alignment horizontal="center" vertical="center"/>
    </xf>
    <xf numFmtId="3" fontId="9" fillId="8" borderId="11" xfId="0" applyNumberFormat="1" applyFont="1" applyFill="1" applyBorder="1" applyAlignment="1">
      <alignment horizontal="center" vertical="center"/>
    </xf>
    <xf numFmtId="3" fontId="32" fillId="15" borderId="5" xfId="0" applyNumberFormat="1" applyFont="1" applyFill="1" applyBorder="1" applyAlignment="1">
      <alignment horizontal="right"/>
    </xf>
    <xf numFmtId="3" fontId="4" fillId="25" borderId="5" xfId="0" applyNumberFormat="1" applyFont="1" applyFill="1" applyBorder="1" applyAlignment="1"/>
    <xf numFmtId="0" fontId="4" fillId="15" borderId="9" xfId="0" applyFont="1" applyFill="1" applyBorder="1" applyAlignment="1"/>
    <xf numFmtId="3" fontId="32" fillId="15" borderId="12" xfId="0" applyNumberFormat="1" applyFont="1" applyFill="1" applyBorder="1" applyAlignment="1">
      <alignment horizontal="right"/>
    </xf>
    <xf numFmtId="3" fontId="4" fillId="25" borderId="12" xfId="0" applyNumberFormat="1" applyFont="1" applyFill="1" applyBorder="1" applyAlignment="1"/>
    <xf numFmtId="3" fontId="4" fillId="15" borderId="3" xfId="0" applyNumberFormat="1" applyFont="1" applyFill="1" applyBorder="1" applyAlignment="1"/>
    <xf numFmtId="3" fontId="19" fillId="15" borderId="5" xfId="0" applyNumberFormat="1" applyFont="1" applyFill="1" applyBorder="1" applyAlignment="1">
      <alignment horizontal="right"/>
    </xf>
    <xf numFmtId="0" fontId="33" fillId="15" borderId="0" xfId="0" applyFont="1" applyFill="1" applyAlignment="1">
      <alignment horizontal="left"/>
    </xf>
    <xf numFmtId="3" fontId="4" fillId="26" borderId="3" xfId="0" applyNumberFormat="1" applyFont="1" applyFill="1" applyBorder="1" applyAlignment="1"/>
    <xf numFmtId="3" fontId="32" fillId="13" borderId="5" xfId="0" applyNumberFormat="1" applyFont="1" applyFill="1" applyBorder="1" applyAlignment="1">
      <alignment horizontal="right"/>
    </xf>
    <xf numFmtId="0" fontId="4" fillId="15" borderId="3" xfId="0" applyFont="1" applyFill="1" applyBorder="1" applyAlignment="1"/>
    <xf numFmtId="3" fontId="4" fillId="14" borderId="5" xfId="0" applyNumberFormat="1" applyFont="1" applyFill="1" applyBorder="1" applyAlignment="1"/>
    <xf numFmtId="3" fontId="4" fillId="27" borderId="12" xfId="0" applyNumberFormat="1" applyFont="1" applyFill="1" applyBorder="1" applyAlignment="1"/>
    <xf numFmtId="3" fontId="4" fillId="16" borderId="3" xfId="0" applyNumberFormat="1" applyFont="1" applyFill="1" applyBorder="1" applyAlignment="1"/>
    <xf numFmtId="3" fontId="4" fillId="27" borderId="5" xfId="0" applyNumberFormat="1" applyFont="1" applyFill="1" applyBorder="1" applyAlignment="1"/>
    <xf numFmtId="0" fontId="4" fillId="13" borderId="0" xfId="0" applyFont="1" applyFill="1" applyAlignment="1"/>
    <xf numFmtId="3" fontId="4" fillId="14" borderId="12" xfId="0" applyNumberFormat="1" applyFont="1" applyFill="1" applyBorder="1" applyAlignment="1"/>
    <xf numFmtId="0" fontId="32" fillId="0" borderId="0" xfId="0" applyFont="1" applyAlignment="1"/>
    <xf numFmtId="3" fontId="4" fillId="18" borderId="3" xfId="0" applyNumberFormat="1" applyFont="1" applyFill="1" applyBorder="1" applyAlignment="1"/>
    <xf numFmtId="3" fontId="4" fillId="28" borderId="3" xfId="0" applyNumberFormat="1" applyFont="1" applyFill="1" applyBorder="1" applyAlignment="1"/>
    <xf numFmtId="3" fontId="32" fillId="16" borderId="12" xfId="0" applyNumberFormat="1" applyFont="1" applyFill="1" applyBorder="1" applyAlignment="1">
      <alignment horizontal="right"/>
    </xf>
    <xf numFmtId="3" fontId="19" fillId="15" borderId="12" xfId="0" applyNumberFormat="1" applyFont="1" applyFill="1" applyBorder="1" applyAlignment="1">
      <alignment horizontal="right"/>
    </xf>
    <xf numFmtId="0" fontId="4" fillId="28" borderId="9" xfId="0" applyFont="1" applyFill="1" applyBorder="1" applyAlignment="1"/>
    <xf numFmtId="3" fontId="37" fillId="0" borderId="0" xfId="0" applyNumberFormat="1" applyFont="1" applyAlignment="1"/>
    <xf numFmtId="2" fontId="14" fillId="0" borderId="0" xfId="0" applyNumberFormat="1" applyFont="1"/>
    <xf numFmtId="0" fontId="37" fillId="0" borderId="0" xfId="0" applyFont="1" applyAlignment="1"/>
    <xf numFmtId="179" fontId="14" fillId="0" borderId="0" xfId="0" applyNumberFormat="1" applyFont="1"/>
    <xf numFmtId="3" fontId="10" fillId="3" borderId="6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/>
    <xf numFmtId="3" fontId="33" fillId="15" borderId="0" xfId="0" applyNumberFormat="1" applyFont="1" applyFill="1" applyAlignment="1">
      <alignment horizontal="left"/>
    </xf>
    <xf numFmtId="0" fontId="38" fillId="0" borderId="0" xfId="0" applyFont="1" applyAlignment="1"/>
    <xf numFmtId="0" fontId="39" fillId="0" borderId="0" xfId="0" applyFont="1" applyAlignment="1"/>
    <xf numFmtId="1" fontId="38" fillId="0" borderId="0" xfId="0" applyNumberFormat="1" applyFont="1" applyAlignment="1"/>
    <xf numFmtId="0" fontId="38" fillId="0" borderId="0" xfId="0" applyFont="1"/>
    <xf numFmtId="3" fontId="38" fillId="0" borderId="0" xfId="0" applyNumberFormat="1" applyFont="1"/>
    <xf numFmtId="3" fontId="40" fillId="3" borderId="29" xfId="0" applyNumberFormat="1" applyFont="1" applyFill="1" applyBorder="1" applyAlignment="1">
      <alignment horizontal="center" vertical="center"/>
    </xf>
    <xf numFmtId="0" fontId="38" fillId="15" borderId="0" xfId="0" applyFont="1" applyFill="1" applyAlignment="1">
      <alignment horizontal="left"/>
    </xf>
    <xf numFmtId="0" fontId="41" fillId="8" borderId="1" xfId="0" applyFont="1" applyFill="1" applyBorder="1" applyAlignment="1">
      <alignment horizontal="center" vertical="center"/>
    </xf>
    <xf numFmtId="3" fontId="41" fillId="3" borderId="7" xfId="0" applyNumberFormat="1" applyFont="1" applyFill="1" applyBorder="1" applyAlignment="1">
      <alignment horizontal="center" vertical="center"/>
    </xf>
    <xf numFmtId="3" fontId="41" fillId="3" borderId="0" xfId="0" applyNumberFormat="1" applyFont="1" applyFill="1" applyAlignment="1">
      <alignment horizontal="center" vertical="center"/>
    </xf>
    <xf numFmtId="0" fontId="41" fillId="20" borderId="0" xfId="0" applyFont="1" applyFill="1" applyAlignment="1">
      <alignment horizontal="center" vertical="center"/>
    </xf>
    <xf numFmtId="0" fontId="41" fillId="20" borderId="3" xfId="0" applyFont="1" applyFill="1" applyBorder="1" applyAlignment="1">
      <alignment horizontal="center" vertical="center"/>
    </xf>
    <xf numFmtId="0" fontId="41" fillId="8" borderId="0" xfId="0" applyFont="1" applyFill="1" applyAlignment="1">
      <alignment horizontal="center" vertical="center"/>
    </xf>
    <xf numFmtId="3" fontId="41" fillId="3" borderId="5" xfId="0" applyNumberFormat="1" applyFont="1" applyFill="1" applyBorder="1" applyAlignment="1">
      <alignment horizontal="center" vertical="center"/>
    </xf>
    <xf numFmtId="0" fontId="41" fillId="8" borderId="0" xfId="0" applyFont="1" applyFill="1" applyAlignment="1">
      <alignment horizontal="center" vertical="center" wrapText="1"/>
    </xf>
    <xf numFmtId="3" fontId="41" fillId="3" borderId="5" xfId="0" applyNumberFormat="1" applyFont="1" applyFill="1" applyBorder="1" applyAlignment="1">
      <alignment horizontal="center" vertical="center" wrapText="1"/>
    </xf>
    <xf numFmtId="0" fontId="0" fillId="15" borderId="0" xfId="0" applyFont="1" applyFill="1" applyAlignment="1">
      <alignment horizontal="left"/>
    </xf>
    <xf numFmtId="177" fontId="38" fillId="0" borderId="29" xfId="0" applyNumberFormat="1" applyFont="1" applyBorder="1" applyAlignment="1">
      <alignment horizontal="left"/>
    </xf>
    <xf numFmtId="0" fontId="38" fillId="0" borderId="28" xfId="0" applyFont="1" applyBorder="1" applyAlignment="1"/>
    <xf numFmtId="3" fontId="38" fillId="0" borderId="28" xfId="0" applyNumberFormat="1" applyFont="1" applyBorder="1" applyAlignment="1"/>
    <xf numFmtId="3" fontId="0" fillId="15" borderId="28" xfId="0" applyNumberFormat="1" applyFont="1" applyFill="1" applyBorder="1" applyAlignment="1"/>
    <xf numFmtId="3" fontId="42" fillId="15" borderId="28" xfId="0" applyNumberFormat="1" applyFont="1" applyFill="1" applyBorder="1" applyAlignment="1">
      <alignment horizontal="right"/>
    </xf>
    <xf numFmtId="0" fontId="43" fillId="0" borderId="28" xfId="0" applyFont="1" applyBorder="1" applyAlignment="1"/>
    <xf numFmtId="0" fontId="38" fillId="0" borderId="30" xfId="0" applyFont="1" applyBorder="1" applyAlignment="1"/>
    <xf numFmtId="177" fontId="38" fillId="0" borderId="1" xfId="0" applyNumberFormat="1" applyFont="1" applyBorder="1" applyAlignment="1">
      <alignment horizontal="left"/>
    </xf>
    <xf numFmtId="0" fontId="38" fillId="0" borderId="2" xfId="0" applyFont="1" applyBorder="1" applyAlignment="1"/>
    <xf numFmtId="3" fontId="38" fillId="0" borderId="0" xfId="0" applyNumberFormat="1" applyFont="1" applyAlignment="1"/>
    <xf numFmtId="3" fontId="0" fillId="15" borderId="2" xfId="0" applyNumberFormat="1" applyFont="1" applyFill="1" applyBorder="1" applyAlignment="1"/>
    <xf numFmtId="3" fontId="42" fillId="15" borderId="2" xfId="0" applyNumberFormat="1" applyFont="1" applyFill="1" applyBorder="1" applyAlignment="1">
      <alignment horizontal="right"/>
    </xf>
    <xf numFmtId="3" fontId="43" fillId="15" borderId="2" xfId="0" applyNumberFormat="1" applyFont="1" applyFill="1" applyBorder="1" applyAlignment="1"/>
    <xf numFmtId="0" fontId="38" fillId="0" borderId="2" xfId="0" applyFont="1" applyBorder="1"/>
    <xf numFmtId="3" fontId="38" fillId="0" borderId="2" xfId="0" applyNumberFormat="1" applyFont="1" applyBorder="1" applyAlignment="1"/>
    <xf numFmtId="0" fontId="38" fillId="0" borderId="7" xfId="0" applyFont="1" applyBorder="1" applyAlignment="1"/>
    <xf numFmtId="177" fontId="38" fillId="0" borderId="3" xfId="0" applyNumberFormat="1" applyFont="1" applyBorder="1" applyAlignment="1">
      <alignment horizontal="left"/>
    </xf>
    <xf numFmtId="3" fontId="0" fillId="15" borderId="0" xfId="0" applyNumberFormat="1" applyFont="1" applyFill="1" applyAlignment="1"/>
    <xf numFmtId="3" fontId="42" fillId="15" borderId="0" xfId="0" applyNumberFormat="1" applyFont="1" applyFill="1" applyAlignment="1">
      <alignment horizontal="right"/>
    </xf>
    <xf numFmtId="3" fontId="43" fillId="15" borderId="0" xfId="0" applyNumberFormat="1" applyFont="1" applyFill="1" applyAlignment="1"/>
    <xf numFmtId="0" fontId="38" fillId="0" borderId="5" xfId="0" applyFont="1" applyBorder="1" applyAlignment="1"/>
    <xf numFmtId="177" fontId="38" fillId="0" borderId="9" xfId="0" applyNumberFormat="1" applyFont="1" applyBorder="1" applyAlignment="1">
      <alignment horizontal="left"/>
    </xf>
    <xf numFmtId="0" fontId="38" fillId="0" borderId="10" xfId="0" applyFont="1" applyBorder="1" applyAlignment="1"/>
    <xf numFmtId="3" fontId="38" fillId="0" borderId="10" xfId="0" applyNumberFormat="1" applyFont="1" applyBorder="1" applyAlignment="1"/>
    <xf numFmtId="3" fontId="0" fillId="15" borderId="10" xfId="0" applyNumberFormat="1" applyFont="1" applyFill="1" applyBorder="1" applyAlignment="1"/>
    <xf numFmtId="3" fontId="42" fillId="15" borderId="10" xfId="0" applyNumberFormat="1" applyFont="1" applyFill="1" applyBorder="1" applyAlignment="1">
      <alignment horizontal="right"/>
    </xf>
    <xf numFmtId="3" fontId="43" fillId="15" borderId="10" xfId="0" applyNumberFormat="1" applyFont="1" applyFill="1" applyBorder="1" applyAlignment="1"/>
    <xf numFmtId="0" fontId="38" fillId="0" borderId="12" xfId="0" applyFont="1" applyBorder="1" applyAlignment="1"/>
    <xf numFmtId="0" fontId="38" fillId="15" borderId="0" xfId="0" applyFont="1" applyFill="1" applyAlignment="1"/>
    <xf numFmtId="0" fontId="0" fillId="15" borderId="0" xfId="0" applyFont="1" applyFill="1" applyAlignment="1"/>
    <xf numFmtId="0" fontId="38" fillId="0" borderId="10" xfId="0" applyFont="1" applyBorder="1"/>
    <xf numFmtId="0" fontId="38" fillId="15" borderId="0" xfId="0" applyFont="1" applyFill="1" applyAlignment="1">
      <alignment vertical="center"/>
    </xf>
    <xf numFmtId="0" fontId="44" fillId="15" borderId="0" xfId="0" applyFont="1" applyFill="1" applyAlignment="1"/>
    <xf numFmtId="0" fontId="38" fillId="0" borderId="10" xfId="0" applyFont="1" applyBorder="1" applyAlignment="1"/>
    <xf numFmtId="0" fontId="38" fillId="0" borderId="0" xfId="0" quotePrefix="1" applyFont="1" applyAlignment="1"/>
    <xf numFmtId="0" fontId="39" fillId="15" borderId="0" xfId="0" applyFont="1" applyFill="1" applyAlignment="1"/>
    <xf numFmtId="3" fontId="45" fillId="0" borderId="0" xfId="0" applyNumberFormat="1" applyFont="1" applyAlignment="1">
      <alignment horizontal="right"/>
    </xf>
    <xf numFmtId="0" fontId="40" fillId="4" borderId="29" xfId="0" applyFont="1" applyFill="1" applyBorder="1" applyAlignment="1">
      <alignment horizontal="center"/>
    </xf>
    <xf numFmtId="3" fontId="46" fillId="4" borderId="0" xfId="0" applyNumberFormat="1" applyFont="1" applyFill="1" applyAlignment="1">
      <alignment horizontal="center"/>
    </xf>
    <xf numFmtId="0" fontId="46" fillId="4" borderId="0" xfId="0" applyFont="1" applyFill="1" applyAlignment="1">
      <alignment horizontal="center"/>
    </xf>
    <xf numFmtId="0" fontId="46" fillId="4" borderId="0" xfId="0" applyFont="1" applyFill="1" applyAlignment="1">
      <alignment horizontal="center"/>
    </xf>
    <xf numFmtId="3" fontId="46" fillId="4" borderId="0" xfId="0" applyNumberFormat="1" applyFont="1" applyFill="1" applyAlignment="1">
      <alignment horizontal="center"/>
    </xf>
    <xf numFmtId="3" fontId="46" fillId="4" borderId="0" xfId="0" applyNumberFormat="1" applyFont="1" applyFill="1" applyAlignment="1">
      <alignment horizontal="center"/>
    </xf>
    <xf numFmtId="0" fontId="41" fillId="8" borderId="34" xfId="0" applyFont="1" applyFill="1" applyBorder="1" applyAlignment="1">
      <alignment horizontal="center" vertical="center"/>
    </xf>
    <xf numFmtId="3" fontId="41" fillId="3" borderId="34" xfId="0" applyNumberFormat="1" applyFont="1" applyFill="1" applyBorder="1" applyAlignment="1">
      <alignment horizontal="center" vertical="center"/>
    </xf>
    <xf numFmtId="0" fontId="41" fillId="18" borderId="34" xfId="0" applyFont="1" applyFill="1" applyBorder="1" applyAlignment="1">
      <alignment horizontal="center" vertical="center"/>
    </xf>
    <xf numFmtId="3" fontId="41" fillId="13" borderId="34" xfId="0" applyNumberFormat="1" applyFont="1" applyFill="1" applyBorder="1" applyAlignment="1">
      <alignment horizontal="center" vertical="center"/>
    </xf>
    <xf numFmtId="0" fontId="47" fillId="8" borderId="0" xfId="0" applyFont="1" applyFill="1" applyAlignment="1">
      <alignment horizontal="center" wrapText="1"/>
    </xf>
    <xf numFmtId="3" fontId="47" fillId="8" borderId="0" xfId="0" applyNumberFormat="1" applyFont="1" applyFill="1" applyAlignment="1">
      <alignment horizontal="center" wrapText="1"/>
    </xf>
    <xf numFmtId="178" fontId="47" fillId="8" borderId="0" xfId="0" applyNumberFormat="1" applyFont="1" applyFill="1" applyAlignment="1">
      <alignment horizontal="center" wrapText="1"/>
    </xf>
    <xf numFmtId="177" fontId="33" fillId="0" borderId="0" xfId="0" applyNumberFormat="1" applyFont="1" applyAlignment="1"/>
    <xf numFmtId="0" fontId="33" fillId="0" borderId="0" xfId="0" applyFont="1" applyAlignment="1"/>
    <xf numFmtId="3" fontId="12" fillId="0" borderId="0" xfId="0" applyNumberFormat="1" applyFont="1" applyAlignment="1">
      <alignment horizontal="right"/>
    </xf>
    <xf numFmtId="3" fontId="33" fillId="0" borderId="0" xfId="0" applyNumberFormat="1" applyFont="1" applyAlignment="1">
      <alignment horizontal="right"/>
    </xf>
    <xf numFmtId="178" fontId="33" fillId="0" borderId="0" xfId="0" applyNumberFormat="1" applyFont="1" applyAlignment="1">
      <alignment horizontal="right"/>
    </xf>
    <xf numFmtId="9" fontId="33" fillId="0" borderId="0" xfId="0" applyNumberFormat="1" applyFont="1" applyAlignment="1">
      <alignment horizontal="right"/>
    </xf>
    <xf numFmtId="3" fontId="12" fillId="0" borderId="0" xfId="0" applyNumberFormat="1" applyFont="1" applyAlignment="1"/>
    <xf numFmtId="0" fontId="12" fillId="0" borderId="0" xfId="0" applyFont="1" applyAlignment="1"/>
    <xf numFmtId="0" fontId="33" fillId="0" borderId="0" xfId="0" applyFont="1" applyAlignment="1"/>
    <xf numFmtId="3" fontId="33" fillId="0" borderId="0" xfId="0" applyNumberFormat="1" applyFont="1" applyAlignment="1"/>
    <xf numFmtId="0" fontId="33" fillId="0" borderId="35" xfId="0" applyFont="1" applyBorder="1" applyAlignment="1"/>
    <xf numFmtId="3" fontId="12" fillId="0" borderId="0" xfId="0" applyNumberFormat="1" applyFont="1" applyAlignment="1"/>
    <xf numFmtId="3" fontId="12" fillId="0" borderId="0" xfId="0" applyNumberFormat="1" applyFont="1" applyAlignment="1">
      <alignment horizontal="right"/>
    </xf>
    <xf numFmtId="0" fontId="12" fillId="0" borderId="0" xfId="0" applyFont="1" applyAlignment="1"/>
    <xf numFmtId="178" fontId="12" fillId="0" borderId="0" xfId="0" applyNumberFormat="1" applyFont="1" applyAlignment="1">
      <alignment horizontal="right"/>
    </xf>
    <xf numFmtId="9" fontId="12" fillId="0" borderId="0" xfId="0" applyNumberFormat="1" applyFont="1" applyAlignment="1">
      <alignment horizontal="right"/>
    </xf>
    <xf numFmtId="177" fontId="48" fillId="0" borderId="0" xfId="0" applyNumberFormat="1" applyFont="1" applyAlignment="1"/>
    <xf numFmtId="0" fontId="48" fillId="0" borderId="0" xfId="0" applyFont="1" applyAlignment="1"/>
    <xf numFmtId="3" fontId="48" fillId="0" borderId="0" xfId="0" applyNumberFormat="1" applyFont="1" applyAlignment="1">
      <alignment horizontal="right"/>
    </xf>
    <xf numFmtId="178" fontId="48" fillId="0" borderId="0" xfId="0" applyNumberFormat="1" applyFont="1" applyAlignment="1">
      <alignment horizontal="right"/>
    </xf>
    <xf numFmtId="9" fontId="48" fillId="0" borderId="0" xfId="0" applyNumberFormat="1" applyFont="1" applyAlignment="1">
      <alignment horizontal="right"/>
    </xf>
    <xf numFmtId="9" fontId="33" fillId="29" borderId="0" xfId="0" applyNumberFormat="1" applyFont="1" applyFill="1" applyAlignment="1">
      <alignment horizontal="right"/>
    </xf>
    <xf numFmtId="3" fontId="33" fillId="0" borderId="0" xfId="0" applyNumberFormat="1" applyFont="1" applyAlignment="1"/>
    <xf numFmtId="3" fontId="48" fillId="0" borderId="0" xfId="0" applyNumberFormat="1" applyFont="1" applyAlignment="1"/>
    <xf numFmtId="3" fontId="49" fillId="0" borderId="0" xfId="0" applyNumberFormat="1" applyFont="1" applyAlignment="1">
      <alignment horizontal="right"/>
    </xf>
    <xf numFmtId="9" fontId="33" fillId="0" borderId="0" xfId="0" applyNumberFormat="1" applyFont="1" applyAlignment="1">
      <alignment horizontal="right"/>
    </xf>
    <xf numFmtId="3" fontId="33" fillId="0" borderId="0" xfId="0" applyNumberFormat="1" applyFont="1" applyAlignment="1">
      <alignment horizontal="right"/>
    </xf>
    <xf numFmtId="178" fontId="33" fillId="0" borderId="0" xfId="0" applyNumberFormat="1" applyFont="1" applyAlignment="1">
      <alignment horizontal="right"/>
    </xf>
    <xf numFmtId="0" fontId="12" fillId="0" borderId="0" xfId="0" applyFont="1" applyAlignment="1"/>
    <xf numFmtId="0" fontId="50" fillId="0" borderId="35" xfId="0" applyFont="1" applyBorder="1" applyAlignment="1"/>
    <xf numFmtId="3" fontId="51" fillId="0" borderId="0" xfId="0" applyNumberFormat="1" applyFont="1" applyAlignment="1">
      <alignment horizontal="right"/>
    </xf>
    <xf numFmtId="3" fontId="51" fillId="15" borderId="0" xfId="0" applyNumberFormat="1" applyFont="1" applyFill="1" applyAlignment="1">
      <alignment horizontal="right"/>
    </xf>
    <xf numFmtId="0" fontId="51" fillId="15" borderId="0" xfId="0" applyFont="1" applyFill="1" applyAlignment="1">
      <alignment horizontal="right"/>
    </xf>
    <xf numFmtId="0" fontId="12" fillId="15" borderId="0" xfId="0" applyFont="1" applyFill="1" applyAlignment="1"/>
    <xf numFmtId="3" fontId="12" fillId="0" borderId="0" xfId="0" applyNumberFormat="1" applyFont="1" applyAlignment="1">
      <alignment horizontal="right"/>
    </xf>
    <xf numFmtId="0" fontId="50" fillId="15" borderId="35" xfId="0" applyFont="1" applyFill="1" applyBorder="1" applyAlignment="1"/>
    <xf numFmtId="3" fontId="48" fillId="0" borderId="0" xfId="0" applyNumberFormat="1" applyFont="1" applyAlignment="1">
      <alignment horizontal="right"/>
    </xf>
    <xf numFmtId="178" fontId="48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50" fillId="15" borderId="0" xfId="0" applyFont="1" applyFill="1" applyAlignment="1"/>
    <xf numFmtId="0" fontId="50" fillId="0" borderId="0" xfId="0" applyFont="1" applyAlignment="1"/>
    <xf numFmtId="3" fontId="50" fillId="15" borderId="0" xfId="0" applyNumberFormat="1" applyFont="1" applyFill="1" applyAlignment="1"/>
    <xf numFmtId="3" fontId="12" fillId="15" borderId="0" xfId="0" applyNumberFormat="1" applyFont="1" applyFill="1" applyAlignment="1"/>
    <xf numFmtId="0" fontId="40" fillId="4" borderId="30" xfId="0" applyFont="1" applyFill="1" applyBorder="1" applyAlignment="1">
      <alignment horizontal="center"/>
    </xf>
    <xf numFmtId="3" fontId="46" fillId="4" borderId="0" xfId="0" applyNumberFormat="1" applyFont="1" applyFill="1" applyAlignment="1">
      <alignment horizontal="center"/>
    </xf>
    <xf numFmtId="177" fontId="12" fillId="0" borderId="0" xfId="0" applyNumberFormat="1" applyFont="1" applyAlignment="1"/>
    <xf numFmtId="3" fontId="12" fillId="30" borderId="0" xfId="0" applyNumberFormat="1" applyFont="1" applyFill="1" applyAlignment="1">
      <alignment horizontal="right"/>
    </xf>
    <xf numFmtId="0" fontId="40" fillId="4" borderId="28" xfId="0" applyFont="1" applyFill="1" applyBorder="1" applyAlignment="1">
      <alignment horizontal="center"/>
    </xf>
    <xf numFmtId="0" fontId="46" fillId="4" borderId="29" xfId="0" applyFont="1" applyFill="1" applyBorder="1" applyAlignment="1">
      <alignment horizontal="center"/>
    </xf>
    <xf numFmtId="0" fontId="46" fillId="4" borderId="28" xfId="0" applyFont="1" applyFill="1" applyBorder="1" applyAlignment="1">
      <alignment horizontal="center"/>
    </xf>
    <xf numFmtId="0" fontId="46" fillId="4" borderId="30" xfId="0" applyFont="1" applyFill="1" applyBorder="1" applyAlignment="1">
      <alignment horizontal="center"/>
    </xf>
    <xf numFmtId="3" fontId="46" fillId="3" borderId="29" xfId="0" applyNumberFormat="1" applyFont="1" applyFill="1" applyBorder="1" applyAlignment="1">
      <alignment horizontal="center"/>
    </xf>
    <xf numFmtId="3" fontId="46" fillId="3" borderId="28" xfId="0" applyNumberFormat="1" applyFont="1" applyFill="1" applyBorder="1" applyAlignment="1">
      <alignment horizontal="center"/>
    </xf>
    <xf numFmtId="3" fontId="46" fillId="3" borderId="30" xfId="0" applyNumberFormat="1" applyFont="1" applyFill="1" applyBorder="1" applyAlignment="1">
      <alignment horizontal="center"/>
    </xf>
    <xf numFmtId="3" fontId="46" fillId="8" borderId="29" xfId="0" applyNumberFormat="1" applyFont="1" applyFill="1" applyBorder="1" applyAlignment="1">
      <alignment horizontal="center"/>
    </xf>
    <xf numFmtId="3" fontId="46" fillId="8" borderId="28" xfId="0" applyNumberFormat="1" applyFont="1" applyFill="1" applyBorder="1" applyAlignment="1">
      <alignment horizontal="center"/>
    </xf>
    <xf numFmtId="3" fontId="46" fillId="8" borderId="30" xfId="0" applyNumberFormat="1" applyFont="1" applyFill="1" applyBorder="1" applyAlignment="1">
      <alignment horizontal="center"/>
    </xf>
    <xf numFmtId="0" fontId="47" fillId="3" borderId="29" xfId="0" applyFont="1" applyFill="1" applyBorder="1" applyAlignment="1">
      <alignment horizontal="center"/>
    </xf>
    <xf numFmtId="0" fontId="47" fillId="3" borderId="30" xfId="0" applyFont="1" applyFill="1" applyBorder="1" applyAlignment="1">
      <alignment horizontal="center"/>
    </xf>
    <xf numFmtId="0" fontId="47" fillId="8" borderId="34" xfId="0" applyFont="1" applyFill="1" applyBorder="1" applyAlignment="1">
      <alignment horizontal="center"/>
    </xf>
    <xf numFmtId="3" fontId="47" fillId="3" borderId="34" xfId="0" applyNumberFormat="1" applyFont="1" applyFill="1" applyBorder="1" applyAlignment="1">
      <alignment horizontal="center"/>
    </xf>
    <xf numFmtId="0" fontId="47" fillId="18" borderId="34" xfId="0" applyFont="1" applyFill="1" applyBorder="1" applyAlignment="1">
      <alignment horizontal="center"/>
    </xf>
    <xf numFmtId="3" fontId="47" fillId="13" borderId="34" xfId="0" applyNumberFormat="1" applyFont="1" applyFill="1" applyBorder="1" applyAlignment="1">
      <alignment horizontal="center"/>
    </xf>
    <xf numFmtId="0" fontId="47" fillId="20" borderId="34" xfId="0" applyFont="1" applyFill="1" applyBorder="1" applyAlignment="1">
      <alignment horizontal="center"/>
    </xf>
    <xf numFmtId="0" fontId="47" fillId="8" borderId="34" xfId="0" applyFont="1" applyFill="1" applyBorder="1" applyAlignment="1">
      <alignment horizontal="center" wrapText="1"/>
    </xf>
    <xf numFmtId="3" fontId="47" fillId="3" borderId="34" xfId="0" applyNumberFormat="1" applyFont="1" applyFill="1" applyBorder="1" applyAlignment="1">
      <alignment horizontal="center" wrapText="1"/>
    </xf>
    <xf numFmtId="177" fontId="12" fillId="0" borderId="34" xfId="0" applyNumberFormat="1" applyFont="1" applyBorder="1" applyAlignment="1"/>
    <xf numFmtId="0" fontId="12" fillId="0" borderId="34" xfId="0" applyFont="1" applyBorder="1" applyAlignment="1"/>
    <xf numFmtId="3" fontId="12" fillId="0" borderId="34" xfId="0" applyNumberFormat="1" applyFont="1" applyBorder="1" applyAlignment="1">
      <alignment horizontal="right"/>
    </xf>
    <xf numFmtId="3" fontId="33" fillId="15" borderId="34" xfId="0" applyNumberFormat="1" applyFont="1" applyFill="1" applyBorder="1" applyAlignment="1">
      <alignment horizontal="right"/>
    </xf>
    <xf numFmtId="3" fontId="33" fillId="0" borderId="34" xfId="0" applyNumberFormat="1" applyFont="1" applyBorder="1" applyAlignment="1">
      <alignment horizontal="right"/>
    </xf>
    <xf numFmtId="0" fontId="12" fillId="0" borderId="34" xfId="0" applyFont="1" applyBorder="1" applyAlignment="1"/>
    <xf numFmtId="0" fontId="12" fillId="0" borderId="34" xfId="0" applyFont="1" applyBorder="1" applyAlignment="1">
      <alignment horizontal="right"/>
    </xf>
    <xf numFmtId="3" fontId="52" fillId="15" borderId="34" xfId="0" applyNumberFormat="1" applyFont="1" applyFill="1" applyBorder="1" applyAlignment="1">
      <alignment horizontal="right"/>
    </xf>
    <xf numFmtId="3" fontId="48" fillId="0" borderId="34" xfId="0" applyNumberFormat="1" applyFont="1" applyBorder="1" applyAlignment="1">
      <alignment horizontal="right"/>
    </xf>
    <xf numFmtId="0" fontId="12" fillId="15" borderId="34" xfId="0" applyFont="1" applyFill="1" applyBorder="1" applyAlignment="1"/>
    <xf numFmtId="0" fontId="12" fillId="0" borderId="34" xfId="0" applyFont="1" applyBorder="1"/>
    <xf numFmtId="0" fontId="12" fillId="0" borderId="34" xfId="0" applyFont="1" applyBorder="1" applyAlignment="1"/>
    <xf numFmtId="0" fontId="12" fillId="0" borderId="34" xfId="0" applyFont="1" applyBorder="1"/>
    <xf numFmtId="0" fontId="12" fillId="15" borderId="34" xfId="0" applyFont="1" applyFill="1" applyBorder="1" applyAlignment="1"/>
    <xf numFmtId="0" fontId="33" fillId="0" borderId="34" xfId="0" applyFont="1" applyBorder="1" applyAlignment="1"/>
    <xf numFmtId="0" fontId="52" fillId="0" borderId="34" xfId="0" applyFont="1" applyBorder="1" applyAlignment="1"/>
    <xf numFmtId="0" fontId="12" fillId="0" borderId="34" xfId="0" applyFont="1" applyBorder="1" applyAlignment="1"/>
    <xf numFmtId="3" fontId="12" fillId="0" borderId="34" xfId="0" applyNumberFormat="1" applyFont="1" applyBorder="1" applyAlignment="1">
      <alignment horizontal="right"/>
    </xf>
    <xf numFmtId="0" fontId="12" fillId="0" borderId="34" xfId="0" applyFont="1" applyBorder="1" applyAlignment="1">
      <alignment horizontal="right"/>
    </xf>
    <xf numFmtId="0" fontId="46" fillId="4" borderId="28" xfId="0" applyFont="1" applyFill="1" applyBorder="1" applyAlignment="1">
      <alignment horizontal="center"/>
    </xf>
    <xf numFmtId="0" fontId="46" fillId="4" borderId="30" xfId="0" applyFont="1" applyFill="1" applyBorder="1" applyAlignment="1">
      <alignment horizontal="center"/>
    </xf>
    <xf numFmtId="0" fontId="47" fillId="3" borderId="30" xfId="0" applyFont="1" applyFill="1" applyBorder="1" applyAlignment="1">
      <alignment horizontal="center"/>
    </xf>
    <xf numFmtId="3" fontId="49" fillId="15" borderId="34" xfId="0" applyNumberFormat="1" applyFont="1" applyFill="1" applyBorder="1" applyAlignment="1">
      <alignment horizontal="right"/>
    </xf>
    <xf numFmtId="0" fontId="12" fillId="0" borderId="34" xfId="0" applyFont="1" applyBorder="1" applyAlignment="1"/>
    <xf numFmtId="0" fontId="12" fillId="15" borderId="34" xfId="0" applyFont="1" applyFill="1" applyBorder="1" applyAlignment="1"/>
    <xf numFmtId="0" fontId="12" fillId="0" borderId="34" xfId="0" applyFont="1" applyBorder="1" applyAlignment="1"/>
    <xf numFmtId="177" fontId="33" fillId="0" borderId="34" xfId="0" applyNumberFormat="1" applyFont="1" applyBorder="1" applyAlignment="1"/>
    <xf numFmtId="0" fontId="52" fillId="0" borderId="34" xfId="0" applyFont="1" applyBorder="1" applyAlignment="1"/>
    <xf numFmtId="3" fontId="52" fillId="15" borderId="34" xfId="0" applyNumberFormat="1" applyFont="1" applyFill="1" applyBorder="1" applyAlignment="1">
      <alignment horizontal="right"/>
    </xf>
    <xf numFmtId="3" fontId="52" fillId="0" borderId="34" xfId="0" applyNumberFormat="1" applyFont="1" applyBorder="1" applyAlignment="1">
      <alignment horizontal="right"/>
    </xf>
    <xf numFmtId="3" fontId="12" fillId="15" borderId="34" xfId="0" applyNumberFormat="1" applyFont="1" applyFill="1" applyBorder="1" applyAlignment="1"/>
    <xf numFmtId="0" fontId="33" fillId="15" borderId="34" xfId="0" applyFont="1" applyFill="1" applyBorder="1" applyAlignment="1"/>
    <xf numFmtId="0" fontId="52" fillId="0" borderId="34" xfId="0" applyFont="1" applyBorder="1" applyAlignment="1"/>
    <xf numFmtId="0" fontId="33" fillId="15" borderId="34" xfId="0" applyFont="1" applyFill="1" applyBorder="1" applyAlignment="1"/>
    <xf numFmtId="0" fontId="46" fillId="3" borderId="0" xfId="0" applyFont="1" applyFill="1" applyAlignment="1">
      <alignment horizontal="center"/>
    </xf>
    <xf numFmtId="0" fontId="46" fillId="3" borderId="0" xfId="0" applyFont="1" applyFill="1" applyAlignment="1">
      <alignment horizontal="center"/>
    </xf>
    <xf numFmtId="0" fontId="46" fillId="8" borderId="0" xfId="0" applyFont="1" applyFill="1" applyAlignment="1">
      <alignment horizontal="center"/>
    </xf>
    <xf numFmtId="0" fontId="46" fillId="8" borderId="0" xfId="0" applyFont="1" applyFill="1" applyAlignment="1">
      <alignment horizontal="center"/>
    </xf>
    <xf numFmtId="0" fontId="47" fillId="3" borderId="0" xfId="0" applyFont="1" applyFill="1" applyAlignment="1">
      <alignment horizontal="center"/>
    </xf>
    <xf numFmtId="0" fontId="47" fillId="3" borderId="0" xfId="0" applyFont="1" applyFill="1" applyAlignment="1">
      <alignment horizontal="center"/>
    </xf>
    <xf numFmtId="0" fontId="47" fillId="8" borderId="0" xfId="0" applyFont="1" applyFill="1" applyAlignment="1">
      <alignment horizontal="center"/>
    </xf>
    <xf numFmtId="0" fontId="47" fillId="18" borderId="0" xfId="0" applyFont="1" applyFill="1" applyAlignment="1">
      <alignment horizontal="center"/>
    </xf>
    <xf numFmtId="0" fontId="47" fillId="13" borderId="0" xfId="0" applyFont="1" applyFill="1" applyAlignment="1">
      <alignment horizontal="center"/>
    </xf>
    <xf numFmtId="0" fontId="47" fillId="20" borderId="0" xfId="0" applyFont="1" applyFill="1" applyAlignment="1">
      <alignment horizontal="center"/>
    </xf>
    <xf numFmtId="0" fontId="47" fillId="3" borderId="0" xfId="0" applyFont="1" applyFill="1" applyAlignment="1">
      <alignment horizontal="center" wrapText="1"/>
    </xf>
    <xf numFmtId="0" fontId="33" fillId="31" borderId="0" xfId="0" applyFont="1" applyFill="1" applyAlignment="1">
      <alignment horizontal="center"/>
    </xf>
    <xf numFmtId="9" fontId="33" fillId="31" borderId="0" xfId="0" applyNumberFormat="1" applyFont="1" applyFill="1" applyAlignment="1">
      <alignment horizontal="center"/>
    </xf>
    <xf numFmtId="9" fontId="12" fillId="31" borderId="0" xfId="0" applyNumberFormat="1" applyFont="1" applyFill="1" applyAlignment="1">
      <alignment horizontal="center"/>
    </xf>
    <xf numFmtId="0" fontId="12" fillId="0" borderId="0" xfId="0" applyFont="1" applyAlignment="1"/>
    <xf numFmtId="0" fontId="12" fillId="31" borderId="0" xfId="0" applyFont="1" applyFill="1" applyAlignment="1">
      <alignment horizontal="center"/>
    </xf>
    <xf numFmtId="0" fontId="12" fillId="15" borderId="0" xfId="0" applyFont="1" applyFill="1" applyAlignment="1"/>
    <xf numFmtId="0" fontId="12" fillId="31" borderId="0" xfId="0" applyFont="1" applyFill="1" applyAlignment="1"/>
    <xf numFmtId="177" fontId="52" fillId="0" borderId="0" xfId="0" applyNumberFormat="1" applyFont="1" applyAlignment="1"/>
    <xf numFmtId="0" fontId="12" fillId="31" borderId="0" xfId="0" applyFont="1" applyFill="1" applyAlignment="1">
      <alignment horizontal="center"/>
    </xf>
    <xf numFmtId="0" fontId="47" fillId="3" borderId="12" xfId="0" applyFont="1" applyFill="1" applyBorder="1" applyAlignment="1">
      <alignment horizontal="center"/>
    </xf>
    <xf numFmtId="0" fontId="47" fillId="18" borderId="12" xfId="0" applyFont="1" applyFill="1" applyBorder="1" applyAlignment="1">
      <alignment horizontal="center"/>
    </xf>
    <xf numFmtId="0" fontId="47" fillId="13" borderId="12" xfId="0" applyFont="1" applyFill="1" applyBorder="1" applyAlignment="1">
      <alignment horizontal="center"/>
    </xf>
    <xf numFmtId="0" fontId="47" fillId="20" borderId="12" xfId="0" applyFont="1" applyFill="1" applyBorder="1" applyAlignment="1">
      <alignment horizontal="center"/>
    </xf>
    <xf numFmtId="0" fontId="47" fillId="8" borderId="12" xfId="0" applyFont="1" applyFill="1" applyBorder="1" applyAlignment="1">
      <alignment horizontal="center"/>
    </xf>
    <xf numFmtId="0" fontId="33" fillId="0" borderId="36" xfId="0" applyFont="1" applyBorder="1" applyAlignment="1"/>
    <xf numFmtId="3" fontId="33" fillId="0" borderId="36" xfId="0" applyNumberFormat="1" applyFont="1" applyBorder="1" applyAlignment="1">
      <alignment horizontal="right"/>
    </xf>
    <xf numFmtId="0" fontId="33" fillId="0" borderId="36" xfId="0" applyFont="1" applyBorder="1" applyAlignment="1">
      <alignment horizontal="right"/>
    </xf>
    <xf numFmtId="0" fontId="33" fillId="0" borderId="36" xfId="0" applyFont="1" applyBorder="1" applyAlignment="1"/>
    <xf numFmtId="0" fontId="33" fillId="0" borderId="18" xfId="0" applyFont="1" applyBorder="1" applyAlignment="1"/>
    <xf numFmtId="0" fontId="33" fillId="0" borderId="37" xfId="0" applyFont="1" applyBorder="1" applyAlignment="1">
      <alignment horizontal="right"/>
    </xf>
    <xf numFmtId="0" fontId="33" fillId="0" borderId="38" xfId="0" applyFont="1" applyBorder="1" applyAlignment="1"/>
    <xf numFmtId="0" fontId="33" fillId="0" borderId="0" xfId="0" applyFont="1" applyAlignment="1"/>
    <xf numFmtId="0" fontId="33" fillId="0" borderId="33" xfId="0" applyFont="1" applyBorder="1" applyAlignment="1"/>
    <xf numFmtId="0" fontId="33" fillId="0" borderId="33" xfId="0" applyFont="1" applyBorder="1" applyAlignment="1">
      <alignment horizontal="right"/>
    </xf>
    <xf numFmtId="3" fontId="48" fillId="0" borderId="33" xfId="0" applyNumberFormat="1" applyFont="1" applyBorder="1" applyAlignment="1">
      <alignment horizontal="right"/>
    </xf>
    <xf numFmtId="3" fontId="33" fillId="0" borderId="33" xfId="0" applyNumberFormat="1" applyFont="1" applyBorder="1" applyAlignment="1">
      <alignment horizontal="right"/>
    </xf>
    <xf numFmtId="0" fontId="33" fillId="0" borderId="10" xfId="0" applyFont="1" applyBorder="1" applyAlignment="1"/>
    <xf numFmtId="0" fontId="33" fillId="0" borderId="12" xfId="0" applyFont="1" applyBorder="1" applyAlignment="1">
      <alignment horizontal="right"/>
    </xf>
    <xf numFmtId="0" fontId="33" fillId="0" borderId="0" xfId="0" applyFont="1" applyAlignment="1"/>
    <xf numFmtId="0" fontId="33" fillId="0" borderId="10" xfId="0" applyFont="1" applyBorder="1" applyAlignment="1"/>
    <xf numFmtId="0" fontId="33" fillId="0" borderId="33" xfId="0" applyFont="1" applyBorder="1" applyAlignment="1"/>
    <xf numFmtId="3" fontId="48" fillId="0" borderId="36" xfId="0" applyNumberFormat="1" applyFont="1" applyBorder="1" applyAlignment="1">
      <alignment horizontal="right"/>
    </xf>
    <xf numFmtId="3" fontId="52" fillId="0" borderId="36" xfId="0" applyNumberFormat="1" applyFont="1" applyBorder="1" applyAlignment="1">
      <alignment horizontal="right"/>
    </xf>
    <xf numFmtId="0" fontId="51" fillId="15" borderId="0" xfId="0" applyFont="1" applyFill="1" applyAlignment="1"/>
    <xf numFmtId="0" fontId="51" fillId="15" borderId="38" xfId="0" applyFont="1" applyFill="1" applyBorder="1" applyAlignment="1"/>
    <xf numFmtId="3" fontId="52" fillId="0" borderId="33" xfId="0" applyNumberFormat="1" applyFont="1" applyBorder="1" applyAlignment="1">
      <alignment horizontal="right"/>
    </xf>
    <xf numFmtId="0" fontId="33" fillId="0" borderId="0" xfId="0" applyFont="1" applyAlignment="1">
      <alignment horizontal="right"/>
    </xf>
    <xf numFmtId="3" fontId="52" fillId="0" borderId="0" xfId="0" applyNumberFormat="1" applyFont="1" applyAlignment="1">
      <alignment horizontal="right"/>
    </xf>
    <xf numFmtId="0" fontId="51" fillId="15" borderId="0" xfId="0" applyFont="1" applyFill="1" applyAlignment="1"/>
    <xf numFmtId="3" fontId="46" fillId="3" borderId="0" xfId="0" applyNumberFormat="1" applyFont="1" applyFill="1" applyAlignment="1">
      <alignment horizontal="center"/>
    </xf>
    <xf numFmtId="3" fontId="46" fillId="3" borderId="0" xfId="0" applyNumberFormat="1" applyFont="1" applyFill="1" applyAlignment="1">
      <alignment horizontal="center"/>
    </xf>
    <xf numFmtId="3" fontId="46" fillId="8" borderId="0" xfId="0" applyNumberFormat="1" applyFont="1" applyFill="1" applyAlignment="1">
      <alignment horizontal="center"/>
    </xf>
    <xf numFmtId="3" fontId="46" fillId="8" borderId="0" xfId="0" applyNumberFormat="1" applyFont="1" applyFill="1" applyAlignment="1">
      <alignment horizontal="center"/>
    </xf>
    <xf numFmtId="3" fontId="47" fillId="3" borderId="0" xfId="0" applyNumberFormat="1" applyFont="1" applyFill="1" applyAlignment="1">
      <alignment horizontal="center"/>
    </xf>
    <xf numFmtId="3" fontId="47" fillId="13" borderId="0" xfId="0" applyNumberFormat="1" applyFont="1" applyFill="1" applyAlignment="1">
      <alignment horizontal="center"/>
    </xf>
    <xf numFmtId="3" fontId="47" fillId="3" borderId="0" xfId="0" applyNumberFormat="1" applyFont="1" applyFill="1" applyAlignment="1">
      <alignment horizontal="center" wrapText="1"/>
    </xf>
    <xf numFmtId="0" fontId="52" fillId="0" borderId="0" xfId="0" applyFont="1" applyAlignment="1"/>
    <xf numFmtId="1" fontId="31" fillId="27" borderId="0" xfId="0" applyNumberFormat="1" applyFont="1" applyFill="1" applyAlignment="1">
      <alignment horizontal="center"/>
    </xf>
    <xf numFmtId="1" fontId="31" fillId="27" borderId="0" xfId="0" applyNumberFormat="1" applyFont="1" applyFill="1" applyAlignment="1">
      <alignment horizontal="center"/>
    </xf>
    <xf numFmtId="0" fontId="47" fillId="8" borderId="0" xfId="0" applyFont="1" applyFill="1" applyAlignment="1">
      <alignment horizontal="center" wrapText="1"/>
    </xf>
    <xf numFmtId="0" fontId="47" fillId="20" borderId="0" xfId="0" applyFont="1" applyFill="1" applyAlignment="1">
      <alignment horizontal="center" wrapText="1"/>
    </xf>
    <xf numFmtId="1" fontId="47" fillId="8" borderId="0" xfId="0" applyNumberFormat="1" applyFont="1" applyFill="1" applyAlignment="1">
      <alignment horizontal="center" wrapText="1"/>
    </xf>
    <xf numFmtId="3" fontId="47" fillId="8" borderId="0" xfId="0" applyNumberFormat="1" applyFont="1" applyFill="1" applyAlignment="1">
      <alignment horizontal="center"/>
    </xf>
    <xf numFmtId="3" fontId="12" fillId="32" borderId="0" xfId="0" applyNumberFormat="1" applyFont="1" applyFill="1" applyAlignment="1">
      <alignment horizontal="right"/>
    </xf>
    <xf numFmtId="3" fontId="33" fillId="32" borderId="0" xfId="0" applyNumberFormat="1" applyFont="1" applyFill="1" applyAlignment="1">
      <alignment horizontal="right"/>
    </xf>
    <xf numFmtId="178" fontId="33" fillId="32" borderId="0" xfId="0" applyNumberFormat="1" applyFont="1" applyFill="1" applyAlignment="1">
      <alignment horizontal="right"/>
    </xf>
    <xf numFmtId="9" fontId="33" fillId="32" borderId="0" xfId="0" applyNumberFormat="1" applyFont="1" applyFill="1" applyAlignment="1">
      <alignment horizontal="right"/>
    </xf>
    <xf numFmtId="9" fontId="33" fillId="30" borderId="0" xfId="0" applyNumberFormat="1" applyFont="1" applyFill="1" applyAlignment="1">
      <alignment horizontal="right"/>
    </xf>
    <xf numFmtId="178" fontId="12" fillId="32" borderId="0" xfId="0" applyNumberFormat="1" applyFont="1" applyFill="1" applyAlignment="1">
      <alignment horizontal="right"/>
    </xf>
    <xf numFmtId="9" fontId="48" fillId="30" borderId="0" xfId="0" applyNumberFormat="1" applyFont="1" applyFill="1" applyAlignment="1">
      <alignment horizontal="right"/>
    </xf>
    <xf numFmtId="9" fontId="12" fillId="30" borderId="0" xfId="0" applyNumberFormat="1" applyFont="1" applyFill="1" applyAlignment="1">
      <alignment horizontal="right"/>
    </xf>
    <xf numFmtId="0" fontId="50" fillId="0" borderId="0" xfId="0" applyFont="1" applyAlignment="1"/>
    <xf numFmtId="9" fontId="51" fillId="0" borderId="0" xfId="0" applyNumberFormat="1" applyFont="1" applyAlignment="1">
      <alignment horizontal="right"/>
    </xf>
    <xf numFmtId="9" fontId="51" fillId="30" borderId="0" xfId="0" applyNumberFormat="1" applyFont="1" applyFill="1" applyAlignment="1">
      <alignment horizontal="right"/>
    </xf>
    <xf numFmtId="0" fontId="50" fillId="15" borderId="0" xfId="0" applyFont="1" applyFill="1" applyAlignment="1"/>
    <xf numFmtId="9" fontId="12" fillId="0" borderId="0" xfId="0" applyNumberFormat="1" applyFont="1" applyAlignment="1">
      <alignment horizontal="right"/>
    </xf>
    <xf numFmtId="9" fontId="12" fillId="0" borderId="0" xfId="0" applyNumberFormat="1" applyFont="1" applyAlignment="1"/>
    <xf numFmtId="0" fontId="4" fillId="5" borderId="0" xfId="0" applyFont="1" applyFill="1" applyAlignment="1"/>
    <xf numFmtId="0" fontId="53" fillId="0" borderId="7" xfId="0" applyFont="1" applyBorder="1" applyAlignment="1">
      <alignment horizontal="center"/>
    </xf>
    <xf numFmtId="0" fontId="54" fillId="0" borderId="5" xfId="0" applyFont="1" applyBorder="1" applyAlignment="1">
      <alignment horizontal="center"/>
    </xf>
    <xf numFmtId="0" fontId="55" fillId="15" borderId="0" xfId="0" applyFont="1" applyFill="1" applyAlignment="1">
      <alignment horizontal="left"/>
    </xf>
    <xf numFmtId="0" fontId="56" fillId="0" borderId="12" xfId="0" applyFont="1" applyBorder="1" applyAlignment="1">
      <alignment horizontal="center"/>
    </xf>
    <xf numFmtId="0" fontId="57" fillId="0" borderId="0" xfId="0" applyFont="1" applyAlignment="1"/>
    <xf numFmtId="0" fontId="58" fillId="0" borderId="0" xfId="0" applyFont="1" applyAlignment="1">
      <alignment horizontal="center"/>
    </xf>
    <xf numFmtId="0" fontId="9" fillId="3" borderId="45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3" fontId="2" fillId="0" borderId="0" xfId="0" applyNumberFormat="1" applyFont="1" applyAlignment="1"/>
    <xf numFmtId="177" fontId="2" fillId="0" borderId="0" xfId="0" applyNumberFormat="1" applyFont="1" applyAlignment="1">
      <alignment horizontal="right"/>
    </xf>
    <xf numFmtId="177" fontId="59" fillId="9" borderId="47" xfId="0" applyNumberFormat="1" applyFont="1" applyFill="1" applyBorder="1" applyAlignment="1">
      <alignment horizontal="right"/>
    </xf>
    <xf numFmtId="3" fontId="59" fillId="9" borderId="48" xfId="0" applyNumberFormat="1" applyFont="1" applyFill="1" applyBorder="1" applyAlignment="1"/>
    <xf numFmtId="3" fontId="59" fillId="0" borderId="43" xfId="0" applyNumberFormat="1" applyFont="1" applyBorder="1" applyAlignment="1">
      <alignment horizontal="right"/>
    </xf>
    <xf numFmtId="3" fontId="59" fillId="0" borderId="44" xfId="0" applyNumberFormat="1" applyFont="1" applyBorder="1" applyAlignment="1">
      <alignment horizontal="right"/>
    </xf>
    <xf numFmtId="0" fontId="9" fillId="3" borderId="43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44" xfId="0" applyFont="1" applyFill="1" applyBorder="1" applyAlignment="1">
      <alignment horizontal="center" vertical="center"/>
    </xf>
    <xf numFmtId="0" fontId="11" fillId="0" borderId="48" xfId="0" applyFont="1" applyBorder="1"/>
    <xf numFmtId="0" fontId="11" fillId="0" borderId="44" xfId="0" applyFont="1" applyBorder="1"/>
    <xf numFmtId="0" fontId="59" fillId="0" borderId="49" xfId="0" applyFont="1" applyBorder="1" applyAlignment="1"/>
    <xf numFmtId="177" fontId="59" fillId="9" borderId="3" xfId="0" applyNumberFormat="1" applyFont="1" applyFill="1" applyBorder="1" applyAlignment="1">
      <alignment horizontal="right"/>
    </xf>
    <xf numFmtId="3" fontId="59" fillId="9" borderId="0" xfId="0" applyNumberFormat="1" applyFont="1" applyFill="1" applyAlignment="1"/>
    <xf numFmtId="3" fontId="59" fillId="0" borderId="45" xfId="0" applyNumberFormat="1" applyFont="1" applyBorder="1" applyAlignment="1">
      <alignment horizontal="right"/>
    </xf>
    <xf numFmtId="3" fontId="59" fillId="0" borderId="46" xfId="0" applyNumberFormat="1" applyFont="1" applyBorder="1" applyAlignment="1">
      <alignment horizontal="right"/>
    </xf>
    <xf numFmtId="3" fontId="59" fillId="0" borderId="45" xfId="0" applyNumberFormat="1" applyFont="1" applyBorder="1" applyAlignment="1"/>
    <xf numFmtId="0" fontId="59" fillId="0" borderId="0" xfId="0" applyFont="1" applyAlignment="1">
      <alignment horizontal="right"/>
    </xf>
    <xf numFmtId="0" fontId="59" fillId="0" borderId="46" xfId="0" applyFont="1" applyBorder="1" applyAlignment="1">
      <alignment horizontal="right"/>
    </xf>
    <xf numFmtId="3" fontId="59" fillId="0" borderId="0" xfId="0" applyNumberFormat="1" applyFont="1" applyAlignment="1">
      <alignment horizontal="right"/>
    </xf>
    <xf numFmtId="0" fontId="11" fillId="0" borderId="0" xfId="0" applyFont="1"/>
    <xf numFmtId="0" fontId="11" fillId="0" borderId="46" xfId="0" applyFont="1" applyBorder="1"/>
    <xf numFmtId="3" fontId="59" fillId="0" borderId="5" xfId="0" applyNumberFormat="1" applyFont="1" applyBorder="1" applyAlignment="1">
      <alignment horizontal="right"/>
    </xf>
    <xf numFmtId="3" fontId="59" fillId="0" borderId="0" xfId="0" applyNumberFormat="1" applyFont="1" applyAlignment="1">
      <alignment horizontal="right"/>
    </xf>
    <xf numFmtId="3" fontId="59" fillId="0" borderId="46" xfId="0" applyNumberFormat="1" applyFont="1" applyBorder="1" applyAlignment="1">
      <alignment horizontal="right"/>
    </xf>
    <xf numFmtId="3" fontId="59" fillId="0" borderId="5" xfId="0" applyNumberFormat="1" applyFont="1" applyBorder="1" applyAlignment="1">
      <alignment horizontal="right"/>
    </xf>
    <xf numFmtId="3" fontId="11" fillId="0" borderId="0" xfId="0" applyNumberFormat="1" applyFont="1" applyAlignment="1">
      <alignment vertical="center" wrapText="1"/>
    </xf>
    <xf numFmtId="3" fontId="11" fillId="0" borderId="46" xfId="0" applyNumberFormat="1" applyFont="1" applyBorder="1" applyAlignment="1">
      <alignment horizontal="right"/>
    </xf>
    <xf numFmtId="0" fontId="11" fillId="15" borderId="0" xfId="0" applyFont="1" applyFill="1" applyAlignment="1">
      <alignment vertical="center" wrapText="1"/>
    </xf>
    <xf numFmtId="0" fontId="11" fillId="15" borderId="46" xfId="0" applyFont="1" applyFill="1" applyBorder="1" applyAlignment="1">
      <alignment vertical="center" wrapText="1"/>
    </xf>
    <xf numFmtId="3" fontId="59" fillId="0" borderId="45" xfId="0" applyNumberFormat="1" applyFont="1" applyBorder="1" applyAlignment="1">
      <alignment horizontal="right"/>
    </xf>
    <xf numFmtId="3" fontId="59" fillId="0" borderId="0" xfId="0" applyNumberFormat="1" applyFont="1" applyAlignment="1">
      <alignment vertical="center" wrapText="1"/>
    </xf>
    <xf numFmtId="3" fontId="59" fillId="0" borderId="46" xfId="0" applyNumberFormat="1" applyFont="1" applyBorder="1" applyAlignment="1">
      <alignment vertical="center" wrapText="1"/>
    </xf>
    <xf numFmtId="3" fontId="59" fillId="33" borderId="45" xfId="0" applyNumberFormat="1" applyFont="1" applyFill="1" applyBorder="1" applyAlignment="1">
      <alignment horizontal="right"/>
    </xf>
    <xf numFmtId="3" fontId="59" fillId="0" borderId="46" xfId="0" applyNumberFormat="1" applyFont="1" applyBorder="1" applyAlignment="1">
      <alignment horizontal="right" vertical="center" wrapText="1"/>
    </xf>
    <xf numFmtId="177" fontId="15" fillId="9" borderId="3" xfId="0" applyNumberFormat="1" applyFont="1" applyFill="1" applyBorder="1" applyAlignment="1">
      <alignment horizontal="right"/>
    </xf>
    <xf numFmtId="3" fontId="15" fillId="9" borderId="0" xfId="0" applyNumberFormat="1" applyFont="1" applyFill="1" applyAlignment="1"/>
    <xf numFmtId="3" fontId="15" fillId="0" borderId="45" xfId="0" applyNumberFormat="1" applyFont="1" applyBorder="1" applyAlignment="1">
      <alignment horizontal="right"/>
    </xf>
    <xf numFmtId="3" fontId="15" fillId="0" borderId="46" xfId="0" applyNumberFormat="1" applyFont="1" applyBorder="1" applyAlignment="1">
      <alignment horizontal="right"/>
    </xf>
    <xf numFmtId="3" fontId="15" fillId="0" borderId="45" xfId="0" applyNumberFormat="1" applyFont="1" applyBorder="1" applyAlignment="1">
      <alignment horizontal="right"/>
    </xf>
    <xf numFmtId="3" fontId="15" fillId="0" borderId="0" xfId="0" applyNumberFormat="1" applyFont="1" applyAlignment="1">
      <alignment vertical="center" wrapText="1"/>
    </xf>
    <xf numFmtId="3" fontId="15" fillId="0" borderId="46" xfId="0" applyNumberFormat="1" applyFont="1" applyBorder="1" applyAlignment="1">
      <alignment horizontal="right" vertical="center" wrapText="1"/>
    </xf>
    <xf numFmtId="3" fontId="11" fillId="0" borderId="0" xfId="0" applyNumberFormat="1" applyFont="1" applyAlignment="1"/>
    <xf numFmtId="3" fontId="15" fillId="0" borderId="46" xfId="0" applyNumberFormat="1" applyFont="1" applyBorder="1" applyAlignment="1">
      <alignment horizontal="right"/>
    </xf>
    <xf numFmtId="9" fontId="11" fillId="15" borderId="0" xfId="0" applyNumberFormat="1" applyFont="1" applyFill="1" applyAlignment="1">
      <alignment horizontal="right" vertical="center" wrapText="1"/>
    </xf>
    <xf numFmtId="9" fontId="11" fillId="15" borderId="46" xfId="0" applyNumberFormat="1" applyFont="1" applyFill="1" applyBorder="1" applyAlignment="1">
      <alignment horizontal="right" vertical="center" wrapText="1"/>
    </xf>
    <xf numFmtId="9" fontId="11" fillId="0" borderId="5" xfId="0" applyNumberFormat="1" applyFont="1" applyBorder="1" applyAlignment="1">
      <alignment horizontal="right"/>
    </xf>
    <xf numFmtId="3" fontId="60" fillId="0" borderId="0" xfId="0" applyNumberFormat="1" applyFont="1" applyAlignment="1">
      <alignment horizontal="right"/>
    </xf>
    <xf numFmtId="3" fontId="11" fillId="0" borderId="45" xfId="0" applyNumberFormat="1" applyFont="1" applyBorder="1" applyAlignment="1">
      <alignment horizontal="right"/>
    </xf>
    <xf numFmtId="3" fontId="11" fillId="0" borderId="46" xfId="0" applyNumberFormat="1" applyFont="1" applyBorder="1" applyAlignment="1">
      <alignment horizontal="right"/>
    </xf>
    <xf numFmtId="3" fontId="11" fillId="0" borderId="46" xfId="0" applyNumberFormat="1" applyFont="1" applyBorder="1" applyAlignment="1">
      <alignment horizontal="right" vertical="center" wrapText="1"/>
    </xf>
    <xf numFmtId="3" fontId="11" fillId="0" borderId="46" xfId="0" applyNumberFormat="1" applyFont="1" applyBorder="1" applyAlignment="1">
      <alignment horizontal="right"/>
    </xf>
    <xf numFmtId="177" fontId="11" fillId="9" borderId="50" xfId="0" applyNumberFormat="1" applyFont="1" applyFill="1" applyBorder="1" applyAlignment="1">
      <alignment horizontal="right"/>
    </xf>
    <xf numFmtId="3" fontId="11" fillId="9" borderId="51" xfId="0" applyNumberFormat="1" applyFont="1" applyFill="1" applyBorder="1" applyAlignment="1"/>
    <xf numFmtId="3" fontId="15" fillId="0" borderId="52" xfId="0" applyNumberFormat="1" applyFont="1" applyBorder="1" applyAlignment="1">
      <alignment horizontal="right"/>
    </xf>
    <xf numFmtId="3" fontId="15" fillId="0" borderId="53" xfId="0" applyNumberFormat="1" applyFont="1" applyBorder="1" applyAlignment="1">
      <alignment horizontal="right"/>
    </xf>
    <xf numFmtId="3" fontId="11" fillId="0" borderId="51" xfId="0" applyNumberFormat="1" applyFont="1" applyBorder="1" applyAlignment="1">
      <alignment horizontal="right" vertical="center" wrapText="1"/>
    </xf>
    <xf numFmtId="3" fontId="11" fillId="0" borderId="53" xfId="0" applyNumberFormat="1" applyFont="1" applyBorder="1" applyAlignment="1">
      <alignment horizontal="right" vertical="center" wrapText="1"/>
    </xf>
    <xf numFmtId="3" fontId="11" fillId="0" borderId="51" xfId="0" applyNumberFormat="1" applyFont="1" applyBorder="1" applyAlignment="1"/>
    <xf numFmtId="3" fontId="15" fillId="0" borderId="51" xfId="0" applyNumberFormat="1" applyFont="1" applyBorder="1" applyAlignment="1">
      <alignment horizontal="right"/>
    </xf>
    <xf numFmtId="3" fontId="11" fillId="0" borderId="53" xfId="0" applyNumberFormat="1" applyFont="1" applyBorder="1" applyAlignment="1">
      <alignment horizontal="right"/>
    </xf>
    <xf numFmtId="9" fontId="11" fillId="15" borderId="51" xfId="0" applyNumberFormat="1" applyFont="1" applyFill="1" applyBorder="1" applyAlignment="1">
      <alignment horizontal="right" vertical="center" wrapText="1"/>
    </xf>
    <xf numFmtId="9" fontId="11" fillId="15" borderId="53" xfId="0" applyNumberFormat="1" applyFont="1" applyFill="1" applyBorder="1" applyAlignment="1">
      <alignment horizontal="right" vertical="center" wrapText="1"/>
    </xf>
    <xf numFmtId="9" fontId="11" fillId="0" borderId="54" xfId="0" applyNumberFormat="1" applyFont="1" applyBorder="1" applyAlignment="1">
      <alignment horizontal="right"/>
    </xf>
    <xf numFmtId="3" fontId="11" fillId="0" borderId="45" xfId="0" applyNumberFormat="1" applyFont="1" applyBorder="1" applyAlignment="1">
      <alignment horizontal="right"/>
    </xf>
    <xf numFmtId="3" fontId="11" fillId="0" borderId="0" xfId="0" applyNumberFormat="1" applyFont="1" applyAlignment="1">
      <alignment horizontal="right" vertical="center" wrapText="1"/>
    </xf>
    <xf numFmtId="9" fontId="11" fillId="0" borderId="0" xfId="0" applyNumberFormat="1" applyFont="1" applyAlignment="1">
      <alignment horizontal="right"/>
    </xf>
    <xf numFmtId="9" fontId="11" fillId="0" borderId="46" xfId="0" applyNumberFormat="1" applyFont="1" applyBorder="1" applyAlignment="1">
      <alignment horizontal="right"/>
    </xf>
    <xf numFmtId="3" fontId="2" fillId="0" borderId="0" xfId="0" applyNumberFormat="1" applyFont="1"/>
    <xf numFmtId="3" fontId="11" fillId="0" borderId="46" xfId="0" applyNumberFormat="1" applyFont="1" applyBorder="1" applyAlignment="1">
      <alignment vertical="center" wrapText="1"/>
    </xf>
    <xf numFmtId="3" fontId="11" fillId="0" borderId="52" xfId="0" applyNumberFormat="1" applyFont="1" applyBorder="1" applyAlignment="1">
      <alignment horizontal="right"/>
    </xf>
    <xf numFmtId="3" fontId="11" fillId="0" borderId="53" xfId="0" applyNumberFormat="1" applyFont="1" applyBorder="1" applyAlignment="1">
      <alignment vertical="center" wrapText="1"/>
    </xf>
    <xf numFmtId="9" fontId="11" fillId="0" borderId="51" xfId="0" applyNumberFormat="1" applyFont="1" applyBorder="1" applyAlignment="1">
      <alignment horizontal="right"/>
    </xf>
    <xf numFmtId="9" fontId="11" fillId="0" borderId="53" xfId="0" applyNumberFormat="1" applyFont="1" applyBorder="1" applyAlignment="1">
      <alignment horizontal="right"/>
    </xf>
    <xf numFmtId="3" fontId="11" fillId="0" borderId="0" xfId="0" applyNumberFormat="1" applyFont="1" applyAlignment="1">
      <alignment horizontal="right"/>
    </xf>
    <xf numFmtId="9" fontId="11" fillId="0" borderId="0" xfId="0" applyNumberFormat="1" applyFont="1"/>
    <xf numFmtId="9" fontId="11" fillId="0" borderId="5" xfId="0" applyNumberFormat="1" applyFont="1" applyBorder="1"/>
    <xf numFmtId="3" fontId="61" fillId="0" borderId="46" xfId="0" applyNumberFormat="1" applyFont="1" applyBorder="1" applyAlignment="1">
      <alignment horizontal="right"/>
    </xf>
    <xf numFmtId="3" fontId="11" fillId="0" borderId="55" xfId="0" applyNumberFormat="1" applyFont="1" applyBorder="1" applyAlignment="1">
      <alignment horizontal="right"/>
    </xf>
    <xf numFmtId="3" fontId="11" fillId="0" borderId="42" xfId="0" applyNumberFormat="1" applyFont="1" applyBorder="1" applyAlignment="1">
      <alignment horizontal="right"/>
    </xf>
    <xf numFmtId="3" fontId="15" fillId="0" borderId="55" xfId="0" applyNumberFormat="1" applyFont="1" applyBorder="1" applyAlignment="1">
      <alignment horizontal="right"/>
    </xf>
    <xf numFmtId="3" fontId="11" fillId="0" borderId="10" xfId="0" applyNumberFormat="1" applyFont="1" applyBorder="1" applyAlignment="1">
      <alignment horizontal="right" vertical="center" wrapText="1"/>
    </xf>
    <xf numFmtId="3" fontId="61" fillId="0" borderId="42" xfId="0" applyNumberFormat="1" applyFont="1" applyBorder="1" applyAlignment="1">
      <alignment horizontal="right"/>
    </xf>
    <xf numFmtId="9" fontId="11" fillId="0" borderId="10" xfId="0" applyNumberFormat="1" applyFont="1" applyBorder="1"/>
    <xf numFmtId="9" fontId="11" fillId="0" borderId="42" xfId="0" applyNumberFormat="1" applyFont="1" applyBorder="1" applyAlignment="1">
      <alignment horizontal="right"/>
    </xf>
    <xf numFmtId="9" fontId="11" fillId="0" borderId="12" xfId="0" applyNumberFormat="1" applyFont="1" applyBorder="1"/>
    <xf numFmtId="10" fontId="11" fillId="0" borderId="0" xfId="0" applyNumberFormat="1" applyFont="1"/>
    <xf numFmtId="10" fontId="11" fillId="0" borderId="46" xfId="0" applyNumberFormat="1" applyFont="1" applyBorder="1"/>
    <xf numFmtId="3" fontId="15" fillId="0" borderId="42" xfId="0" applyNumberFormat="1" applyFont="1" applyBorder="1" applyAlignment="1">
      <alignment horizontal="right"/>
    </xf>
    <xf numFmtId="3" fontId="11" fillId="0" borderId="10" xfId="0" applyNumberFormat="1" applyFont="1" applyBorder="1" applyAlignment="1"/>
    <xf numFmtId="10" fontId="11" fillId="0" borderId="10" xfId="0" applyNumberFormat="1" applyFont="1" applyBorder="1"/>
    <xf numFmtId="10" fontId="11" fillId="0" borderId="42" xfId="0" applyNumberFormat="1" applyFont="1" applyBorder="1"/>
    <xf numFmtId="0" fontId="62" fillId="0" borderId="46" xfId="0" applyFont="1" applyBorder="1" applyAlignment="1">
      <alignment horizontal="right"/>
    </xf>
    <xf numFmtId="9" fontId="11" fillId="0" borderId="7" xfId="0" applyNumberFormat="1" applyFont="1" applyBorder="1"/>
    <xf numFmtId="0" fontId="62" fillId="0" borderId="42" xfId="0" applyFont="1" applyBorder="1" applyAlignment="1">
      <alignment horizontal="right"/>
    </xf>
    <xf numFmtId="3" fontId="11" fillId="0" borderId="10" xfId="0" applyNumberFormat="1" applyFont="1" applyBorder="1" applyAlignment="1">
      <alignment vertical="center" wrapText="1"/>
    </xf>
    <xf numFmtId="3" fontId="11" fillId="0" borderId="21" xfId="0" applyNumberFormat="1" applyFont="1" applyBorder="1" applyAlignment="1">
      <alignment horizontal="right"/>
    </xf>
    <xf numFmtId="3" fontId="11" fillId="0" borderId="20" xfId="0" applyNumberFormat="1" applyFont="1" applyBorder="1" applyAlignment="1">
      <alignment horizontal="right"/>
    </xf>
    <xf numFmtId="3" fontId="15" fillId="0" borderId="21" xfId="0" applyNumberFormat="1" applyFont="1" applyBorder="1" applyAlignment="1">
      <alignment horizontal="right"/>
    </xf>
    <xf numFmtId="3" fontId="11" fillId="0" borderId="2" xfId="0" applyNumberFormat="1" applyFont="1" applyBorder="1" applyAlignment="1">
      <alignment horizontal="right" vertical="center" wrapText="1"/>
    </xf>
    <xf numFmtId="0" fontId="62" fillId="0" borderId="20" xfId="0" applyFont="1" applyBorder="1" applyAlignment="1">
      <alignment horizontal="right"/>
    </xf>
    <xf numFmtId="3" fontId="11" fillId="0" borderId="2" xfId="0" applyNumberFormat="1" applyFont="1" applyBorder="1" applyAlignment="1">
      <alignment vertical="center" wrapText="1"/>
    </xf>
    <xf numFmtId="3" fontId="11" fillId="0" borderId="2" xfId="0" applyNumberFormat="1" applyFont="1" applyBorder="1" applyAlignment="1">
      <alignment horizontal="right"/>
    </xf>
    <xf numFmtId="10" fontId="11" fillId="0" borderId="2" xfId="0" applyNumberFormat="1" applyFont="1" applyBorder="1"/>
    <xf numFmtId="10" fontId="11" fillId="0" borderId="20" xfId="0" applyNumberFormat="1" applyFont="1" applyBorder="1"/>
    <xf numFmtId="3" fontId="11" fillId="0" borderId="0" xfId="0" applyNumberFormat="1" applyFont="1" applyAlignment="1">
      <alignment vertical="center" wrapText="1"/>
    </xf>
    <xf numFmtId="3" fontId="11" fillId="0" borderId="10" xfId="0" applyNumberFormat="1" applyFont="1" applyBorder="1" applyAlignment="1">
      <alignment vertical="center" wrapText="1"/>
    </xf>
    <xf numFmtId="3" fontId="63" fillId="0" borderId="2" xfId="0" applyNumberFormat="1" applyFont="1" applyBorder="1" applyAlignment="1">
      <alignment horizontal="right" vertical="center" wrapText="1"/>
    </xf>
    <xf numFmtId="3" fontId="63" fillId="0" borderId="0" xfId="0" applyNumberFormat="1" applyFont="1" applyAlignment="1">
      <alignment horizontal="right" vertical="center" wrapText="1"/>
    </xf>
    <xf numFmtId="3" fontId="63" fillId="0" borderId="0" xfId="0" applyNumberFormat="1" applyFont="1" applyAlignment="1">
      <alignment horizontal="right"/>
    </xf>
    <xf numFmtId="3" fontId="63" fillId="0" borderId="10" xfId="0" applyNumberFormat="1" applyFont="1" applyBorder="1" applyAlignment="1">
      <alignment horizontal="right"/>
    </xf>
    <xf numFmtId="3" fontId="63" fillId="0" borderId="2" xfId="0" applyNumberFormat="1" applyFont="1" applyBorder="1" applyAlignment="1">
      <alignment horizontal="right"/>
    </xf>
    <xf numFmtId="0" fontId="11" fillId="0" borderId="0" xfId="0" applyFont="1" applyAlignment="1"/>
    <xf numFmtId="0" fontId="64" fillId="0" borderId="0" xfId="0" applyFont="1" applyAlignment="1">
      <alignment horizontal="right"/>
    </xf>
    <xf numFmtId="177" fontId="65" fillId="9" borderId="23" xfId="0" applyNumberFormat="1" applyFont="1" applyFill="1" applyBorder="1" applyAlignment="1">
      <alignment horizontal="right"/>
    </xf>
    <xf numFmtId="3" fontId="65" fillId="9" borderId="25" xfId="0" applyNumberFormat="1" applyFont="1" applyFill="1" applyBorder="1" applyAlignment="1"/>
    <xf numFmtId="3" fontId="65" fillId="0" borderId="40" xfId="0" applyNumberFormat="1" applyFont="1" applyBorder="1" applyAlignment="1">
      <alignment horizontal="right"/>
    </xf>
    <xf numFmtId="3" fontId="65" fillId="0" borderId="39" xfId="0" applyNumberFormat="1" applyFont="1" applyBorder="1" applyAlignment="1">
      <alignment horizontal="right"/>
    </xf>
    <xf numFmtId="3" fontId="65" fillId="0" borderId="25" xfId="0" applyNumberFormat="1" applyFont="1" applyBorder="1" applyAlignment="1">
      <alignment horizontal="right"/>
    </xf>
    <xf numFmtId="10" fontId="66" fillId="0" borderId="39" xfId="0" applyNumberFormat="1" applyFont="1" applyBorder="1" applyAlignment="1">
      <alignment horizontal="right"/>
    </xf>
    <xf numFmtId="3" fontId="66" fillId="0" borderId="25" xfId="0" applyNumberFormat="1" applyFont="1" applyBorder="1" applyAlignment="1">
      <alignment horizontal="right"/>
    </xf>
    <xf numFmtId="9" fontId="66" fillId="0" borderId="39" xfId="0" applyNumberFormat="1" applyFont="1" applyBorder="1" applyAlignment="1">
      <alignment horizontal="right"/>
    </xf>
    <xf numFmtId="10" fontId="65" fillId="0" borderId="25" xfId="0" applyNumberFormat="1" applyFont="1" applyBorder="1"/>
    <xf numFmtId="10" fontId="65" fillId="0" borderId="39" xfId="0" applyNumberFormat="1" applyFont="1" applyBorder="1"/>
    <xf numFmtId="9" fontId="65" fillId="0" borderId="41" xfId="0" applyNumberFormat="1" applyFont="1" applyBorder="1"/>
    <xf numFmtId="0" fontId="12" fillId="0" borderId="0" xfId="0" applyFont="1" applyAlignment="1">
      <alignment horizontal="right"/>
    </xf>
    <xf numFmtId="177" fontId="65" fillId="9" borderId="3" xfId="0" applyNumberFormat="1" applyFont="1" applyFill="1" applyBorder="1" applyAlignment="1">
      <alignment horizontal="right"/>
    </xf>
    <xf numFmtId="3" fontId="65" fillId="9" borderId="0" xfId="0" applyNumberFormat="1" applyFont="1" applyFill="1" applyAlignment="1"/>
    <xf numFmtId="3" fontId="65" fillId="0" borderId="45" xfId="0" applyNumberFormat="1" applyFont="1" applyBorder="1" applyAlignment="1">
      <alignment horizontal="right"/>
    </xf>
    <xf numFmtId="3" fontId="65" fillId="0" borderId="46" xfId="0" applyNumberFormat="1" applyFont="1" applyBorder="1" applyAlignment="1">
      <alignment horizontal="right"/>
    </xf>
    <xf numFmtId="3" fontId="65" fillId="0" borderId="0" xfId="0" applyNumberFormat="1" applyFont="1" applyAlignment="1">
      <alignment horizontal="right"/>
    </xf>
    <xf numFmtId="10" fontId="66" fillId="0" borderId="46" xfId="0" applyNumberFormat="1" applyFont="1" applyBorder="1" applyAlignment="1">
      <alignment horizontal="right"/>
    </xf>
    <xf numFmtId="3" fontId="66" fillId="0" borderId="0" xfId="0" applyNumberFormat="1" applyFont="1" applyAlignment="1">
      <alignment horizontal="right"/>
    </xf>
    <xf numFmtId="9" fontId="66" fillId="0" borderId="46" xfId="0" applyNumberFormat="1" applyFont="1" applyBorder="1" applyAlignment="1">
      <alignment horizontal="right"/>
    </xf>
    <xf numFmtId="10" fontId="65" fillId="0" borderId="0" xfId="0" applyNumberFormat="1" applyFont="1"/>
    <xf numFmtId="10" fontId="65" fillId="0" borderId="46" xfId="0" applyNumberFormat="1" applyFont="1" applyBorder="1"/>
    <xf numFmtId="9" fontId="65" fillId="0" borderId="5" xfId="0" applyNumberFormat="1" applyFont="1" applyBorder="1"/>
    <xf numFmtId="3" fontId="65" fillId="0" borderId="45" xfId="0" applyNumberFormat="1" applyFont="1" applyBorder="1" applyAlignment="1">
      <alignment horizontal="right"/>
    </xf>
    <xf numFmtId="3" fontId="66" fillId="0" borderId="0" xfId="0" applyNumberFormat="1" applyFont="1" applyAlignment="1">
      <alignment horizontal="right"/>
    </xf>
    <xf numFmtId="177" fontId="65" fillId="9" borderId="9" xfId="0" applyNumberFormat="1" applyFont="1" applyFill="1" applyBorder="1" applyAlignment="1">
      <alignment horizontal="right"/>
    </xf>
    <xf numFmtId="3" fontId="65" fillId="9" borderId="10" xfId="0" applyNumberFormat="1" applyFont="1" applyFill="1" applyBorder="1" applyAlignment="1"/>
    <xf numFmtId="3" fontId="65" fillId="0" borderId="55" xfId="0" applyNumberFormat="1" applyFont="1" applyBorder="1" applyAlignment="1">
      <alignment horizontal="right"/>
    </xf>
    <xf numFmtId="3" fontId="65" fillId="0" borderId="42" xfId="0" applyNumberFormat="1" applyFont="1" applyBorder="1" applyAlignment="1">
      <alignment horizontal="right"/>
    </xf>
    <xf numFmtId="3" fontId="65" fillId="0" borderId="10" xfId="0" applyNumberFormat="1" applyFont="1" applyBorder="1" applyAlignment="1">
      <alignment horizontal="right"/>
    </xf>
    <xf numFmtId="10" fontId="66" fillId="0" borderId="42" xfId="0" applyNumberFormat="1" applyFont="1" applyBorder="1" applyAlignment="1">
      <alignment horizontal="right"/>
    </xf>
    <xf numFmtId="3" fontId="66" fillId="0" borderId="10" xfId="0" applyNumberFormat="1" applyFont="1" applyBorder="1" applyAlignment="1">
      <alignment horizontal="right"/>
    </xf>
    <xf numFmtId="3" fontId="66" fillId="0" borderId="10" xfId="0" applyNumberFormat="1" applyFont="1" applyBorder="1" applyAlignment="1">
      <alignment horizontal="right"/>
    </xf>
    <xf numFmtId="9" fontId="66" fillId="0" borderId="42" xfId="0" applyNumberFormat="1" applyFont="1" applyBorder="1" applyAlignment="1">
      <alignment horizontal="right"/>
    </xf>
    <xf numFmtId="10" fontId="65" fillId="0" borderId="10" xfId="0" applyNumberFormat="1" applyFont="1" applyBorder="1"/>
    <xf numFmtId="10" fontId="65" fillId="0" borderId="42" xfId="0" applyNumberFormat="1" applyFont="1" applyBorder="1"/>
    <xf numFmtId="9" fontId="65" fillId="0" borderId="12" xfId="0" applyNumberFormat="1" applyFont="1" applyBorder="1"/>
    <xf numFmtId="0" fontId="67" fillId="0" borderId="0" xfId="0" applyFont="1" applyAlignment="1">
      <alignment horizontal="right"/>
    </xf>
    <xf numFmtId="0" fontId="67" fillId="0" borderId="0" xfId="0" applyFont="1" applyAlignment="1">
      <alignment horizontal="right" wrapText="1"/>
    </xf>
    <xf numFmtId="3" fontId="7" fillId="0" borderId="0" xfId="0" applyNumberFormat="1" applyFont="1" applyAlignment="1">
      <alignment vertical="center" wrapText="1"/>
    </xf>
    <xf numFmtId="1" fontId="2" fillId="0" borderId="0" xfId="0" applyNumberFormat="1" applyFont="1"/>
    <xf numFmtId="1" fontId="67" fillId="0" borderId="0" xfId="0" applyNumberFormat="1" applyFont="1" applyAlignment="1">
      <alignment horizontal="right"/>
    </xf>
    <xf numFmtId="1" fontId="67" fillId="0" borderId="0" xfId="0" applyNumberFormat="1" applyFont="1" applyAlignment="1">
      <alignment horizontal="right" wrapText="1"/>
    </xf>
    <xf numFmtId="1" fontId="7" fillId="0" borderId="0" xfId="0" applyNumberFormat="1" applyFont="1" applyAlignment="1">
      <alignment vertical="center" wrapText="1"/>
    </xf>
    <xf numFmtId="3" fontId="12" fillId="0" borderId="0" xfId="0" applyNumberFormat="1" applyFont="1" applyAlignment="1">
      <alignment horizontal="center"/>
    </xf>
    <xf numFmtId="3" fontId="7" fillId="0" borderId="0" xfId="0" applyNumberFormat="1" applyFont="1" applyAlignment="1">
      <alignment vertical="center" wrapText="1"/>
    </xf>
    <xf numFmtId="0" fontId="9" fillId="3" borderId="0" xfId="0" applyFont="1" applyFill="1" applyAlignment="1">
      <alignment horizontal="center" vertical="center"/>
    </xf>
    <xf numFmtId="0" fontId="4" fillId="0" borderId="10" xfId="0" applyFont="1" applyBorder="1"/>
    <xf numFmtId="0" fontId="11" fillId="5" borderId="0" xfId="0" applyFont="1" applyFill="1" applyAlignment="1">
      <alignment horizontal="center" vertical="center"/>
    </xf>
    <xf numFmtId="0" fontId="0" fillId="0" borderId="0" xfId="0" applyFont="1" applyAlignment="1"/>
    <xf numFmtId="0" fontId="9" fillId="3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9" xfId="0" applyFont="1" applyBorder="1"/>
    <xf numFmtId="0" fontId="9" fillId="6" borderId="0" xfId="0" applyFont="1" applyFill="1" applyAlignment="1">
      <alignment horizontal="center" vertical="center"/>
    </xf>
    <xf numFmtId="0" fontId="10" fillId="4" borderId="4" xfId="0" applyFont="1" applyFill="1" applyBorder="1" applyAlignment="1">
      <alignment horizontal="center"/>
    </xf>
    <xf numFmtId="0" fontId="4" fillId="0" borderId="4" xfId="0" applyFont="1" applyBorder="1"/>
    <xf numFmtId="0" fontId="11" fillId="5" borderId="5" xfId="0" applyFont="1" applyFill="1" applyBorder="1" applyAlignment="1">
      <alignment horizontal="center" vertical="center"/>
    </xf>
    <xf numFmtId="0" fontId="4" fillId="0" borderId="5" xfId="0" applyFont="1" applyBorder="1"/>
    <xf numFmtId="0" fontId="10" fillId="3" borderId="6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11" xfId="0" applyFont="1" applyBorder="1"/>
    <xf numFmtId="0" fontId="9" fillId="13" borderId="17" xfId="0" applyFont="1" applyFill="1" applyBorder="1" applyAlignment="1">
      <alignment horizontal="center" vertical="center"/>
    </xf>
    <xf numFmtId="0" fontId="4" fillId="0" borderId="19" xfId="0" applyFont="1" applyBorder="1"/>
    <xf numFmtId="0" fontId="4" fillId="0" borderId="18" xfId="0" applyFont="1" applyBorder="1"/>
    <xf numFmtId="0" fontId="10" fillId="4" borderId="13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4" fillId="0" borderId="15" xfId="0" applyFont="1" applyBorder="1"/>
    <xf numFmtId="0" fontId="18" fillId="3" borderId="6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4" fillId="0" borderId="12" xfId="0" applyFont="1" applyBorder="1"/>
    <xf numFmtId="0" fontId="10" fillId="18" borderId="4" xfId="0" applyFont="1" applyFill="1" applyBorder="1" applyAlignment="1">
      <alignment horizontal="center"/>
    </xf>
    <xf numFmtId="0" fontId="9" fillId="3" borderId="24" xfId="0" applyFont="1" applyFill="1" applyBorder="1" applyAlignment="1">
      <alignment horizontal="center" vertical="center"/>
    </xf>
    <xf numFmtId="0" fontId="4" fillId="0" borderId="26" xfId="0" applyFont="1" applyBorder="1"/>
    <xf numFmtId="0" fontId="9" fillId="8" borderId="25" xfId="0" applyFont="1" applyFill="1" applyBorder="1" applyAlignment="1">
      <alignment horizontal="center" vertical="center"/>
    </xf>
    <xf numFmtId="0" fontId="4" fillId="0" borderId="25" xfId="0" applyFont="1" applyBorder="1"/>
    <xf numFmtId="0" fontId="4" fillId="0" borderId="24" xfId="0" applyFont="1" applyBorder="1"/>
    <xf numFmtId="0" fontId="9" fillId="3" borderId="25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/>
    </xf>
    <xf numFmtId="0" fontId="4" fillId="0" borderId="20" xfId="0" applyFont="1" applyBorder="1"/>
    <xf numFmtId="0" fontId="23" fillId="4" borderId="2" xfId="0" applyFont="1" applyFill="1" applyBorder="1" applyAlignment="1">
      <alignment horizontal="center"/>
    </xf>
    <xf numFmtId="0" fontId="4" fillId="0" borderId="2" xfId="0" applyFont="1" applyBorder="1"/>
    <xf numFmtId="0" fontId="23" fillId="4" borderId="2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22" xfId="0" applyFont="1" applyBorder="1"/>
    <xf numFmtId="3" fontId="24" fillId="3" borderId="6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3" fontId="24" fillId="3" borderId="13" xfId="0" applyNumberFormat="1" applyFont="1" applyFill="1" applyBorder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3" fontId="24" fillId="22" borderId="4" xfId="0" applyNumberFormat="1" applyFont="1" applyFill="1" applyBorder="1" applyAlignment="1">
      <alignment horizontal="center" vertical="center"/>
    </xf>
    <xf numFmtId="0" fontId="9" fillId="23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3" fontId="10" fillId="3" borderId="0" xfId="0" applyNumberFormat="1" applyFont="1" applyFill="1" applyAlignment="1">
      <alignment horizontal="center" vertical="center"/>
    </xf>
    <xf numFmtId="3" fontId="10" fillId="3" borderId="2" xfId="0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3" fontId="10" fillId="8" borderId="1" xfId="0" applyNumberFormat="1" applyFont="1" applyFill="1" applyBorder="1" applyAlignment="1">
      <alignment horizontal="center" vertical="center"/>
    </xf>
    <xf numFmtId="3" fontId="9" fillId="17" borderId="5" xfId="0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3" fontId="9" fillId="22" borderId="2" xfId="0" applyNumberFormat="1" applyFont="1" applyFill="1" applyBorder="1" applyAlignment="1">
      <alignment horizontal="center" vertical="center"/>
    </xf>
    <xf numFmtId="3" fontId="10" fillId="8" borderId="29" xfId="0" applyNumberFormat="1" applyFont="1" applyFill="1" applyBorder="1" applyAlignment="1">
      <alignment horizontal="center" vertical="center"/>
    </xf>
    <xf numFmtId="0" fontId="4" fillId="0" borderId="28" xfId="0" applyFont="1" applyBorder="1"/>
    <xf numFmtId="0" fontId="4" fillId="0" borderId="30" xfId="0" applyFont="1" applyBorder="1"/>
    <xf numFmtId="3" fontId="35" fillId="11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/>
    </xf>
    <xf numFmtId="3" fontId="10" fillId="3" borderId="29" xfId="0" applyNumberFormat="1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/>
    </xf>
    <xf numFmtId="0" fontId="40" fillId="4" borderId="29" xfId="0" applyFont="1" applyFill="1" applyBorder="1" applyAlignment="1">
      <alignment horizontal="center"/>
    </xf>
    <xf numFmtId="3" fontId="40" fillId="3" borderId="29" xfId="0" applyNumberFormat="1" applyFont="1" applyFill="1" applyBorder="1" applyAlignment="1">
      <alignment horizontal="center" vertical="center"/>
    </xf>
    <xf numFmtId="3" fontId="40" fillId="8" borderId="29" xfId="0" applyNumberFormat="1" applyFont="1" applyFill="1" applyBorder="1" applyAlignment="1">
      <alignment horizontal="center" vertical="center"/>
    </xf>
    <xf numFmtId="0" fontId="41" fillId="3" borderId="3" xfId="0" applyFont="1" applyFill="1" applyBorder="1" applyAlignment="1">
      <alignment horizontal="center" vertical="center"/>
    </xf>
    <xf numFmtId="0" fontId="41" fillId="3" borderId="29" xfId="0" applyFont="1" applyFill="1" applyBorder="1" applyAlignment="1">
      <alignment horizontal="center" vertical="center"/>
    </xf>
    <xf numFmtId="0" fontId="46" fillId="4" borderId="28" xfId="0" applyFont="1" applyFill="1" applyBorder="1" applyAlignment="1">
      <alignment horizontal="center"/>
    </xf>
    <xf numFmtId="0" fontId="46" fillId="3" borderId="28" xfId="0" applyFont="1" applyFill="1" applyBorder="1" applyAlignment="1">
      <alignment horizontal="center"/>
    </xf>
    <xf numFmtId="0" fontId="46" fillId="8" borderId="28" xfId="0" applyFont="1" applyFill="1" applyBorder="1" applyAlignment="1">
      <alignment horizontal="center"/>
    </xf>
    <xf numFmtId="0" fontId="47" fillId="3" borderId="29" xfId="0" applyFont="1" applyFill="1" applyBorder="1" applyAlignment="1">
      <alignment horizontal="center"/>
    </xf>
    <xf numFmtId="0" fontId="9" fillId="3" borderId="40" xfId="0" applyFont="1" applyFill="1" applyBorder="1" applyAlignment="1">
      <alignment horizontal="center" vertical="center"/>
    </xf>
    <xf numFmtId="0" fontId="4" fillId="0" borderId="39" xfId="0" applyFont="1" applyBorder="1"/>
    <xf numFmtId="0" fontId="9" fillId="3" borderId="39" xfId="0" applyFont="1" applyFill="1" applyBorder="1" applyAlignment="1">
      <alignment horizontal="center" vertical="center"/>
    </xf>
    <xf numFmtId="0" fontId="4" fillId="0" borderId="42" xfId="0" applyFont="1" applyBorder="1"/>
    <xf numFmtId="0" fontId="23" fillId="4" borderId="21" xfId="0" applyFont="1" applyFill="1" applyBorder="1" applyAlignment="1">
      <alignment horizontal="center"/>
    </xf>
    <xf numFmtId="0" fontId="4" fillId="0" borderId="43" xfId="0" applyFont="1" applyBorder="1"/>
    <xf numFmtId="0" fontId="4" fillId="0" borderId="44" xfId="0" applyFont="1" applyBorder="1"/>
    <xf numFmtId="0" fontId="9" fillId="3" borderId="41" xfId="0" applyFont="1" applyFill="1" applyBorder="1" applyAlignment="1">
      <alignment horizontal="center" vertical="center"/>
    </xf>
  </cellXfs>
  <cellStyles count="1">
    <cellStyle name="一般" xfId="0" builtinId="0"/>
  </cellStyles>
  <dxfs count="6">
    <dxf>
      <fill>
        <patternFill patternType="solid">
          <fgColor rgb="FFF4C7C3"/>
          <bgColor rgb="FFF4C7C3"/>
        </patternFill>
      </fill>
    </dxf>
    <dxf>
      <font>
        <color rgb="FFCC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H%20labo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 labo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honeticPr fontId="6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honeticPr fontId="6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AG46"/>
  <sheetViews>
    <sheetView workbookViewId="0"/>
  </sheetViews>
  <sheetFormatPr baseColWidth="10" defaultColWidth="12.6640625" defaultRowHeight="15.75" customHeight="1"/>
  <cols>
    <col min="2" max="2" width="5.5" customWidth="1"/>
    <col min="3" max="3" width="4.6640625" customWidth="1"/>
    <col min="4" max="5" width="10.6640625" customWidth="1"/>
    <col min="6" max="10" width="11.6640625" customWidth="1"/>
    <col min="11" max="13" width="13.1640625" customWidth="1"/>
    <col min="14" max="14" width="9.1640625" customWidth="1"/>
    <col min="16" max="16" width="9.6640625" customWidth="1"/>
  </cols>
  <sheetData>
    <row r="1" spans="2:33" ht="13">
      <c r="F1" s="63">
        <f>4051/G2</f>
        <v>0.83525773195876285</v>
      </c>
      <c r="G1" s="63">
        <f>4180/G2</f>
        <v>0.86185567010309283</v>
      </c>
      <c r="H1" s="4"/>
      <c r="I1" s="4"/>
      <c r="J1" s="4" t="s">
        <v>228</v>
      </c>
    </row>
    <row r="2" spans="2:33" ht="18">
      <c r="B2" s="220" t="s">
        <v>229</v>
      </c>
      <c r="D2" s="222" t="s">
        <v>165</v>
      </c>
      <c r="E2" s="222"/>
      <c r="F2" s="222"/>
      <c r="G2" s="222">
        <v>4850</v>
      </c>
      <c r="H2" s="222"/>
      <c r="I2" s="222"/>
      <c r="J2" s="222">
        <v>2.6</v>
      </c>
      <c r="K2" s="23"/>
      <c r="Z2">
        <f>Z3/Y3</f>
        <v>7.0460704607046065E-2</v>
      </c>
    </row>
    <row r="3" spans="2:33" ht="18" hidden="1">
      <c r="B3" s="834"/>
      <c r="C3" s="796"/>
      <c r="D3" s="835" t="s">
        <v>11</v>
      </c>
      <c r="E3" s="788"/>
      <c r="F3" s="788"/>
      <c r="G3" s="796"/>
      <c r="H3" s="287"/>
      <c r="I3" s="287"/>
      <c r="J3" s="287"/>
      <c r="K3" s="832" t="s">
        <v>129</v>
      </c>
      <c r="L3" s="788"/>
      <c r="M3" s="796"/>
      <c r="N3" s="836" t="s">
        <v>230</v>
      </c>
      <c r="O3" s="820"/>
      <c r="P3" s="822"/>
      <c r="Q3" s="288"/>
      <c r="R3" s="288"/>
      <c r="S3" s="288"/>
      <c r="T3" s="288" t="s">
        <v>171</v>
      </c>
      <c r="U3" s="289"/>
      <c r="V3" s="837" t="s">
        <v>177</v>
      </c>
      <c r="Y3" s="23">
        <f t="shared" ref="Y3:Z3" si="0">SUM(Y6:Y35)</f>
        <v>369000</v>
      </c>
      <c r="Z3">
        <f t="shared" si="0"/>
        <v>26000</v>
      </c>
    </row>
    <row r="4" spans="2:33" ht="18">
      <c r="B4" s="291"/>
      <c r="C4" s="291"/>
      <c r="D4" s="838" t="s">
        <v>231</v>
      </c>
      <c r="E4" s="820"/>
      <c r="F4" s="839" t="s">
        <v>232</v>
      </c>
      <c r="G4" s="822"/>
      <c r="H4" s="839" t="s">
        <v>233</v>
      </c>
      <c r="I4" s="822"/>
      <c r="J4" s="292"/>
      <c r="K4" s="833" t="s">
        <v>129</v>
      </c>
      <c r="L4" s="820"/>
      <c r="M4" s="822"/>
      <c r="N4" s="836" t="s">
        <v>230</v>
      </c>
      <c r="O4" s="820"/>
      <c r="P4" s="822"/>
      <c r="Q4" s="293" t="s">
        <v>180</v>
      </c>
      <c r="R4" s="294" t="s">
        <v>234</v>
      </c>
      <c r="S4" s="295"/>
      <c r="T4" s="288" t="s">
        <v>171</v>
      </c>
      <c r="U4" s="289"/>
      <c r="V4" s="796"/>
      <c r="X4" s="4"/>
      <c r="Z4" s="4"/>
      <c r="AA4" s="4"/>
    </row>
    <row r="5" spans="2:33" ht="45">
      <c r="B5" s="789" t="s">
        <v>10</v>
      </c>
      <c r="C5" s="796"/>
      <c r="D5" s="296" t="s">
        <v>63</v>
      </c>
      <c r="E5" s="297" t="s">
        <v>18</v>
      </c>
      <c r="F5" s="296" t="s">
        <v>63</v>
      </c>
      <c r="G5" s="297" t="s">
        <v>18</v>
      </c>
      <c r="H5" s="296" t="s">
        <v>63</v>
      </c>
      <c r="I5" s="297" t="s">
        <v>18</v>
      </c>
      <c r="J5" s="297" t="s">
        <v>176</v>
      </c>
      <c r="K5" s="298" t="s">
        <v>130</v>
      </c>
      <c r="L5" s="299" t="s">
        <v>186</v>
      </c>
      <c r="M5" s="297" t="s">
        <v>132</v>
      </c>
      <c r="N5" s="300" t="s">
        <v>177</v>
      </c>
      <c r="O5" s="301" t="s">
        <v>235</v>
      </c>
      <c r="P5" s="302" t="s">
        <v>236</v>
      </c>
      <c r="Q5" s="303" t="s">
        <v>237</v>
      </c>
      <c r="R5" s="304" t="s">
        <v>238</v>
      </c>
      <c r="S5" s="290" t="s">
        <v>180</v>
      </c>
      <c r="T5" s="305" t="s">
        <v>187</v>
      </c>
      <c r="U5" s="305" t="s">
        <v>188</v>
      </c>
      <c r="V5" s="796"/>
      <c r="X5" s="4" t="s">
        <v>239</v>
      </c>
      <c r="Z5" s="4" t="s">
        <v>215</v>
      </c>
      <c r="AA5" s="4">
        <v>800000</v>
      </c>
    </row>
    <row r="6" spans="2:33" ht="14">
      <c r="B6" s="188">
        <v>43647</v>
      </c>
      <c r="C6" s="306" t="s">
        <v>41</v>
      </c>
      <c r="D6" s="23">
        <f t="shared" ref="D6:D36" si="1">Y6</f>
        <v>12000</v>
      </c>
      <c r="E6" s="307">
        <v>5300</v>
      </c>
      <c r="F6" s="308">
        <v>12000</v>
      </c>
      <c r="G6" s="253">
        <v>5000</v>
      </c>
      <c r="H6" s="308">
        <v>12000</v>
      </c>
      <c r="I6" s="253">
        <v>5000</v>
      </c>
      <c r="J6" s="253">
        <f t="shared" ref="J6:J36" si="2">G6*$J$2</f>
        <v>13000</v>
      </c>
      <c r="M6" s="27"/>
      <c r="N6" s="64">
        <v>3000</v>
      </c>
      <c r="O6" s="64">
        <v>725626</v>
      </c>
      <c r="P6" s="192">
        <v>74</v>
      </c>
      <c r="Q6" s="309">
        <v>75</v>
      </c>
      <c r="R6" s="310"/>
      <c r="S6" s="27"/>
      <c r="U6" s="64"/>
      <c r="V6" s="253">
        <f t="shared" ref="V6:V36" si="3">Z6</f>
        <v>1000</v>
      </c>
      <c r="X6" s="4" t="s">
        <v>240</v>
      </c>
      <c r="Y6" s="311">
        <f t="shared" ref="Y6:Y10" si="4">VLOOKUP(X6,$X$38:$AA$41,4,0)</f>
        <v>12000</v>
      </c>
      <c r="Z6" s="4">
        <v>1000</v>
      </c>
      <c r="AA6" s="23">
        <f t="shared" ref="AA6:AA36" si="5">AA5-G6*2.2+Y6-Z6</f>
        <v>800000</v>
      </c>
      <c r="AF6" s="312">
        <v>6558</v>
      </c>
      <c r="AG6" s="4">
        <v>31</v>
      </c>
    </row>
    <row r="7" spans="2:33" ht="14">
      <c r="B7" s="188">
        <v>43648</v>
      </c>
      <c r="C7" s="306" t="s">
        <v>46</v>
      </c>
      <c r="D7" s="23">
        <f t="shared" si="1"/>
        <v>17000</v>
      </c>
      <c r="E7" s="307">
        <v>5300</v>
      </c>
      <c r="F7" s="308">
        <v>18000</v>
      </c>
      <c r="G7" s="253">
        <v>5300</v>
      </c>
      <c r="H7" s="308">
        <v>18000</v>
      </c>
      <c r="I7" s="253">
        <v>5300</v>
      </c>
      <c r="J7" s="253">
        <f t="shared" si="2"/>
        <v>13780</v>
      </c>
      <c r="K7" s="4" t="s">
        <v>241</v>
      </c>
      <c r="M7" s="27"/>
      <c r="N7" s="64">
        <v>3000</v>
      </c>
      <c r="O7" s="64">
        <v>728913</v>
      </c>
      <c r="P7" s="192">
        <v>73</v>
      </c>
      <c r="Q7" s="309">
        <v>75</v>
      </c>
      <c r="R7" s="313">
        <v>670620</v>
      </c>
      <c r="S7" s="192">
        <v>68</v>
      </c>
      <c r="U7" s="64"/>
      <c r="V7" s="253">
        <f t="shared" si="3"/>
        <v>1000</v>
      </c>
      <c r="X7" s="4" t="s">
        <v>242</v>
      </c>
      <c r="Y7" s="311">
        <f t="shared" si="4"/>
        <v>17000</v>
      </c>
      <c r="Z7" s="4">
        <v>1000</v>
      </c>
      <c r="AA7" s="23">
        <f t="shared" si="5"/>
        <v>804340</v>
      </c>
      <c r="AF7" s="314">
        <v>8931</v>
      </c>
      <c r="AG7" s="4">
        <v>30</v>
      </c>
    </row>
    <row r="8" spans="2:33" ht="14">
      <c r="B8" s="188">
        <v>43649</v>
      </c>
      <c r="C8" s="306" t="s">
        <v>49</v>
      </c>
      <c r="D8" s="23">
        <f t="shared" si="1"/>
        <v>12000</v>
      </c>
      <c r="E8" s="307">
        <v>6500</v>
      </c>
      <c r="F8" s="308">
        <v>14000</v>
      </c>
      <c r="G8" s="253">
        <v>4500</v>
      </c>
      <c r="H8" s="308">
        <v>14000</v>
      </c>
      <c r="I8" s="253">
        <v>4500</v>
      </c>
      <c r="J8" s="253">
        <f t="shared" si="2"/>
        <v>11700</v>
      </c>
      <c r="M8" s="192"/>
      <c r="N8" s="64">
        <v>3000</v>
      </c>
      <c r="O8" s="64">
        <v>729968</v>
      </c>
      <c r="P8" s="192">
        <v>73</v>
      </c>
      <c r="Q8" s="309">
        <v>75</v>
      </c>
      <c r="R8" s="313">
        <v>666565</v>
      </c>
      <c r="S8" s="192">
        <v>67</v>
      </c>
      <c r="U8" s="64"/>
      <c r="V8" s="253">
        <f t="shared" si="3"/>
        <v>1000</v>
      </c>
      <c r="X8" s="4" t="s">
        <v>240</v>
      </c>
      <c r="Y8" s="311">
        <f t="shared" si="4"/>
        <v>12000</v>
      </c>
      <c r="Z8" s="4">
        <v>1000</v>
      </c>
      <c r="AA8" s="23">
        <f t="shared" si="5"/>
        <v>805440</v>
      </c>
      <c r="AF8" s="314">
        <v>13120</v>
      </c>
      <c r="AG8" s="4">
        <v>29</v>
      </c>
    </row>
    <row r="9" spans="2:33" ht="14">
      <c r="B9" s="188">
        <v>43650</v>
      </c>
      <c r="C9" s="306" t="s">
        <v>51</v>
      </c>
      <c r="D9" s="23">
        <f t="shared" si="1"/>
        <v>17000</v>
      </c>
      <c r="E9" s="307">
        <v>4500</v>
      </c>
      <c r="F9" s="308">
        <v>18000</v>
      </c>
      <c r="G9" s="253">
        <v>4500</v>
      </c>
      <c r="H9" s="308">
        <v>18000</v>
      </c>
      <c r="I9" s="253">
        <v>4500</v>
      </c>
      <c r="J9" s="253">
        <f t="shared" si="2"/>
        <v>11700</v>
      </c>
      <c r="M9" s="27"/>
      <c r="N9" s="64">
        <v>3000</v>
      </c>
      <c r="O9" s="64">
        <v>735023</v>
      </c>
      <c r="P9" s="192">
        <v>72</v>
      </c>
      <c r="Q9" s="309">
        <v>75</v>
      </c>
      <c r="R9" s="310"/>
      <c r="S9" s="27"/>
      <c r="U9" s="64"/>
      <c r="V9" s="253">
        <f t="shared" si="3"/>
        <v>1000</v>
      </c>
      <c r="X9" s="4" t="s">
        <v>242</v>
      </c>
      <c r="Y9" s="311">
        <f t="shared" si="4"/>
        <v>17000</v>
      </c>
      <c r="Z9" s="4">
        <v>1000</v>
      </c>
      <c r="AA9" s="23">
        <f t="shared" si="5"/>
        <v>811540</v>
      </c>
      <c r="AF9" s="314">
        <v>12984</v>
      </c>
      <c r="AG9" s="4">
        <v>28</v>
      </c>
    </row>
    <row r="10" spans="2:33" ht="14">
      <c r="B10" s="188">
        <v>43651</v>
      </c>
      <c r="C10" s="306" t="s">
        <v>29</v>
      </c>
      <c r="D10" s="23">
        <f t="shared" si="1"/>
        <v>17000</v>
      </c>
      <c r="E10" s="307">
        <v>3500</v>
      </c>
      <c r="F10" s="308">
        <v>18000</v>
      </c>
      <c r="G10" s="253">
        <v>3500</v>
      </c>
      <c r="H10" s="308">
        <v>18000</v>
      </c>
      <c r="I10" s="253">
        <v>3500</v>
      </c>
      <c r="J10" s="253">
        <f t="shared" si="2"/>
        <v>9100</v>
      </c>
      <c r="M10" s="27"/>
      <c r="N10" s="64">
        <v>3000</v>
      </c>
      <c r="O10" s="64">
        <v>742288</v>
      </c>
      <c r="P10" s="192">
        <v>73</v>
      </c>
      <c r="Q10" s="309">
        <v>75</v>
      </c>
      <c r="R10" s="313">
        <v>671992</v>
      </c>
      <c r="S10" s="192">
        <v>67</v>
      </c>
      <c r="U10" s="64"/>
      <c r="V10" s="253">
        <f t="shared" si="3"/>
        <v>1000</v>
      </c>
      <c r="X10" s="4" t="s">
        <v>242</v>
      </c>
      <c r="Y10" s="311">
        <f t="shared" si="4"/>
        <v>17000</v>
      </c>
      <c r="Z10" s="4">
        <v>1000</v>
      </c>
      <c r="AA10" s="23">
        <f t="shared" si="5"/>
        <v>819840</v>
      </c>
      <c r="AF10" s="314">
        <v>17239</v>
      </c>
      <c r="AG10" s="4">
        <v>27</v>
      </c>
    </row>
    <row r="11" spans="2:33" ht="14">
      <c r="B11" s="188">
        <v>43652</v>
      </c>
      <c r="C11" s="306" t="s">
        <v>33</v>
      </c>
      <c r="D11" s="23">
        <f t="shared" si="1"/>
        <v>8000</v>
      </c>
      <c r="E11" s="307">
        <v>3500</v>
      </c>
      <c r="F11" s="308">
        <v>10000</v>
      </c>
      <c r="G11" s="253">
        <v>3500</v>
      </c>
      <c r="H11" s="308">
        <v>10000</v>
      </c>
      <c r="I11" s="253">
        <v>3500</v>
      </c>
      <c r="J11" s="253">
        <f t="shared" si="2"/>
        <v>9100</v>
      </c>
      <c r="M11" s="27"/>
      <c r="N11" s="4">
        <v>0</v>
      </c>
      <c r="O11" s="64">
        <v>744553</v>
      </c>
      <c r="P11" s="192">
        <v>75</v>
      </c>
      <c r="Q11" s="309">
        <v>75</v>
      </c>
      <c r="R11" s="310"/>
      <c r="S11" s="27"/>
      <c r="U11" s="64"/>
      <c r="V11" s="253">
        <f t="shared" si="3"/>
        <v>1000</v>
      </c>
      <c r="X11" s="4" t="s">
        <v>240</v>
      </c>
      <c r="Y11" s="307">
        <v>8000</v>
      </c>
      <c r="Z11" s="4">
        <v>1000</v>
      </c>
      <c r="AA11" s="23">
        <f t="shared" si="5"/>
        <v>819140</v>
      </c>
      <c r="AF11" s="314">
        <v>10788</v>
      </c>
      <c r="AG11" s="4">
        <v>26</v>
      </c>
    </row>
    <row r="12" spans="2:33" ht="14">
      <c r="B12" s="190">
        <v>43653</v>
      </c>
      <c r="C12" s="315" t="s">
        <v>37</v>
      </c>
      <c r="D12" s="97">
        <f t="shared" si="1"/>
        <v>0</v>
      </c>
      <c r="E12" s="316">
        <v>3800</v>
      </c>
      <c r="F12" s="317">
        <v>0</v>
      </c>
      <c r="G12" s="257">
        <v>3800</v>
      </c>
      <c r="H12" s="317">
        <v>0</v>
      </c>
      <c r="I12" s="257">
        <v>3800</v>
      </c>
      <c r="J12" s="257">
        <f t="shared" si="2"/>
        <v>9880</v>
      </c>
      <c r="K12" s="34"/>
      <c r="L12" s="34"/>
      <c r="M12" s="87"/>
      <c r="N12" s="200">
        <v>0</v>
      </c>
      <c r="O12" s="97">
        <v>736155</v>
      </c>
      <c r="P12" s="318">
        <v>74</v>
      </c>
      <c r="Q12" s="319">
        <v>75</v>
      </c>
      <c r="R12" s="320"/>
      <c r="S12" s="318"/>
      <c r="T12" s="200"/>
      <c r="U12" s="34"/>
      <c r="V12" s="257">
        <f t="shared" si="3"/>
        <v>0</v>
      </c>
      <c r="X12" s="4" t="s">
        <v>243</v>
      </c>
      <c r="Y12" s="311">
        <f t="shared" ref="Y12:Y15" si="6">VLOOKUP(X12,$X$38:$AA$41,4,0)</f>
        <v>0</v>
      </c>
      <c r="AA12" s="23">
        <f t="shared" si="5"/>
        <v>810780</v>
      </c>
      <c r="AF12" s="314">
        <v>0</v>
      </c>
      <c r="AG12" s="4">
        <v>25</v>
      </c>
    </row>
    <row r="13" spans="2:33" ht="14">
      <c r="B13" s="188">
        <v>43654</v>
      </c>
      <c r="C13" s="306" t="s">
        <v>41</v>
      </c>
      <c r="D13" s="23">
        <f t="shared" si="1"/>
        <v>12000</v>
      </c>
      <c r="E13" s="307">
        <v>5300</v>
      </c>
      <c r="F13" s="308">
        <v>14000</v>
      </c>
      <c r="G13" s="253">
        <v>5000</v>
      </c>
      <c r="H13" s="308">
        <v>14000</v>
      </c>
      <c r="I13" s="253">
        <v>5000</v>
      </c>
      <c r="J13" s="253">
        <f t="shared" si="2"/>
        <v>13000</v>
      </c>
      <c r="M13" s="27"/>
      <c r="N13" s="64">
        <v>3000</v>
      </c>
      <c r="O13" s="64">
        <v>736105</v>
      </c>
      <c r="P13" s="192">
        <v>73</v>
      </c>
      <c r="Q13" s="309">
        <v>75</v>
      </c>
      <c r="R13" s="310"/>
      <c r="S13" s="27"/>
      <c r="V13" s="253">
        <f t="shared" si="3"/>
        <v>1000</v>
      </c>
      <c r="X13" s="4" t="s">
        <v>240</v>
      </c>
      <c r="Y13" s="311">
        <f t="shared" si="6"/>
        <v>12000</v>
      </c>
      <c r="Z13" s="4">
        <v>1000</v>
      </c>
      <c r="AA13" s="23">
        <f t="shared" si="5"/>
        <v>810780</v>
      </c>
      <c r="AF13" s="314">
        <v>4862</v>
      </c>
      <c r="AG13" s="4">
        <v>24</v>
      </c>
    </row>
    <row r="14" spans="2:33" ht="14">
      <c r="B14" s="188">
        <v>43655</v>
      </c>
      <c r="C14" s="306" t="s">
        <v>46</v>
      </c>
      <c r="D14" s="23">
        <f t="shared" si="1"/>
        <v>17000</v>
      </c>
      <c r="E14" s="307">
        <v>5300</v>
      </c>
      <c r="F14" s="308">
        <v>18000</v>
      </c>
      <c r="G14" s="253">
        <v>5300</v>
      </c>
      <c r="H14" s="308">
        <v>18000</v>
      </c>
      <c r="I14" s="253">
        <v>5300</v>
      </c>
      <c r="J14" s="253">
        <f t="shared" si="2"/>
        <v>13780</v>
      </c>
      <c r="K14" s="4" t="s">
        <v>241</v>
      </c>
      <c r="M14" s="27"/>
      <c r="N14" s="64">
        <v>3000</v>
      </c>
      <c r="O14" s="64">
        <v>739392</v>
      </c>
      <c r="P14" s="192">
        <v>73</v>
      </c>
      <c r="Q14" s="309">
        <v>75</v>
      </c>
      <c r="R14" s="313">
        <v>673553</v>
      </c>
      <c r="S14" s="192">
        <v>70</v>
      </c>
      <c r="V14" s="253">
        <f t="shared" si="3"/>
        <v>1000</v>
      </c>
      <c r="X14" s="4" t="s">
        <v>242</v>
      </c>
      <c r="Y14" s="311">
        <f t="shared" si="6"/>
        <v>17000</v>
      </c>
      <c r="Z14" s="4">
        <v>1000</v>
      </c>
      <c r="AA14" s="23">
        <f t="shared" si="5"/>
        <v>815120</v>
      </c>
      <c r="AF14" s="314">
        <v>11350</v>
      </c>
      <c r="AG14" s="4">
        <v>23</v>
      </c>
    </row>
    <row r="15" spans="2:33" ht="14">
      <c r="B15" s="188">
        <v>43656</v>
      </c>
      <c r="C15" s="306" t="s">
        <v>49</v>
      </c>
      <c r="D15" s="23">
        <f t="shared" si="1"/>
        <v>12000</v>
      </c>
      <c r="E15" s="307">
        <v>5000</v>
      </c>
      <c r="F15" s="308">
        <v>14000</v>
      </c>
      <c r="G15" s="253">
        <v>4500</v>
      </c>
      <c r="H15" s="308">
        <v>14000</v>
      </c>
      <c r="I15" s="253">
        <v>4500</v>
      </c>
      <c r="J15" s="253">
        <f t="shared" si="2"/>
        <v>11700</v>
      </c>
      <c r="M15" s="27"/>
      <c r="N15" s="64">
        <v>3000</v>
      </c>
      <c r="O15" s="64">
        <v>740447</v>
      </c>
      <c r="P15" s="192">
        <v>74</v>
      </c>
      <c r="Q15" s="309">
        <v>75</v>
      </c>
      <c r="R15" s="313">
        <v>673068</v>
      </c>
      <c r="S15" s="192">
        <v>70</v>
      </c>
      <c r="V15" s="253">
        <f t="shared" si="3"/>
        <v>1000</v>
      </c>
      <c r="X15" s="4" t="s">
        <v>240</v>
      </c>
      <c r="Y15" s="311">
        <f t="shared" si="6"/>
        <v>12000</v>
      </c>
      <c r="Z15" s="4">
        <v>1000</v>
      </c>
      <c r="AA15" s="23">
        <f t="shared" si="5"/>
        <v>816220</v>
      </c>
      <c r="AF15" s="314">
        <v>14389</v>
      </c>
      <c r="AG15" s="4">
        <v>22</v>
      </c>
    </row>
    <row r="16" spans="2:33" ht="14">
      <c r="B16" s="188">
        <v>43657</v>
      </c>
      <c r="C16" s="306" t="s">
        <v>51</v>
      </c>
      <c r="D16" s="23">
        <f t="shared" si="1"/>
        <v>17000</v>
      </c>
      <c r="E16" s="307">
        <v>4500</v>
      </c>
      <c r="F16" s="308">
        <v>18000</v>
      </c>
      <c r="G16" s="253">
        <v>4500</v>
      </c>
      <c r="H16" s="308">
        <v>18000</v>
      </c>
      <c r="I16" s="253">
        <v>4500</v>
      </c>
      <c r="J16" s="253">
        <f t="shared" si="2"/>
        <v>11700</v>
      </c>
      <c r="M16" s="27"/>
      <c r="N16" s="64">
        <v>3000</v>
      </c>
      <c r="O16" s="64">
        <v>745502</v>
      </c>
      <c r="P16" s="192">
        <v>74</v>
      </c>
      <c r="Q16" s="321">
        <v>80</v>
      </c>
      <c r="R16" s="313">
        <v>676514</v>
      </c>
      <c r="S16" s="192">
        <v>71</v>
      </c>
      <c r="V16" s="253">
        <f t="shared" si="3"/>
        <v>1000</v>
      </c>
      <c r="X16" s="4" t="s">
        <v>242</v>
      </c>
      <c r="Y16" s="307">
        <v>17000</v>
      </c>
      <c r="Z16" s="4">
        <v>1000</v>
      </c>
      <c r="AA16" s="23">
        <f t="shared" si="5"/>
        <v>822320</v>
      </c>
      <c r="AF16" s="314">
        <v>18942</v>
      </c>
      <c r="AG16" s="4">
        <v>21</v>
      </c>
    </row>
    <row r="17" spans="2:33" ht="14">
      <c r="B17" s="188">
        <v>43658</v>
      </c>
      <c r="C17" s="306" t="s">
        <v>29</v>
      </c>
      <c r="D17" s="23">
        <f t="shared" si="1"/>
        <v>17000</v>
      </c>
      <c r="E17" s="307">
        <v>3500</v>
      </c>
      <c r="F17" s="308">
        <v>18000</v>
      </c>
      <c r="G17" s="253">
        <v>3500</v>
      </c>
      <c r="H17" s="308">
        <v>18000</v>
      </c>
      <c r="I17" s="253">
        <v>3500</v>
      </c>
      <c r="J17" s="253">
        <f t="shared" si="2"/>
        <v>9100</v>
      </c>
      <c r="M17" s="27"/>
      <c r="N17" s="64">
        <v>3000</v>
      </c>
      <c r="O17" s="64">
        <v>752767</v>
      </c>
      <c r="P17" s="192">
        <v>77</v>
      </c>
      <c r="Q17" s="321">
        <v>80</v>
      </c>
      <c r="R17" s="313">
        <v>681376</v>
      </c>
      <c r="S17" s="192">
        <v>73</v>
      </c>
      <c r="V17" s="253">
        <f t="shared" si="3"/>
        <v>1000</v>
      </c>
      <c r="X17" s="4" t="s">
        <v>242</v>
      </c>
      <c r="Y17" s="307">
        <v>17000</v>
      </c>
      <c r="Z17" s="4">
        <v>1000</v>
      </c>
      <c r="AA17" s="23">
        <f t="shared" si="5"/>
        <v>830620</v>
      </c>
      <c r="AF17" s="314">
        <v>19297</v>
      </c>
      <c r="AG17" s="4">
        <v>20</v>
      </c>
    </row>
    <row r="18" spans="2:33" ht="14">
      <c r="B18" s="188">
        <v>43659</v>
      </c>
      <c r="C18" s="306" t="s">
        <v>33</v>
      </c>
      <c r="D18" s="23">
        <f t="shared" si="1"/>
        <v>8000</v>
      </c>
      <c r="E18" s="307">
        <v>3500</v>
      </c>
      <c r="F18" s="308">
        <v>10000</v>
      </c>
      <c r="G18" s="253">
        <v>3500</v>
      </c>
      <c r="H18" s="308">
        <v>10000</v>
      </c>
      <c r="I18" s="253">
        <v>3500</v>
      </c>
      <c r="J18" s="253">
        <f t="shared" si="2"/>
        <v>9100</v>
      </c>
      <c r="M18" s="27"/>
      <c r="N18" s="4">
        <v>0</v>
      </c>
      <c r="O18" s="64">
        <v>755032</v>
      </c>
      <c r="P18" s="192">
        <v>78</v>
      </c>
      <c r="Q18" s="321">
        <v>80</v>
      </c>
      <c r="R18" s="310"/>
      <c r="S18" s="27"/>
      <c r="V18" s="253">
        <f t="shared" si="3"/>
        <v>1000</v>
      </c>
      <c r="X18" s="4" t="s">
        <v>240</v>
      </c>
      <c r="Y18" s="307">
        <v>8000</v>
      </c>
      <c r="Z18" s="4">
        <v>1000</v>
      </c>
      <c r="AA18" s="23">
        <f t="shared" si="5"/>
        <v>829920</v>
      </c>
      <c r="AF18" s="314">
        <v>8406</v>
      </c>
      <c r="AG18" s="4">
        <v>19</v>
      </c>
    </row>
    <row r="19" spans="2:33" ht="14">
      <c r="B19" s="190">
        <v>43660</v>
      </c>
      <c r="C19" s="315" t="s">
        <v>37</v>
      </c>
      <c r="D19" s="97">
        <f t="shared" si="1"/>
        <v>0</v>
      </c>
      <c r="E19" s="316">
        <v>3800</v>
      </c>
      <c r="F19" s="317">
        <v>0</v>
      </c>
      <c r="G19" s="257">
        <v>3800</v>
      </c>
      <c r="H19" s="317">
        <v>0</v>
      </c>
      <c r="I19" s="257">
        <v>3800</v>
      </c>
      <c r="J19" s="257">
        <f t="shared" si="2"/>
        <v>9880</v>
      </c>
      <c r="K19" s="34"/>
      <c r="L19" s="34"/>
      <c r="M19" s="87"/>
      <c r="N19" s="200">
        <v>0</v>
      </c>
      <c r="O19" s="97">
        <v>746634</v>
      </c>
      <c r="P19" s="318">
        <v>78</v>
      </c>
      <c r="Q19" s="322">
        <v>80</v>
      </c>
      <c r="R19" s="320"/>
      <c r="S19" s="318"/>
      <c r="T19" s="200"/>
      <c r="U19" s="34"/>
      <c r="V19" s="257">
        <f t="shared" si="3"/>
        <v>0</v>
      </c>
      <c r="X19" s="4" t="s">
        <v>243</v>
      </c>
      <c r="Y19" s="311">
        <f t="shared" ref="Y19:Y21" si="7">VLOOKUP(X19,$X$38:$AA$41,4,0)</f>
        <v>0</v>
      </c>
      <c r="AA19" s="23">
        <f t="shared" si="5"/>
        <v>821560</v>
      </c>
      <c r="AF19" s="314">
        <v>964</v>
      </c>
      <c r="AG19" s="4">
        <v>18</v>
      </c>
    </row>
    <row r="20" spans="2:33" ht="14">
      <c r="B20" s="188">
        <v>43661</v>
      </c>
      <c r="C20" s="306" t="s">
        <v>41</v>
      </c>
      <c r="D20" s="23">
        <f t="shared" si="1"/>
        <v>12000</v>
      </c>
      <c r="E20" s="307">
        <v>6500</v>
      </c>
      <c r="F20" s="308">
        <v>14000</v>
      </c>
      <c r="G20" s="253">
        <v>5000</v>
      </c>
      <c r="H20" s="308">
        <v>14000</v>
      </c>
      <c r="I20" s="253">
        <v>5000</v>
      </c>
      <c r="J20" s="253">
        <f t="shared" si="2"/>
        <v>13000</v>
      </c>
      <c r="M20" s="192" t="s">
        <v>244</v>
      </c>
      <c r="N20" s="64">
        <v>3000</v>
      </c>
      <c r="O20" s="64">
        <v>746584</v>
      </c>
      <c r="P20" s="192">
        <v>77</v>
      </c>
      <c r="Q20" s="321">
        <v>80</v>
      </c>
      <c r="R20" s="313">
        <v>680677</v>
      </c>
      <c r="S20" s="323">
        <v>78</v>
      </c>
      <c r="V20" s="253">
        <f t="shared" si="3"/>
        <v>1000</v>
      </c>
      <c r="X20" s="4" t="s">
        <v>240</v>
      </c>
      <c r="Y20" s="311">
        <f t="shared" si="7"/>
        <v>12000</v>
      </c>
      <c r="Z20" s="4">
        <v>1000</v>
      </c>
      <c r="AA20" s="23">
        <f t="shared" si="5"/>
        <v>821560</v>
      </c>
      <c r="AF20" s="314">
        <v>8497</v>
      </c>
      <c r="AG20" s="4">
        <v>17</v>
      </c>
    </row>
    <row r="21" spans="2:33" ht="14">
      <c r="B21" s="188">
        <v>43662</v>
      </c>
      <c r="C21" s="306" t="s">
        <v>46</v>
      </c>
      <c r="D21" s="23">
        <f t="shared" si="1"/>
        <v>17000</v>
      </c>
      <c r="E21" s="307">
        <v>5500</v>
      </c>
      <c r="F21" s="308">
        <v>18000</v>
      </c>
      <c r="G21" s="253">
        <v>5500</v>
      </c>
      <c r="H21" s="308">
        <v>18000</v>
      </c>
      <c r="I21" s="253">
        <v>5500</v>
      </c>
      <c r="J21" s="253">
        <f t="shared" si="2"/>
        <v>14300</v>
      </c>
      <c r="K21" s="4" t="s">
        <v>241</v>
      </c>
      <c r="M21" s="192" t="s">
        <v>244</v>
      </c>
      <c r="N21" s="64">
        <v>3000</v>
      </c>
      <c r="O21" s="64">
        <v>749429</v>
      </c>
      <c r="P21" s="192">
        <v>76</v>
      </c>
      <c r="Q21" s="321">
        <v>80</v>
      </c>
      <c r="R21" s="313"/>
      <c r="S21" s="192"/>
      <c r="V21" s="253">
        <f t="shared" si="3"/>
        <v>1000</v>
      </c>
      <c r="X21" s="4" t="s">
        <v>242</v>
      </c>
      <c r="Y21" s="311">
        <f t="shared" si="7"/>
        <v>17000</v>
      </c>
      <c r="Z21" s="4">
        <v>1000</v>
      </c>
      <c r="AA21" s="23">
        <f t="shared" si="5"/>
        <v>825460</v>
      </c>
      <c r="AF21" s="314">
        <v>15910</v>
      </c>
      <c r="AG21" s="4">
        <v>16</v>
      </c>
    </row>
    <row r="22" spans="2:33" ht="14">
      <c r="B22" s="188">
        <v>43663</v>
      </c>
      <c r="C22" s="306" t="s">
        <v>49</v>
      </c>
      <c r="D22" s="23">
        <f t="shared" si="1"/>
        <v>12000</v>
      </c>
      <c r="E22" s="324">
        <v>8500</v>
      </c>
      <c r="F22" s="325">
        <v>13000</v>
      </c>
      <c r="G22" s="249">
        <v>7500</v>
      </c>
      <c r="H22" s="326">
        <v>12000</v>
      </c>
      <c r="I22" s="249">
        <v>7500</v>
      </c>
      <c r="J22" s="249">
        <f t="shared" si="2"/>
        <v>19500</v>
      </c>
      <c r="K22" s="4" t="s">
        <v>134</v>
      </c>
      <c r="M22" s="192" t="s">
        <v>245</v>
      </c>
      <c r="N22" s="64">
        <v>3000</v>
      </c>
      <c r="O22" s="64">
        <v>742854</v>
      </c>
      <c r="P22" s="192">
        <v>74</v>
      </c>
      <c r="Q22" s="321">
        <v>80</v>
      </c>
      <c r="R22" s="313">
        <v>676935</v>
      </c>
      <c r="S22" s="192">
        <v>76</v>
      </c>
      <c r="V22" s="253">
        <f t="shared" si="3"/>
        <v>1000</v>
      </c>
      <c r="W22" s="76" t="s">
        <v>246</v>
      </c>
      <c r="X22" s="4" t="s">
        <v>240</v>
      </c>
      <c r="Y22" s="307">
        <v>12000</v>
      </c>
      <c r="Z22" s="4">
        <v>1000</v>
      </c>
      <c r="AA22" s="23">
        <f t="shared" si="5"/>
        <v>819960</v>
      </c>
      <c r="AF22" s="314">
        <v>8098</v>
      </c>
      <c r="AG22" s="4">
        <v>15</v>
      </c>
    </row>
    <row r="23" spans="2:33" ht="14">
      <c r="B23" s="188">
        <v>43664</v>
      </c>
      <c r="C23" s="306" t="s">
        <v>51</v>
      </c>
      <c r="D23" s="23">
        <f t="shared" si="1"/>
        <v>17000</v>
      </c>
      <c r="E23" s="307">
        <v>7500</v>
      </c>
      <c r="F23" s="308">
        <v>18000</v>
      </c>
      <c r="G23" s="253">
        <v>7000</v>
      </c>
      <c r="H23" s="327">
        <v>12000</v>
      </c>
      <c r="I23" s="253">
        <v>7000</v>
      </c>
      <c r="J23" s="253">
        <f t="shared" si="2"/>
        <v>18200</v>
      </c>
      <c r="K23" s="4" t="s">
        <v>134</v>
      </c>
      <c r="M23" s="27"/>
      <c r="N23" s="64">
        <v>3000</v>
      </c>
      <c r="O23" s="64">
        <v>742384</v>
      </c>
      <c r="P23" s="192">
        <v>80</v>
      </c>
      <c r="Q23" s="321">
        <v>80</v>
      </c>
      <c r="R23" s="313">
        <v>668692</v>
      </c>
      <c r="S23" s="192">
        <v>74</v>
      </c>
      <c r="V23" s="253">
        <f t="shared" si="3"/>
        <v>1000</v>
      </c>
      <c r="X23" s="4" t="s">
        <v>242</v>
      </c>
      <c r="Y23" s="311">
        <f t="shared" ref="Y23:Y36" si="8">VLOOKUP(X23,$X$38:$AA$41,4,0)</f>
        <v>17000</v>
      </c>
      <c r="Z23" s="4">
        <v>1000</v>
      </c>
      <c r="AA23" s="23">
        <f t="shared" si="5"/>
        <v>820560</v>
      </c>
      <c r="AF23" s="314">
        <v>8873</v>
      </c>
      <c r="AG23" s="4">
        <v>14</v>
      </c>
    </row>
    <row r="24" spans="2:33" ht="14">
      <c r="B24" s="188">
        <v>43665</v>
      </c>
      <c r="C24" s="306" t="s">
        <v>29</v>
      </c>
      <c r="D24" s="23">
        <f t="shared" si="1"/>
        <v>17000</v>
      </c>
      <c r="E24" s="324">
        <v>9500</v>
      </c>
      <c r="F24" s="325">
        <v>0</v>
      </c>
      <c r="G24" s="249">
        <v>8500</v>
      </c>
      <c r="H24" s="326">
        <v>5000</v>
      </c>
      <c r="I24" s="249">
        <v>8500</v>
      </c>
      <c r="J24" s="249">
        <f t="shared" si="2"/>
        <v>22100</v>
      </c>
      <c r="K24" s="4" t="s">
        <v>135</v>
      </c>
      <c r="M24" s="27"/>
      <c r="N24" s="64">
        <v>3000</v>
      </c>
      <c r="O24" s="64">
        <v>720599</v>
      </c>
      <c r="P24" s="192">
        <v>75</v>
      </c>
      <c r="Q24" s="321">
        <v>80</v>
      </c>
      <c r="R24" s="313">
        <v>665930</v>
      </c>
      <c r="S24" s="192">
        <v>78</v>
      </c>
      <c r="V24" s="253">
        <f t="shared" si="3"/>
        <v>1000</v>
      </c>
      <c r="X24" s="4" t="s">
        <v>242</v>
      </c>
      <c r="Y24" s="311">
        <f t="shared" si="8"/>
        <v>17000</v>
      </c>
      <c r="Z24" s="4">
        <v>1000</v>
      </c>
      <c r="AA24" s="23">
        <f t="shared" si="5"/>
        <v>817860</v>
      </c>
      <c r="AF24" s="314">
        <v>3913</v>
      </c>
      <c r="AG24" s="4">
        <v>13</v>
      </c>
    </row>
    <row r="25" spans="2:33" ht="14">
      <c r="B25" s="188">
        <v>43666</v>
      </c>
      <c r="C25" s="306" t="s">
        <v>33</v>
      </c>
      <c r="D25" s="23">
        <f t="shared" si="1"/>
        <v>12000</v>
      </c>
      <c r="E25" s="307">
        <v>3500</v>
      </c>
      <c r="F25" s="308">
        <v>10000</v>
      </c>
      <c r="G25" s="253">
        <v>3500</v>
      </c>
      <c r="H25" s="308">
        <v>10000</v>
      </c>
      <c r="I25" s="253">
        <v>3500</v>
      </c>
      <c r="J25" s="253">
        <f t="shared" si="2"/>
        <v>9100</v>
      </c>
      <c r="M25" s="27"/>
      <c r="N25" s="4">
        <v>0</v>
      </c>
      <c r="O25" s="64">
        <v>722864</v>
      </c>
      <c r="P25" s="192">
        <v>75</v>
      </c>
      <c r="Q25" s="321">
        <v>80</v>
      </c>
      <c r="R25" s="310"/>
      <c r="S25" s="27"/>
      <c r="V25" s="253">
        <f t="shared" si="3"/>
        <v>1000</v>
      </c>
      <c r="X25" s="4" t="s">
        <v>240</v>
      </c>
      <c r="Y25" s="311">
        <f t="shared" si="8"/>
        <v>12000</v>
      </c>
      <c r="Z25" s="4">
        <v>1000</v>
      </c>
      <c r="AA25" s="23">
        <f t="shared" si="5"/>
        <v>821160</v>
      </c>
      <c r="AF25" s="314">
        <v>2226</v>
      </c>
      <c r="AG25" s="4">
        <v>12</v>
      </c>
    </row>
    <row r="26" spans="2:33" ht="14">
      <c r="B26" s="190">
        <v>43667</v>
      </c>
      <c r="C26" s="315" t="s">
        <v>37</v>
      </c>
      <c r="D26" s="47">
        <f t="shared" si="1"/>
        <v>0</v>
      </c>
      <c r="E26" s="316">
        <v>3800</v>
      </c>
      <c r="F26" s="317">
        <v>0</v>
      </c>
      <c r="G26" s="257">
        <v>3800</v>
      </c>
      <c r="H26" s="317">
        <v>0</v>
      </c>
      <c r="I26" s="257">
        <v>3800</v>
      </c>
      <c r="J26" s="257">
        <f t="shared" si="2"/>
        <v>9880</v>
      </c>
      <c r="K26" s="34"/>
      <c r="L26" s="34"/>
      <c r="M26" s="87"/>
      <c r="N26" s="200">
        <v>0</v>
      </c>
      <c r="O26" s="97">
        <v>714466</v>
      </c>
      <c r="P26" s="318">
        <v>74</v>
      </c>
      <c r="Q26" s="319">
        <v>75</v>
      </c>
      <c r="R26" s="328"/>
      <c r="S26" s="87"/>
      <c r="T26" s="34"/>
      <c r="U26" s="34"/>
      <c r="V26" s="257">
        <f t="shared" si="3"/>
        <v>0</v>
      </c>
      <c r="X26" s="4" t="s">
        <v>243</v>
      </c>
      <c r="Y26" s="311">
        <f t="shared" si="8"/>
        <v>0</v>
      </c>
      <c r="AA26" s="23">
        <f t="shared" si="5"/>
        <v>812800</v>
      </c>
      <c r="AF26" s="314">
        <v>0</v>
      </c>
      <c r="AG26" s="4">
        <v>11</v>
      </c>
    </row>
    <row r="27" spans="2:33" ht="14">
      <c r="B27" s="188">
        <v>43668</v>
      </c>
      <c r="C27" s="306" t="s">
        <v>41</v>
      </c>
      <c r="D27" s="23">
        <f t="shared" si="1"/>
        <v>12000</v>
      </c>
      <c r="E27" s="307">
        <v>5500</v>
      </c>
      <c r="F27" s="308">
        <v>14000</v>
      </c>
      <c r="G27" s="253">
        <v>5000</v>
      </c>
      <c r="H27" s="308">
        <v>14000</v>
      </c>
      <c r="I27" s="253">
        <v>5000</v>
      </c>
      <c r="J27" s="253">
        <f t="shared" si="2"/>
        <v>13000</v>
      </c>
      <c r="L27" s="4" t="s">
        <v>247</v>
      </c>
      <c r="M27" s="27"/>
      <c r="N27" s="64">
        <v>3000</v>
      </c>
      <c r="O27" s="64">
        <v>714416</v>
      </c>
      <c r="P27" s="192">
        <v>73</v>
      </c>
      <c r="Q27" s="309">
        <v>75</v>
      </c>
      <c r="R27" s="310"/>
      <c r="S27" s="27"/>
      <c r="V27" s="253">
        <f t="shared" si="3"/>
        <v>1000</v>
      </c>
      <c r="X27" s="4" t="s">
        <v>240</v>
      </c>
      <c r="Y27" s="311">
        <f t="shared" si="8"/>
        <v>12000</v>
      </c>
      <c r="Z27" s="4">
        <v>1000</v>
      </c>
      <c r="AA27" s="23">
        <f t="shared" si="5"/>
        <v>812800</v>
      </c>
      <c r="AF27" s="314">
        <v>41</v>
      </c>
      <c r="AG27" s="4">
        <v>10</v>
      </c>
    </row>
    <row r="28" spans="2:33" ht="14">
      <c r="B28" s="188">
        <v>43669</v>
      </c>
      <c r="C28" s="306" t="s">
        <v>46</v>
      </c>
      <c r="D28" s="23">
        <f t="shared" si="1"/>
        <v>17000</v>
      </c>
      <c r="E28" s="307">
        <v>5500</v>
      </c>
      <c r="F28" s="308">
        <v>18000</v>
      </c>
      <c r="G28" s="253">
        <v>5300</v>
      </c>
      <c r="H28" s="308">
        <v>18000</v>
      </c>
      <c r="I28" s="253">
        <v>5300</v>
      </c>
      <c r="J28" s="253">
        <f t="shared" si="2"/>
        <v>13780</v>
      </c>
      <c r="K28" s="4" t="s">
        <v>241</v>
      </c>
      <c r="L28" s="4" t="s">
        <v>247</v>
      </c>
      <c r="M28" s="27"/>
      <c r="N28" s="64">
        <v>3000</v>
      </c>
      <c r="O28" s="64">
        <v>717703</v>
      </c>
      <c r="P28" s="192">
        <v>72</v>
      </c>
      <c r="Q28" s="309">
        <v>75</v>
      </c>
      <c r="R28" s="313">
        <v>636263</v>
      </c>
      <c r="S28" s="192">
        <v>72</v>
      </c>
      <c r="V28" s="253">
        <f t="shared" si="3"/>
        <v>1000</v>
      </c>
      <c r="X28" s="4" t="s">
        <v>242</v>
      </c>
      <c r="Y28" s="311">
        <f t="shared" si="8"/>
        <v>17000</v>
      </c>
      <c r="Z28" s="4">
        <v>1000</v>
      </c>
      <c r="AA28" s="23">
        <f t="shared" si="5"/>
        <v>817140</v>
      </c>
      <c r="AF28" s="314">
        <v>1030</v>
      </c>
      <c r="AG28" s="4">
        <v>9</v>
      </c>
    </row>
    <row r="29" spans="2:33" ht="14">
      <c r="B29" s="188">
        <v>43670</v>
      </c>
      <c r="C29" s="306" t="s">
        <v>49</v>
      </c>
      <c r="D29" s="23">
        <f t="shared" si="1"/>
        <v>12000</v>
      </c>
      <c r="E29" s="307">
        <v>5000</v>
      </c>
      <c r="F29" s="308">
        <v>14000</v>
      </c>
      <c r="G29" s="253">
        <v>4500</v>
      </c>
      <c r="H29" s="308">
        <v>14000</v>
      </c>
      <c r="I29" s="253">
        <v>4500</v>
      </c>
      <c r="J29" s="253">
        <f t="shared" si="2"/>
        <v>11700</v>
      </c>
      <c r="L29" s="4" t="s">
        <v>247</v>
      </c>
      <c r="M29" s="27"/>
      <c r="N29" s="64">
        <v>3000</v>
      </c>
      <c r="O29" s="64">
        <v>718758</v>
      </c>
      <c r="P29" s="192">
        <v>72</v>
      </c>
      <c r="Q29" s="309">
        <v>75</v>
      </c>
      <c r="R29" s="313">
        <v>634982</v>
      </c>
      <c r="S29" s="192">
        <v>71</v>
      </c>
      <c r="V29" s="253">
        <f t="shared" si="3"/>
        <v>1000</v>
      </c>
      <c r="X29" s="4" t="s">
        <v>240</v>
      </c>
      <c r="Y29" s="311">
        <f t="shared" si="8"/>
        <v>12000</v>
      </c>
      <c r="Z29" s="4">
        <v>1000</v>
      </c>
      <c r="AA29" s="23">
        <f t="shared" si="5"/>
        <v>818240</v>
      </c>
      <c r="AF29" s="314">
        <v>1697</v>
      </c>
      <c r="AG29" s="4">
        <v>8</v>
      </c>
    </row>
    <row r="30" spans="2:33" ht="14">
      <c r="B30" s="188">
        <v>43671</v>
      </c>
      <c r="C30" s="306" t="s">
        <v>51</v>
      </c>
      <c r="D30" s="23">
        <f t="shared" si="1"/>
        <v>17000</v>
      </c>
      <c r="E30" s="307">
        <v>4500</v>
      </c>
      <c r="F30" s="308">
        <v>18000</v>
      </c>
      <c r="G30" s="253">
        <v>4500</v>
      </c>
      <c r="H30" s="308">
        <v>18000</v>
      </c>
      <c r="I30" s="253">
        <v>4500</v>
      </c>
      <c r="J30" s="253">
        <f t="shared" si="2"/>
        <v>11700</v>
      </c>
      <c r="L30" s="4" t="s">
        <v>247</v>
      </c>
      <c r="M30" s="27"/>
      <c r="N30" s="64">
        <v>3000</v>
      </c>
      <c r="O30" s="64">
        <v>723813</v>
      </c>
      <c r="P30" s="192">
        <v>72</v>
      </c>
      <c r="Q30" s="309">
        <v>75</v>
      </c>
      <c r="R30" s="310">
        <v>633528</v>
      </c>
      <c r="S30" s="192">
        <v>71</v>
      </c>
      <c r="V30" s="253">
        <f t="shared" si="3"/>
        <v>1000</v>
      </c>
      <c r="X30" s="4" t="s">
        <v>242</v>
      </c>
      <c r="Y30" s="311">
        <f t="shared" si="8"/>
        <v>17000</v>
      </c>
      <c r="Z30" s="4">
        <v>1000</v>
      </c>
      <c r="AA30" s="23">
        <f t="shared" si="5"/>
        <v>824340</v>
      </c>
      <c r="AF30" s="314">
        <v>1376</v>
      </c>
      <c r="AG30" s="4">
        <v>7</v>
      </c>
    </row>
    <row r="31" spans="2:33" ht="14">
      <c r="B31" s="188">
        <v>43672</v>
      </c>
      <c r="C31" s="306" t="s">
        <v>29</v>
      </c>
      <c r="D31" s="23">
        <f t="shared" si="1"/>
        <v>17000</v>
      </c>
      <c r="E31" s="307">
        <v>3500</v>
      </c>
      <c r="F31" s="308">
        <v>18000</v>
      </c>
      <c r="G31" s="253">
        <v>3500</v>
      </c>
      <c r="H31" s="308">
        <v>18000</v>
      </c>
      <c r="I31" s="253">
        <v>3500</v>
      </c>
      <c r="J31" s="253">
        <f t="shared" si="2"/>
        <v>9100</v>
      </c>
      <c r="M31" s="27"/>
      <c r="N31" s="64">
        <v>3000</v>
      </c>
      <c r="O31" s="64">
        <v>731078</v>
      </c>
      <c r="P31" s="192">
        <v>73</v>
      </c>
      <c r="Q31" s="309">
        <v>75</v>
      </c>
      <c r="R31" s="310"/>
      <c r="S31" s="27"/>
      <c r="V31" s="253">
        <f t="shared" si="3"/>
        <v>1000</v>
      </c>
      <c r="X31" s="4" t="s">
        <v>242</v>
      </c>
      <c r="Y31" s="311">
        <f t="shared" si="8"/>
        <v>17000</v>
      </c>
      <c r="Z31" s="4">
        <v>1000</v>
      </c>
      <c r="AA31" s="23">
        <f t="shared" si="5"/>
        <v>832640</v>
      </c>
      <c r="AF31" s="314">
        <v>0</v>
      </c>
      <c r="AG31" s="4">
        <v>6</v>
      </c>
    </row>
    <row r="32" spans="2:33" ht="14">
      <c r="B32" s="188">
        <v>43673</v>
      </c>
      <c r="C32" s="306" t="s">
        <v>33</v>
      </c>
      <c r="D32" s="23">
        <f t="shared" si="1"/>
        <v>12000</v>
      </c>
      <c r="E32" s="307">
        <v>3500</v>
      </c>
      <c r="F32" s="308">
        <v>14000</v>
      </c>
      <c r="G32" s="253">
        <v>3500</v>
      </c>
      <c r="H32" s="308">
        <v>14000</v>
      </c>
      <c r="I32" s="253">
        <v>3500</v>
      </c>
      <c r="J32" s="253">
        <f t="shared" si="2"/>
        <v>9100</v>
      </c>
      <c r="M32" s="27"/>
      <c r="N32" s="4">
        <v>0</v>
      </c>
      <c r="O32" s="64">
        <v>737343</v>
      </c>
      <c r="P32" s="192">
        <v>73</v>
      </c>
      <c r="Q32" s="309">
        <v>75</v>
      </c>
      <c r="R32" s="310"/>
      <c r="S32" s="27"/>
      <c r="V32" s="253">
        <f t="shared" si="3"/>
        <v>1000</v>
      </c>
      <c r="X32" s="4" t="s">
        <v>240</v>
      </c>
      <c r="Y32" s="311">
        <f t="shared" si="8"/>
        <v>12000</v>
      </c>
      <c r="Z32" s="4">
        <v>1000</v>
      </c>
      <c r="AA32" s="23">
        <f t="shared" si="5"/>
        <v>835940</v>
      </c>
      <c r="AF32" s="314">
        <v>1000</v>
      </c>
      <c r="AG32" s="4">
        <v>5</v>
      </c>
    </row>
    <row r="33" spans="2:33" ht="14">
      <c r="B33" s="190">
        <v>43674</v>
      </c>
      <c r="C33" s="315" t="s">
        <v>37</v>
      </c>
      <c r="D33" s="47">
        <f t="shared" si="1"/>
        <v>0</v>
      </c>
      <c r="E33" s="316">
        <v>3800</v>
      </c>
      <c r="F33" s="317">
        <v>0</v>
      </c>
      <c r="G33" s="257">
        <v>3800</v>
      </c>
      <c r="H33" s="317">
        <v>0</v>
      </c>
      <c r="I33" s="257">
        <v>3800</v>
      </c>
      <c r="J33" s="257">
        <f t="shared" si="2"/>
        <v>9880</v>
      </c>
      <c r="K33" s="34"/>
      <c r="L33" s="34"/>
      <c r="M33" s="87"/>
      <c r="N33" s="200">
        <v>0</v>
      </c>
      <c r="O33" s="97">
        <v>728945</v>
      </c>
      <c r="P33" s="318">
        <v>72</v>
      </c>
      <c r="Q33" s="319">
        <v>75</v>
      </c>
      <c r="R33" s="328"/>
      <c r="S33" s="87"/>
      <c r="T33" s="34"/>
      <c r="U33" s="34"/>
      <c r="V33" s="257">
        <f t="shared" si="3"/>
        <v>0</v>
      </c>
      <c r="X33" s="4" t="s">
        <v>243</v>
      </c>
      <c r="Y33" s="311">
        <f t="shared" si="8"/>
        <v>0</v>
      </c>
      <c r="AA33" s="23">
        <f t="shared" si="5"/>
        <v>827580</v>
      </c>
      <c r="AF33" s="314">
        <v>0</v>
      </c>
      <c r="AG33" s="4">
        <v>4</v>
      </c>
    </row>
    <row r="34" spans="2:33" ht="14">
      <c r="B34" s="188">
        <v>43675</v>
      </c>
      <c r="C34" s="306" t="s">
        <v>41</v>
      </c>
      <c r="D34" s="23">
        <f t="shared" si="1"/>
        <v>12000</v>
      </c>
      <c r="E34" s="324">
        <v>5800</v>
      </c>
      <c r="F34" s="325">
        <v>12000</v>
      </c>
      <c r="G34" s="249">
        <f>5000+2500</f>
        <v>7500</v>
      </c>
      <c r="H34" s="326">
        <v>10000</v>
      </c>
      <c r="I34" s="249">
        <f>5000+2500</f>
        <v>7500</v>
      </c>
      <c r="J34" s="249">
        <f t="shared" si="2"/>
        <v>19500</v>
      </c>
      <c r="L34" s="4" t="s">
        <v>248</v>
      </c>
      <c r="M34" s="27"/>
      <c r="N34" s="64">
        <v>3000</v>
      </c>
      <c r="O34" s="64">
        <v>721370</v>
      </c>
      <c r="P34" s="192">
        <v>69</v>
      </c>
      <c r="Q34" s="309">
        <v>75</v>
      </c>
      <c r="R34" s="24"/>
      <c r="S34" s="27"/>
      <c r="U34" s="4"/>
      <c r="V34" s="253">
        <f t="shared" si="3"/>
        <v>1000</v>
      </c>
      <c r="X34" s="4" t="s">
        <v>240</v>
      </c>
      <c r="Y34" s="311">
        <f t="shared" si="8"/>
        <v>12000</v>
      </c>
      <c r="Z34" s="4">
        <v>1000</v>
      </c>
      <c r="AA34" s="23">
        <f t="shared" si="5"/>
        <v>822080</v>
      </c>
      <c r="AF34" s="314">
        <v>0</v>
      </c>
      <c r="AG34" s="4">
        <v>3</v>
      </c>
    </row>
    <row r="35" spans="2:33" ht="14">
      <c r="B35" s="188">
        <v>43676</v>
      </c>
      <c r="C35" s="306" t="s">
        <v>46</v>
      </c>
      <c r="D35" s="23">
        <f t="shared" si="1"/>
        <v>17000</v>
      </c>
      <c r="E35" s="307">
        <v>5800</v>
      </c>
      <c r="F35" s="308">
        <v>18000</v>
      </c>
      <c r="G35" s="253">
        <f>5300+200+1500</f>
        <v>7000</v>
      </c>
      <c r="H35" s="327">
        <v>12000</v>
      </c>
      <c r="I35" s="253">
        <f>5300+200+1500</f>
        <v>7000</v>
      </c>
      <c r="J35" s="253">
        <f t="shared" si="2"/>
        <v>18200</v>
      </c>
      <c r="K35" t="s">
        <v>241</v>
      </c>
      <c r="L35" t="s">
        <v>248</v>
      </c>
      <c r="M35" s="27" t="s">
        <v>197</v>
      </c>
      <c r="N35" s="64">
        <v>3000</v>
      </c>
      <c r="O35" s="64">
        <v>720900</v>
      </c>
      <c r="P35" s="192">
        <v>67</v>
      </c>
      <c r="Q35" s="309">
        <v>75</v>
      </c>
      <c r="R35" s="24"/>
      <c r="S35" s="27"/>
      <c r="V35" s="253">
        <f t="shared" si="3"/>
        <v>1000</v>
      </c>
      <c r="W35" s="76" t="s">
        <v>246</v>
      </c>
      <c r="X35" s="4" t="s">
        <v>242</v>
      </c>
      <c r="Y35" s="311">
        <f t="shared" si="8"/>
        <v>17000</v>
      </c>
      <c r="Z35" s="4">
        <v>1000</v>
      </c>
      <c r="AA35" s="23">
        <f t="shared" si="5"/>
        <v>822680</v>
      </c>
      <c r="AF35" s="314">
        <v>0</v>
      </c>
      <c r="AG35" s="4">
        <v>2</v>
      </c>
    </row>
    <row r="36" spans="2:33" ht="14">
      <c r="B36" s="190">
        <v>43677</v>
      </c>
      <c r="C36" s="315" t="s">
        <v>49</v>
      </c>
      <c r="D36" s="47">
        <f t="shared" si="1"/>
        <v>17000</v>
      </c>
      <c r="E36" s="316">
        <v>4000</v>
      </c>
      <c r="F36" s="317">
        <v>18000</v>
      </c>
      <c r="G36" s="257">
        <f>4500+200</f>
        <v>4700</v>
      </c>
      <c r="H36" s="317">
        <v>18000</v>
      </c>
      <c r="I36" s="257">
        <f>4500+200</f>
        <v>4700</v>
      </c>
      <c r="J36" s="257">
        <f t="shared" si="2"/>
        <v>12220</v>
      </c>
      <c r="K36" s="34"/>
      <c r="L36" s="34" t="s">
        <v>248</v>
      </c>
      <c r="M36" s="87"/>
      <c r="N36" s="97">
        <v>3000</v>
      </c>
      <c r="O36" s="97">
        <v>725513</v>
      </c>
      <c r="P36" s="318">
        <v>68</v>
      </c>
      <c r="Q36" s="319">
        <v>75</v>
      </c>
      <c r="R36" s="33"/>
      <c r="S36" s="87"/>
      <c r="T36" s="34"/>
      <c r="U36" s="34"/>
      <c r="V36" s="257">
        <f t="shared" si="3"/>
        <v>1000</v>
      </c>
      <c r="X36" s="4" t="s">
        <v>242</v>
      </c>
      <c r="Y36" s="311">
        <f t="shared" si="8"/>
        <v>17000</v>
      </c>
      <c r="Z36" s="4">
        <v>1000</v>
      </c>
      <c r="AA36" s="23">
        <f t="shared" si="5"/>
        <v>828340</v>
      </c>
      <c r="AF36" s="314">
        <v>0</v>
      </c>
      <c r="AG36" s="4">
        <v>1</v>
      </c>
    </row>
    <row r="37" spans="2:33" ht="13">
      <c r="C37" s="4" t="s">
        <v>249</v>
      </c>
      <c r="D37" s="23">
        <f t="shared" ref="D37:J37" si="9">AVERAGE(D6:D36)</f>
        <v>12451.612903225807</v>
      </c>
      <c r="E37" s="23">
        <f t="shared" si="9"/>
        <v>5000</v>
      </c>
      <c r="F37" s="23">
        <f t="shared" si="9"/>
        <v>12870.967741935483</v>
      </c>
      <c r="G37" s="23">
        <f t="shared" si="9"/>
        <v>4848.3870967741932</v>
      </c>
      <c r="H37" s="23">
        <f t="shared" si="9"/>
        <v>12548.387096774193</v>
      </c>
      <c r="I37" s="23">
        <f t="shared" si="9"/>
        <v>4848.3870967741932</v>
      </c>
      <c r="J37" s="23">
        <f t="shared" si="9"/>
        <v>12605.806451612903</v>
      </c>
      <c r="N37" s="23">
        <f>AVERAGE(N6:N36)</f>
        <v>2225.8064516129034</v>
      </c>
      <c r="V37" s="23">
        <f>SUM(V6:V35)</f>
        <v>26000</v>
      </c>
    </row>
    <row r="38" spans="2:33" ht="13">
      <c r="C38" s="4" t="s">
        <v>67</v>
      </c>
      <c r="D38" s="64">
        <f>SUM(D6:D36)</f>
        <v>386000</v>
      </c>
      <c r="E38" s="4"/>
      <c r="F38" s="64">
        <f>SUM(F6:F36)</f>
        <v>399000</v>
      </c>
      <c r="G38" s="64"/>
      <c r="H38" s="64">
        <f>SUM(H6:H36)</f>
        <v>389000</v>
      </c>
      <c r="I38" s="199"/>
      <c r="X38" s="4" t="s">
        <v>243</v>
      </c>
      <c r="Y38">
        <f t="shared" ref="Y38:Y40" si="10">COUNTIF($X$6:$X$35,X38)</f>
        <v>4</v>
      </c>
      <c r="Z38" s="4">
        <v>0</v>
      </c>
      <c r="AA38">
        <f>Z38*$AA$41</f>
        <v>0</v>
      </c>
      <c r="AC38" s="4"/>
      <c r="AD38" s="4"/>
    </row>
    <row r="39" spans="2:33" ht="13">
      <c r="X39" s="4" t="s">
        <v>240</v>
      </c>
      <c r="Y39">
        <f t="shared" si="10"/>
        <v>13</v>
      </c>
      <c r="Z39" s="4">
        <v>0.75</v>
      </c>
      <c r="AA39" s="4">
        <v>12000</v>
      </c>
    </row>
    <row r="40" spans="2:33" ht="13">
      <c r="X40" s="4" t="s">
        <v>242</v>
      </c>
      <c r="Y40">
        <f t="shared" si="10"/>
        <v>13</v>
      </c>
      <c r="Z40" s="4">
        <v>1</v>
      </c>
      <c r="AA40" s="4">
        <v>17000</v>
      </c>
    </row>
    <row r="41" spans="2:33" ht="13">
      <c r="X41" s="4" t="s">
        <v>250</v>
      </c>
      <c r="Y41">
        <f>SUM(Y38:Y40)</f>
        <v>30</v>
      </c>
      <c r="Z41" s="4">
        <f>SUMPRODUCT(Y38:Y40,Z38:Z40)</f>
        <v>22.75</v>
      </c>
      <c r="AA41">
        <f>Y43/Z41</f>
        <v>16770.844444444443</v>
      </c>
    </row>
    <row r="43" spans="2:33" ht="13">
      <c r="X43" s="4" t="s">
        <v>251</v>
      </c>
      <c r="Y43" s="125">
        <f>Y44+Y46</f>
        <v>381536.7111111111</v>
      </c>
    </row>
    <row r="44" spans="2:33" ht="13">
      <c r="X44" s="4" t="s">
        <v>252</v>
      </c>
      <c r="Y44" s="199">
        <f>Y45/Z44</f>
        <v>355911.11111111112</v>
      </c>
      <c r="Z44" s="65">
        <v>0.9</v>
      </c>
    </row>
    <row r="45" spans="2:33" ht="13">
      <c r="X45" s="4" t="s">
        <v>196</v>
      </c>
      <c r="Y45">
        <f>SUM(G6:G35)*Z45</f>
        <v>320320</v>
      </c>
      <c r="Z45" s="4">
        <v>2.2000000000000002</v>
      </c>
    </row>
    <row r="46" spans="2:33" ht="13">
      <c r="X46" s="4" t="s">
        <v>253</v>
      </c>
      <c r="Y46">
        <f>Y45*Z46</f>
        <v>25625.600000000002</v>
      </c>
      <c r="Z46" s="65">
        <v>0.08</v>
      </c>
    </row>
  </sheetData>
  <mergeCells count="11">
    <mergeCell ref="N3:P3"/>
    <mergeCell ref="V3:V5"/>
    <mergeCell ref="D4:E4"/>
    <mergeCell ref="F4:G4"/>
    <mergeCell ref="H4:I4"/>
    <mergeCell ref="N4:P4"/>
    <mergeCell ref="K3:M3"/>
    <mergeCell ref="K4:M4"/>
    <mergeCell ref="B3:C3"/>
    <mergeCell ref="B5:C5"/>
    <mergeCell ref="D3:G3"/>
  </mergeCells>
  <phoneticPr fontId="6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1:AK117"/>
  <sheetViews>
    <sheetView showGridLines="0" workbookViewId="0"/>
  </sheetViews>
  <sheetFormatPr baseColWidth="10" defaultColWidth="12.6640625" defaultRowHeight="15.75" customHeight="1"/>
  <cols>
    <col min="2" max="2" width="8.83203125" customWidth="1"/>
    <col min="3" max="3" width="4.6640625" customWidth="1"/>
    <col min="4" max="4" width="13.1640625" customWidth="1"/>
    <col min="5" max="6" width="10.6640625" customWidth="1"/>
    <col min="7" max="11" width="12.5" customWidth="1"/>
    <col min="12" max="14" width="10.83203125" customWidth="1"/>
    <col min="17" max="17" width="8.83203125" customWidth="1"/>
    <col min="18" max="18" width="4.6640625" customWidth="1"/>
    <col min="19" max="19" width="11" hidden="1" customWidth="1"/>
    <col min="20" max="21" width="12.1640625" hidden="1" customWidth="1"/>
    <col min="22" max="22" width="12.6640625" hidden="1" customWidth="1"/>
    <col min="23" max="23" width="12.1640625" hidden="1" customWidth="1"/>
    <col min="24" max="24" width="12.6640625" customWidth="1"/>
    <col min="25" max="25" width="13.33203125" customWidth="1"/>
    <col min="26" max="26" width="11.83203125" customWidth="1"/>
    <col min="27" max="27" width="15.5" customWidth="1"/>
    <col min="28" max="28" width="12.1640625" customWidth="1"/>
    <col min="29" max="29" width="23.1640625" customWidth="1"/>
    <col min="34" max="34" width="9.6640625" customWidth="1"/>
    <col min="36" max="36" width="9.5" customWidth="1"/>
  </cols>
  <sheetData>
    <row r="1" spans="2:37">
      <c r="F1" s="4" t="s">
        <v>228</v>
      </c>
      <c r="M1" s="329"/>
      <c r="U1" s="4" t="s">
        <v>228</v>
      </c>
    </row>
    <row r="2" spans="2:37" ht="15.75" customHeight="1">
      <c r="B2" s="220" t="s">
        <v>254</v>
      </c>
      <c r="D2" s="222" t="s">
        <v>165</v>
      </c>
      <c r="E2" s="222">
        <v>5180</v>
      </c>
      <c r="F2" s="222">
        <v>2.6</v>
      </c>
      <c r="G2" s="23"/>
      <c r="H2" s="23"/>
      <c r="I2" s="23"/>
      <c r="Q2" s="220" t="s">
        <v>255</v>
      </c>
      <c r="S2" s="222" t="s">
        <v>165</v>
      </c>
      <c r="T2" s="222">
        <v>5740</v>
      </c>
      <c r="U2" s="222">
        <v>2.6</v>
      </c>
      <c r="V2" s="23"/>
      <c r="W2" s="23"/>
      <c r="X2" s="222" t="s">
        <v>165</v>
      </c>
      <c r="Y2" s="222">
        <v>5740</v>
      </c>
      <c r="Z2" s="23"/>
      <c r="AA2" s="23"/>
    </row>
    <row r="3" spans="2:37" ht="15.75" customHeight="1">
      <c r="B3" s="844"/>
      <c r="C3" s="822"/>
      <c r="D3" s="844" t="s">
        <v>11</v>
      </c>
      <c r="E3" s="822"/>
      <c r="F3" s="330"/>
      <c r="G3" s="331" t="s">
        <v>256</v>
      </c>
      <c r="H3" s="332"/>
      <c r="I3" s="845" t="s">
        <v>129</v>
      </c>
      <c r="J3" s="820"/>
      <c r="K3" s="822"/>
      <c r="L3" s="836" t="s">
        <v>230</v>
      </c>
      <c r="M3" s="820"/>
      <c r="N3" s="822"/>
      <c r="O3" s="333" t="s">
        <v>182</v>
      </c>
      <c r="Q3" s="846"/>
      <c r="R3" s="842"/>
      <c r="S3" s="846" t="s">
        <v>11</v>
      </c>
      <c r="T3" s="842"/>
      <c r="U3" s="334"/>
      <c r="V3" s="335" t="s">
        <v>257</v>
      </c>
      <c r="W3" s="336"/>
      <c r="X3" s="337" t="s">
        <v>258</v>
      </c>
      <c r="Y3" s="338"/>
      <c r="Z3" s="334"/>
      <c r="AA3" s="847" t="s">
        <v>129</v>
      </c>
      <c r="AB3" s="841"/>
      <c r="AC3" s="842"/>
      <c r="AD3" s="840"/>
      <c r="AE3" s="841"/>
      <c r="AF3" s="842"/>
      <c r="AG3" s="333" t="s">
        <v>182</v>
      </c>
      <c r="AH3" s="843" t="s">
        <v>258</v>
      </c>
      <c r="AI3" s="820"/>
      <c r="AJ3" s="822"/>
      <c r="AK3" s="333" t="s">
        <v>182</v>
      </c>
    </row>
    <row r="4" spans="2:37">
      <c r="B4" s="789" t="s">
        <v>10</v>
      </c>
      <c r="C4" s="796"/>
      <c r="D4" s="296" t="s">
        <v>63</v>
      </c>
      <c r="E4" s="297" t="s">
        <v>18</v>
      </c>
      <c r="F4" s="339" t="s">
        <v>259</v>
      </c>
      <c r="G4" s="296" t="s">
        <v>63</v>
      </c>
      <c r="H4" s="297" t="s">
        <v>18</v>
      </c>
      <c r="I4" s="300" t="s">
        <v>130</v>
      </c>
      <c r="J4" s="299" t="s">
        <v>186</v>
      </c>
      <c r="K4" s="297" t="s">
        <v>132</v>
      </c>
      <c r="L4" s="300" t="s">
        <v>177</v>
      </c>
      <c r="M4" s="301" t="s">
        <v>235</v>
      </c>
      <c r="N4" s="302" t="s">
        <v>236</v>
      </c>
      <c r="O4" s="340" t="s">
        <v>237</v>
      </c>
      <c r="Q4" s="789" t="s">
        <v>10</v>
      </c>
      <c r="R4" s="796"/>
      <c r="S4" s="296" t="s">
        <v>63</v>
      </c>
      <c r="T4" s="297" t="s">
        <v>18</v>
      </c>
      <c r="U4" s="339" t="s">
        <v>259</v>
      </c>
      <c r="V4" s="296" t="s">
        <v>63</v>
      </c>
      <c r="W4" s="297" t="s">
        <v>18</v>
      </c>
      <c r="X4" s="296" t="s">
        <v>63</v>
      </c>
      <c r="Y4" s="297" t="s">
        <v>18</v>
      </c>
      <c r="Z4" s="298" t="s">
        <v>260</v>
      </c>
      <c r="AA4" s="300" t="s">
        <v>130</v>
      </c>
      <c r="AB4" s="299" t="s">
        <v>186</v>
      </c>
      <c r="AC4" s="297" t="s">
        <v>132</v>
      </c>
      <c r="AD4" s="300" t="s">
        <v>177</v>
      </c>
      <c r="AE4" s="301" t="s">
        <v>235</v>
      </c>
      <c r="AF4" s="302" t="s">
        <v>236</v>
      </c>
      <c r="AG4" s="340" t="s">
        <v>237</v>
      </c>
      <c r="AH4" s="300" t="s">
        <v>177</v>
      </c>
      <c r="AI4" s="301" t="s">
        <v>235</v>
      </c>
      <c r="AJ4" s="302" t="s">
        <v>236</v>
      </c>
      <c r="AK4" s="340" t="s">
        <v>237</v>
      </c>
    </row>
    <row r="5" spans="2:37">
      <c r="B5" s="188">
        <v>43678</v>
      </c>
      <c r="C5" s="306" t="s">
        <v>51</v>
      </c>
      <c r="D5" s="313">
        <v>18000</v>
      </c>
      <c r="E5" s="272">
        <f>4500+2300</f>
        <v>6800</v>
      </c>
      <c r="F5" s="272">
        <f t="shared" ref="F5:F35" si="0">E5*$F$2</f>
        <v>17680</v>
      </c>
      <c r="G5" s="313">
        <v>18000</v>
      </c>
      <c r="H5" s="341">
        <f>4500+2300</f>
        <v>6800</v>
      </c>
      <c r="I5" s="24"/>
      <c r="J5" s="4" t="s">
        <v>261</v>
      </c>
      <c r="K5" s="27"/>
      <c r="L5" s="313">
        <v>3000</v>
      </c>
      <c r="M5" s="64">
        <v>725817</v>
      </c>
      <c r="N5" s="254">
        <v>67</v>
      </c>
      <c r="O5" s="342">
        <v>70</v>
      </c>
      <c r="Q5" s="190">
        <v>43709</v>
      </c>
      <c r="R5" s="315" t="s">
        <v>37</v>
      </c>
      <c r="S5" s="71">
        <v>0</v>
      </c>
      <c r="T5" s="257">
        <v>4000</v>
      </c>
      <c r="U5" s="257">
        <f t="shared" ref="U5:U34" si="1">T5*$U$2</f>
        <v>10400</v>
      </c>
      <c r="V5" s="343">
        <v>0</v>
      </c>
      <c r="W5" s="344">
        <v>4000</v>
      </c>
      <c r="X5" s="343">
        <v>0</v>
      </c>
      <c r="Y5" s="344">
        <v>4000</v>
      </c>
      <c r="Z5" s="344">
        <v>3773</v>
      </c>
      <c r="AA5" s="33"/>
      <c r="AB5" s="34"/>
      <c r="AC5" s="318"/>
      <c r="AD5" s="320">
        <v>0</v>
      </c>
      <c r="AE5" s="97">
        <v>772079</v>
      </c>
      <c r="AF5" s="258">
        <v>68</v>
      </c>
      <c r="AG5" s="345">
        <v>70</v>
      </c>
      <c r="AH5" s="320">
        <v>0</v>
      </c>
      <c r="AI5" s="97">
        <v>634182</v>
      </c>
      <c r="AJ5" s="258">
        <v>58</v>
      </c>
      <c r="AK5" s="345">
        <v>70</v>
      </c>
    </row>
    <row r="6" spans="2:37">
      <c r="B6" s="188">
        <v>43679</v>
      </c>
      <c r="C6" s="306" t="s">
        <v>29</v>
      </c>
      <c r="D6" s="313">
        <v>15000</v>
      </c>
      <c r="E6" s="253">
        <v>4300</v>
      </c>
      <c r="F6" s="253">
        <f t="shared" si="0"/>
        <v>11180</v>
      </c>
      <c r="G6" s="313">
        <v>15000</v>
      </c>
      <c r="H6" s="341">
        <v>4300</v>
      </c>
      <c r="I6" s="24"/>
      <c r="K6" s="27"/>
      <c r="L6" s="313">
        <v>3000</v>
      </c>
      <c r="M6" s="64">
        <v>728314</v>
      </c>
      <c r="N6" s="254">
        <v>68</v>
      </c>
      <c r="O6" s="342">
        <v>70</v>
      </c>
      <c r="P6" s="64"/>
      <c r="Q6" s="188">
        <v>43710</v>
      </c>
      <c r="R6" s="306" t="s">
        <v>41</v>
      </c>
      <c r="S6" s="313">
        <v>18000</v>
      </c>
      <c r="T6" s="253">
        <v>6000</v>
      </c>
      <c r="U6" s="253">
        <f t="shared" si="1"/>
        <v>15600</v>
      </c>
      <c r="V6" s="346">
        <v>8000</v>
      </c>
      <c r="W6" s="347">
        <v>8500</v>
      </c>
      <c r="X6" s="346">
        <v>8000</v>
      </c>
      <c r="Y6" s="347">
        <v>8500</v>
      </c>
      <c r="Z6" s="347">
        <v>8040</v>
      </c>
      <c r="AA6" s="28" t="s">
        <v>262</v>
      </c>
      <c r="AC6" s="192" t="s">
        <v>263</v>
      </c>
      <c r="AD6" s="313">
        <v>1000</v>
      </c>
      <c r="AE6" s="64">
        <v>775819</v>
      </c>
      <c r="AF6" s="254">
        <v>68</v>
      </c>
      <c r="AG6" s="342">
        <v>70</v>
      </c>
      <c r="AH6" s="313">
        <v>1000</v>
      </c>
      <c r="AI6" s="64">
        <v>622975</v>
      </c>
      <c r="AJ6" s="254">
        <v>55</v>
      </c>
      <c r="AK6" s="342">
        <v>70</v>
      </c>
    </row>
    <row r="7" spans="2:37">
      <c r="B7" s="188">
        <v>43680</v>
      </c>
      <c r="C7" s="306" t="s">
        <v>33</v>
      </c>
      <c r="D7" s="313">
        <v>8000</v>
      </c>
      <c r="E7" s="253">
        <v>3700</v>
      </c>
      <c r="F7" s="253">
        <f t="shared" si="0"/>
        <v>9620</v>
      </c>
      <c r="G7" s="313">
        <v>8000</v>
      </c>
      <c r="H7" s="341">
        <v>3700</v>
      </c>
      <c r="I7" s="24"/>
      <c r="K7" s="27"/>
      <c r="L7" s="313">
        <v>0</v>
      </c>
      <c r="M7" s="64">
        <v>728579</v>
      </c>
      <c r="N7" s="254">
        <v>68</v>
      </c>
      <c r="O7" s="342">
        <v>70</v>
      </c>
      <c r="P7" s="64"/>
      <c r="Q7" s="188">
        <v>43711</v>
      </c>
      <c r="R7" s="306" t="s">
        <v>46</v>
      </c>
      <c r="S7" s="313">
        <v>24000</v>
      </c>
      <c r="T7" s="253">
        <v>5500</v>
      </c>
      <c r="U7" s="253">
        <f t="shared" si="1"/>
        <v>14300</v>
      </c>
      <c r="V7" s="346">
        <v>10000</v>
      </c>
      <c r="W7" s="341">
        <v>5500</v>
      </c>
      <c r="X7" s="346">
        <v>10000</v>
      </c>
      <c r="Y7" s="341">
        <v>5500</v>
      </c>
      <c r="Z7" s="341">
        <v>5808</v>
      </c>
      <c r="AA7" s="348" t="s">
        <v>264</v>
      </c>
      <c r="AC7" s="192"/>
      <c r="AD7" s="313">
        <v>1000</v>
      </c>
      <c r="AE7" s="64">
        <v>786664</v>
      </c>
      <c r="AF7" s="254">
        <v>68</v>
      </c>
      <c r="AG7" s="342">
        <v>70</v>
      </c>
      <c r="AH7" s="313">
        <v>1000</v>
      </c>
      <c r="AI7" s="64">
        <v>620194</v>
      </c>
      <c r="AJ7" s="254">
        <v>54</v>
      </c>
      <c r="AK7" s="342">
        <v>70</v>
      </c>
    </row>
    <row r="8" spans="2:37">
      <c r="B8" s="190">
        <v>43681</v>
      </c>
      <c r="C8" s="315" t="s">
        <v>37</v>
      </c>
      <c r="D8" s="71">
        <v>0</v>
      </c>
      <c r="E8" s="257">
        <v>4000</v>
      </c>
      <c r="F8" s="257">
        <f t="shared" si="0"/>
        <v>10400</v>
      </c>
      <c r="G8" s="71">
        <v>0</v>
      </c>
      <c r="H8" s="344">
        <v>4000</v>
      </c>
      <c r="I8" s="33"/>
      <c r="J8" s="34"/>
      <c r="K8" s="87"/>
      <c r="L8" s="71">
        <v>0</v>
      </c>
      <c r="M8" s="97">
        <v>719739</v>
      </c>
      <c r="N8" s="258">
        <v>67</v>
      </c>
      <c r="O8" s="345">
        <v>70</v>
      </c>
      <c r="P8" s="64"/>
      <c r="Q8" s="188">
        <v>43712</v>
      </c>
      <c r="R8" s="306" t="s">
        <v>49</v>
      </c>
      <c r="S8" s="28">
        <v>0</v>
      </c>
      <c r="T8" s="272">
        <v>10000</v>
      </c>
      <c r="U8" s="272">
        <f t="shared" si="1"/>
        <v>26000</v>
      </c>
      <c r="V8" s="346">
        <v>9000</v>
      </c>
      <c r="W8" s="341">
        <v>7500</v>
      </c>
      <c r="X8" s="346">
        <v>9000</v>
      </c>
      <c r="Y8" s="341">
        <v>7500</v>
      </c>
      <c r="Z8" s="341">
        <v>7316</v>
      </c>
      <c r="AA8" s="28" t="s">
        <v>265</v>
      </c>
      <c r="AC8" s="192" t="s">
        <v>266</v>
      </c>
      <c r="AD8" s="313">
        <v>0</v>
      </c>
      <c r="AE8" s="64">
        <v>760144</v>
      </c>
      <c r="AF8" s="254">
        <v>63</v>
      </c>
      <c r="AG8" s="342">
        <v>70</v>
      </c>
      <c r="AH8" s="313">
        <v>0</v>
      </c>
      <c r="AI8" s="64">
        <v>613129</v>
      </c>
      <c r="AJ8" s="254">
        <v>53</v>
      </c>
      <c r="AK8" s="342">
        <v>70</v>
      </c>
    </row>
    <row r="9" spans="2:37">
      <c r="B9" s="188">
        <v>43682</v>
      </c>
      <c r="C9" s="306" t="s">
        <v>41</v>
      </c>
      <c r="D9" s="313">
        <v>12000</v>
      </c>
      <c r="E9" s="253">
        <v>5300</v>
      </c>
      <c r="F9" s="253">
        <f t="shared" si="0"/>
        <v>13780</v>
      </c>
      <c r="G9" s="313">
        <v>12000</v>
      </c>
      <c r="H9" s="341">
        <v>5300</v>
      </c>
      <c r="I9" s="24"/>
      <c r="K9" s="192" t="s">
        <v>244</v>
      </c>
      <c r="L9" s="313">
        <v>1000</v>
      </c>
      <c r="M9" s="64">
        <v>719689</v>
      </c>
      <c r="N9" s="254">
        <v>66</v>
      </c>
      <c r="O9" s="342">
        <v>70</v>
      </c>
      <c r="P9" s="64"/>
      <c r="Q9" s="188">
        <v>43713</v>
      </c>
      <c r="R9" s="306" t="s">
        <v>51</v>
      </c>
      <c r="S9" s="313">
        <v>3000</v>
      </c>
      <c r="T9" s="253">
        <v>5500</v>
      </c>
      <c r="U9" s="253">
        <f t="shared" si="1"/>
        <v>14300</v>
      </c>
      <c r="V9" s="346">
        <v>18000</v>
      </c>
      <c r="W9" s="341">
        <v>5500</v>
      </c>
      <c r="X9" s="346">
        <v>18000</v>
      </c>
      <c r="Y9" s="341">
        <v>5500</v>
      </c>
      <c r="Z9" s="341">
        <v>5643</v>
      </c>
      <c r="AA9" s="28" t="s">
        <v>262</v>
      </c>
      <c r="AC9" s="192"/>
      <c r="AD9" s="313">
        <v>1000</v>
      </c>
      <c r="AE9" s="64">
        <v>749989</v>
      </c>
      <c r="AF9" s="254">
        <v>62</v>
      </c>
      <c r="AG9" s="342">
        <v>70</v>
      </c>
      <c r="AH9" s="313">
        <v>1000</v>
      </c>
      <c r="AI9" s="64">
        <v>618348</v>
      </c>
      <c r="AJ9" s="254">
        <v>53</v>
      </c>
      <c r="AK9" s="342">
        <v>70</v>
      </c>
    </row>
    <row r="10" spans="2:37">
      <c r="B10" s="188">
        <v>43683</v>
      </c>
      <c r="C10" s="306" t="s">
        <v>46</v>
      </c>
      <c r="D10" s="313">
        <v>23000</v>
      </c>
      <c r="E10" s="253">
        <f>5200+400</f>
        <v>5600</v>
      </c>
      <c r="F10" s="253">
        <f t="shared" si="0"/>
        <v>14560</v>
      </c>
      <c r="H10" s="341">
        <f>5200+400</f>
        <v>5600</v>
      </c>
      <c r="I10" s="4" t="s">
        <v>241</v>
      </c>
      <c r="K10" s="192" t="s">
        <v>244</v>
      </c>
      <c r="L10" s="313">
        <v>3000</v>
      </c>
      <c r="M10" s="64">
        <v>727976</v>
      </c>
      <c r="N10" s="254">
        <v>66</v>
      </c>
      <c r="O10" s="342">
        <v>70</v>
      </c>
      <c r="P10" s="64"/>
      <c r="Q10" s="188">
        <v>43714</v>
      </c>
      <c r="R10" s="306" t="s">
        <v>29</v>
      </c>
      <c r="S10" s="313">
        <v>18000</v>
      </c>
      <c r="T10" s="253">
        <v>5500</v>
      </c>
      <c r="U10" s="253">
        <f t="shared" si="1"/>
        <v>14300</v>
      </c>
      <c r="V10" s="346">
        <v>18000</v>
      </c>
      <c r="W10" s="341">
        <v>5500</v>
      </c>
      <c r="X10" s="346">
        <v>18000</v>
      </c>
      <c r="Y10" s="341">
        <v>5500</v>
      </c>
      <c r="Z10" s="341">
        <v>5366</v>
      </c>
      <c r="AA10" s="28" t="s">
        <v>267</v>
      </c>
      <c r="AC10" s="192"/>
      <c r="AD10" s="313">
        <v>1000</v>
      </c>
      <c r="AE10" s="64">
        <v>754834</v>
      </c>
      <c r="AF10" s="254">
        <v>62</v>
      </c>
      <c r="AG10" s="342">
        <v>70</v>
      </c>
      <c r="AH10" s="313">
        <v>1000</v>
      </c>
      <c r="AI10" s="64">
        <v>623567</v>
      </c>
      <c r="AJ10" s="254">
        <v>54</v>
      </c>
      <c r="AK10" s="342">
        <v>70</v>
      </c>
    </row>
    <row r="11" spans="2:37">
      <c r="B11" s="188">
        <v>43684</v>
      </c>
      <c r="C11" s="306" t="s">
        <v>49</v>
      </c>
      <c r="D11" s="313">
        <v>23000</v>
      </c>
      <c r="E11" s="253">
        <v>5000</v>
      </c>
      <c r="F11" s="253">
        <f t="shared" si="0"/>
        <v>13000</v>
      </c>
      <c r="G11" s="313">
        <v>23000</v>
      </c>
      <c r="H11" s="341">
        <v>5000</v>
      </c>
      <c r="I11" s="24"/>
      <c r="K11" s="192" t="s">
        <v>244</v>
      </c>
      <c r="L11" s="313">
        <v>3000</v>
      </c>
      <c r="M11" s="64">
        <v>738031</v>
      </c>
      <c r="N11" s="254">
        <v>67</v>
      </c>
      <c r="O11" s="342">
        <v>70</v>
      </c>
      <c r="P11" s="64"/>
      <c r="Q11" s="188">
        <v>43715</v>
      </c>
      <c r="R11" s="306" t="s">
        <v>33</v>
      </c>
      <c r="S11" s="313">
        <v>18000</v>
      </c>
      <c r="T11" s="253">
        <v>5000</v>
      </c>
      <c r="U11" s="253">
        <f t="shared" si="1"/>
        <v>13000</v>
      </c>
      <c r="V11" s="346">
        <v>18000</v>
      </c>
      <c r="W11" s="341">
        <v>5000</v>
      </c>
      <c r="X11" s="346">
        <v>18000</v>
      </c>
      <c r="Y11" s="341">
        <v>5000</v>
      </c>
      <c r="Z11" s="341">
        <v>4505</v>
      </c>
      <c r="AA11" s="348" t="s">
        <v>264</v>
      </c>
      <c r="AC11" s="192"/>
      <c r="AD11" s="313">
        <v>0</v>
      </c>
      <c r="AE11" s="64">
        <v>761784</v>
      </c>
      <c r="AF11" s="254">
        <v>63</v>
      </c>
      <c r="AG11" s="342">
        <v>70</v>
      </c>
      <c r="AH11" s="313">
        <v>0</v>
      </c>
      <c r="AI11" s="64">
        <v>630857</v>
      </c>
      <c r="AJ11" s="254">
        <v>54</v>
      </c>
      <c r="AK11" s="342">
        <v>70</v>
      </c>
    </row>
    <row r="12" spans="2:37">
      <c r="B12" s="188">
        <v>43685</v>
      </c>
      <c r="C12" s="306" t="s">
        <v>51</v>
      </c>
      <c r="D12" s="313">
        <v>18000</v>
      </c>
      <c r="E12" s="253">
        <v>5500</v>
      </c>
      <c r="F12" s="253">
        <f t="shared" si="0"/>
        <v>14300</v>
      </c>
      <c r="G12" s="349">
        <v>10000</v>
      </c>
      <c r="H12" s="341">
        <v>5500</v>
      </c>
      <c r="I12" s="24"/>
      <c r="K12" s="192" t="s">
        <v>268</v>
      </c>
      <c r="L12" s="313">
        <v>1000</v>
      </c>
      <c r="M12" s="64">
        <v>743318</v>
      </c>
      <c r="N12" s="254">
        <v>68</v>
      </c>
      <c r="O12" s="342">
        <v>70</v>
      </c>
      <c r="Q12" s="190">
        <v>43716</v>
      </c>
      <c r="R12" s="315" t="s">
        <v>37</v>
      </c>
      <c r="S12" s="71">
        <v>0</v>
      </c>
      <c r="T12" s="257">
        <v>5000</v>
      </c>
      <c r="U12" s="257">
        <f t="shared" si="1"/>
        <v>13000</v>
      </c>
      <c r="V12" s="343">
        <v>0</v>
      </c>
      <c r="W12" s="344">
        <v>5000</v>
      </c>
      <c r="X12" s="343">
        <v>0</v>
      </c>
      <c r="Y12" s="344">
        <v>5000</v>
      </c>
      <c r="Z12" s="344">
        <v>4891</v>
      </c>
      <c r="AA12" s="71" t="s">
        <v>267</v>
      </c>
      <c r="AB12" s="34"/>
      <c r="AC12" s="318"/>
      <c r="AD12" s="320">
        <v>0</v>
      </c>
      <c r="AE12" s="97">
        <v>750734</v>
      </c>
      <c r="AF12" s="258">
        <v>61</v>
      </c>
      <c r="AG12" s="345">
        <v>70</v>
      </c>
      <c r="AH12" s="320">
        <v>0</v>
      </c>
      <c r="AI12" s="97">
        <v>620147</v>
      </c>
      <c r="AJ12" s="258">
        <v>53</v>
      </c>
      <c r="AK12" s="345">
        <v>70</v>
      </c>
    </row>
    <row r="13" spans="2:37">
      <c r="B13" s="188">
        <v>43686</v>
      </c>
      <c r="C13" s="306" t="s">
        <v>29</v>
      </c>
      <c r="D13" s="313">
        <v>23000</v>
      </c>
      <c r="E13" s="253">
        <v>4300</v>
      </c>
      <c r="F13" s="253">
        <f t="shared" si="0"/>
        <v>11180</v>
      </c>
      <c r="G13" s="313">
        <v>18000</v>
      </c>
      <c r="H13" s="341">
        <v>4300</v>
      </c>
      <c r="I13" s="24"/>
      <c r="K13" s="27"/>
      <c r="L13" s="313">
        <v>1000</v>
      </c>
      <c r="M13" s="64">
        <v>755815</v>
      </c>
      <c r="N13" s="254">
        <v>69</v>
      </c>
      <c r="O13" s="342">
        <v>70</v>
      </c>
      <c r="Q13" s="188">
        <v>43717</v>
      </c>
      <c r="R13" s="306" t="s">
        <v>41</v>
      </c>
      <c r="S13" s="28">
        <v>0</v>
      </c>
      <c r="T13" s="350">
        <v>18000</v>
      </c>
      <c r="U13" s="272">
        <f t="shared" si="1"/>
        <v>46800</v>
      </c>
      <c r="V13" s="351">
        <v>0</v>
      </c>
      <c r="W13" s="347">
        <v>18000</v>
      </c>
      <c r="X13" s="351">
        <v>0</v>
      </c>
      <c r="Y13" s="347">
        <v>18000</v>
      </c>
      <c r="Z13" s="347">
        <v>17860</v>
      </c>
      <c r="AA13" s="24"/>
      <c r="AC13" s="192" t="s">
        <v>269</v>
      </c>
      <c r="AD13" s="313">
        <v>0</v>
      </c>
      <c r="AE13" s="64">
        <v>710954</v>
      </c>
      <c r="AF13" s="254">
        <v>53</v>
      </c>
      <c r="AG13" s="342">
        <v>70</v>
      </c>
      <c r="AH13" s="313">
        <v>0</v>
      </c>
      <c r="AI13" s="64">
        <v>581591</v>
      </c>
      <c r="AJ13" s="254">
        <v>46</v>
      </c>
      <c r="AK13" s="342">
        <v>70</v>
      </c>
    </row>
    <row r="14" spans="2:37">
      <c r="B14" s="188">
        <v>43687</v>
      </c>
      <c r="C14" s="306" t="s">
        <v>33</v>
      </c>
      <c r="D14" s="313">
        <v>8000</v>
      </c>
      <c r="E14" s="253">
        <v>3700</v>
      </c>
      <c r="F14" s="253">
        <f t="shared" si="0"/>
        <v>9620</v>
      </c>
      <c r="G14" s="313">
        <v>8000</v>
      </c>
      <c r="H14" s="341">
        <v>3700</v>
      </c>
      <c r="I14" s="24"/>
      <c r="K14" s="27"/>
      <c r="L14" s="313">
        <v>0</v>
      </c>
      <c r="M14" s="64">
        <v>756080</v>
      </c>
      <c r="N14" s="254">
        <v>70</v>
      </c>
      <c r="O14" s="342">
        <v>70</v>
      </c>
      <c r="Q14" s="188">
        <v>43718</v>
      </c>
      <c r="R14" s="306" t="s">
        <v>46</v>
      </c>
      <c r="S14" s="28">
        <v>0</v>
      </c>
      <c r="T14" s="253">
        <v>5200</v>
      </c>
      <c r="U14" s="253">
        <f t="shared" si="1"/>
        <v>13520</v>
      </c>
      <c r="V14" s="351">
        <v>0</v>
      </c>
      <c r="W14" s="341">
        <v>5200</v>
      </c>
      <c r="X14" s="351">
        <v>0</v>
      </c>
      <c r="Y14" s="341">
        <v>5200</v>
      </c>
      <c r="AA14" s="24"/>
      <c r="AC14" s="192"/>
      <c r="AD14" s="313">
        <v>1000</v>
      </c>
      <c r="AE14" s="64">
        <v>698241</v>
      </c>
      <c r="AF14" s="254">
        <v>52</v>
      </c>
      <c r="AG14" s="352">
        <v>60</v>
      </c>
      <c r="AH14" s="313">
        <v>1000</v>
      </c>
      <c r="AI14" s="64">
        <v>569453</v>
      </c>
      <c r="AJ14" s="254">
        <v>44</v>
      </c>
      <c r="AK14" s="352">
        <v>60</v>
      </c>
    </row>
    <row r="15" spans="2:37">
      <c r="B15" s="190">
        <v>43688</v>
      </c>
      <c r="C15" s="315" t="s">
        <v>37</v>
      </c>
      <c r="D15" s="71">
        <v>0</v>
      </c>
      <c r="E15" s="257">
        <v>4000</v>
      </c>
      <c r="F15" s="257">
        <f t="shared" si="0"/>
        <v>10400</v>
      </c>
      <c r="G15" s="71">
        <v>0</v>
      </c>
      <c r="H15" s="344">
        <v>4000</v>
      </c>
      <c r="I15" s="33"/>
      <c r="J15" s="34"/>
      <c r="K15" s="87"/>
      <c r="L15" s="71">
        <v>0</v>
      </c>
      <c r="M15" s="97">
        <v>747240</v>
      </c>
      <c r="N15" s="258">
        <v>69</v>
      </c>
      <c r="O15" s="353">
        <v>65</v>
      </c>
      <c r="P15" s="64"/>
      <c r="Q15" s="188">
        <v>43719</v>
      </c>
      <c r="R15" s="306" t="s">
        <v>49</v>
      </c>
      <c r="S15" s="313">
        <v>18000</v>
      </c>
      <c r="T15" s="253">
        <v>4500</v>
      </c>
      <c r="U15" s="253">
        <f t="shared" si="1"/>
        <v>11700</v>
      </c>
      <c r="V15" s="346">
        <v>18000</v>
      </c>
      <c r="W15" s="341">
        <v>4500</v>
      </c>
      <c r="X15" s="346">
        <v>18000</v>
      </c>
      <c r="Y15" s="341">
        <v>4500</v>
      </c>
      <c r="AA15" s="24"/>
      <c r="AC15" s="192"/>
      <c r="AD15" s="313">
        <v>1000</v>
      </c>
      <c r="AE15" s="64">
        <v>705296</v>
      </c>
      <c r="AF15" s="254">
        <v>53</v>
      </c>
      <c r="AG15" s="352">
        <v>60</v>
      </c>
      <c r="AH15" s="313">
        <v>1000</v>
      </c>
      <c r="AI15" s="64">
        <v>576814</v>
      </c>
      <c r="AJ15" s="254">
        <v>46</v>
      </c>
      <c r="AK15" s="352">
        <v>60</v>
      </c>
    </row>
    <row r="16" spans="2:37">
      <c r="B16" s="188">
        <v>43689</v>
      </c>
      <c r="C16" s="306" t="s">
        <v>41</v>
      </c>
      <c r="D16" s="313">
        <v>8000</v>
      </c>
      <c r="E16" s="253">
        <f>5300+1300</f>
        <v>6600</v>
      </c>
      <c r="F16" s="253">
        <f t="shared" si="0"/>
        <v>17160</v>
      </c>
      <c r="G16" s="354">
        <v>12000</v>
      </c>
      <c r="H16" s="341">
        <f>5300+1300</f>
        <v>6600</v>
      </c>
      <c r="I16" s="24"/>
      <c r="J16" s="4" t="s">
        <v>270</v>
      </c>
      <c r="K16" s="27"/>
      <c r="L16" s="313">
        <v>1000</v>
      </c>
      <c r="M16" s="64">
        <v>738107</v>
      </c>
      <c r="N16" s="254">
        <v>66</v>
      </c>
      <c r="O16" s="355">
        <v>65</v>
      </c>
      <c r="P16" s="64"/>
      <c r="Q16" s="188">
        <v>43720</v>
      </c>
      <c r="R16" s="306" t="s">
        <v>51</v>
      </c>
      <c r="S16" s="313">
        <v>24000</v>
      </c>
      <c r="T16" s="253">
        <v>5300</v>
      </c>
      <c r="U16" s="253">
        <f t="shared" si="1"/>
        <v>13780</v>
      </c>
      <c r="V16" s="346">
        <v>24000</v>
      </c>
      <c r="W16" s="341">
        <v>5300</v>
      </c>
      <c r="X16" s="346">
        <v>24000</v>
      </c>
      <c r="Y16" s="341">
        <v>5300</v>
      </c>
      <c r="AA16" s="24"/>
      <c r="AC16" s="192"/>
      <c r="AD16" s="313">
        <v>1000</v>
      </c>
      <c r="AE16" s="64">
        <v>716583</v>
      </c>
      <c r="AF16" s="254">
        <v>55</v>
      </c>
      <c r="AG16" s="352">
        <v>60</v>
      </c>
      <c r="AH16" s="313">
        <v>1000</v>
      </c>
      <c r="AI16" s="64">
        <v>588461</v>
      </c>
      <c r="AJ16" s="254">
        <v>48</v>
      </c>
      <c r="AK16" s="352">
        <v>60</v>
      </c>
    </row>
    <row r="17" spans="2:37">
      <c r="B17" s="188">
        <v>43690</v>
      </c>
      <c r="C17" s="306" t="s">
        <v>46</v>
      </c>
      <c r="D17" s="28">
        <v>0</v>
      </c>
      <c r="E17" s="272">
        <f>5200+2700</f>
        <v>7900</v>
      </c>
      <c r="F17" s="272">
        <f t="shared" si="0"/>
        <v>20540</v>
      </c>
      <c r="G17" s="28">
        <v>0</v>
      </c>
      <c r="H17" s="341">
        <f>5200+2700</f>
        <v>7900</v>
      </c>
      <c r="I17" s="4" t="s">
        <v>134</v>
      </c>
      <c r="J17" s="4" t="s">
        <v>271</v>
      </c>
      <c r="K17" s="27"/>
      <c r="L17" s="313">
        <v>3000</v>
      </c>
      <c r="M17" s="64">
        <v>715880</v>
      </c>
      <c r="N17" s="254">
        <v>62</v>
      </c>
      <c r="O17" s="355">
        <v>65</v>
      </c>
      <c r="P17" s="64"/>
      <c r="Q17" s="188">
        <v>43721</v>
      </c>
      <c r="R17" s="306" t="s">
        <v>29</v>
      </c>
      <c r="S17" s="313">
        <v>24000</v>
      </c>
      <c r="T17" s="253">
        <v>4300</v>
      </c>
      <c r="U17" s="253">
        <f t="shared" si="1"/>
        <v>11180</v>
      </c>
      <c r="V17" s="346">
        <v>24000</v>
      </c>
      <c r="W17" s="341">
        <v>4300</v>
      </c>
      <c r="X17" s="346">
        <v>24000</v>
      </c>
      <c r="Y17" s="341">
        <v>4300</v>
      </c>
      <c r="AA17" s="24"/>
      <c r="AC17" s="27"/>
      <c r="AD17" s="313">
        <v>1000</v>
      </c>
      <c r="AE17" s="64">
        <v>730080</v>
      </c>
      <c r="AF17" s="254">
        <v>57</v>
      </c>
      <c r="AG17" s="352">
        <v>60</v>
      </c>
      <c r="AH17" s="313">
        <v>1000</v>
      </c>
      <c r="AI17" s="64">
        <v>602250</v>
      </c>
      <c r="AJ17" s="254">
        <v>49</v>
      </c>
      <c r="AK17" s="352">
        <v>60</v>
      </c>
    </row>
    <row r="18" spans="2:37">
      <c r="B18" s="188">
        <v>43691</v>
      </c>
      <c r="C18" s="306" t="s">
        <v>49</v>
      </c>
      <c r="D18" s="313">
        <v>18000</v>
      </c>
      <c r="E18" s="253">
        <v>6000</v>
      </c>
      <c r="F18" s="253">
        <f t="shared" si="0"/>
        <v>15600</v>
      </c>
      <c r="G18" s="354">
        <v>22000</v>
      </c>
      <c r="H18" s="341">
        <v>6000</v>
      </c>
      <c r="I18" s="4" t="s">
        <v>134</v>
      </c>
      <c r="J18" s="356" t="s">
        <v>272</v>
      </c>
      <c r="K18" s="27"/>
      <c r="L18" s="313">
        <v>3000</v>
      </c>
      <c r="M18" s="64">
        <v>717620</v>
      </c>
      <c r="N18" s="254">
        <v>62</v>
      </c>
      <c r="O18" s="355">
        <v>65</v>
      </c>
      <c r="P18" s="64"/>
      <c r="Q18" s="188">
        <v>43722</v>
      </c>
      <c r="R18" s="306" t="s">
        <v>33</v>
      </c>
      <c r="S18" s="313">
        <v>8000</v>
      </c>
      <c r="T18" s="253">
        <v>3700</v>
      </c>
      <c r="U18" s="253">
        <f t="shared" si="1"/>
        <v>9620</v>
      </c>
      <c r="V18" s="346">
        <v>8000</v>
      </c>
      <c r="W18" s="341">
        <v>3700</v>
      </c>
      <c r="X18" s="346">
        <v>8000</v>
      </c>
      <c r="Y18" s="341">
        <v>3700</v>
      </c>
      <c r="AA18" s="24"/>
      <c r="AC18" s="27"/>
      <c r="AD18" s="313">
        <v>0</v>
      </c>
      <c r="AE18" s="64">
        <v>730345</v>
      </c>
      <c r="AF18" s="254">
        <v>58</v>
      </c>
      <c r="AG18" s="352">
        <v>60</v>
      </c>
      <c r="AH18" s="313">
        <v>0</v>
      </c>
      <c r="AI18" s="64">
        <v>602325</v>
      </c>
      <c r="AJ18" s="254">
        <v>50</v>
      </c>
      <c r="AK18" s="352">
        <v>60</v>
      </c>
    </row>
    <row r="19" spans="2:37">
      <c r="B19" s="188">
        <v>43692</v>
      </c>
      <c r="C19" s="306" t="s">
        <v>51</v>
      </c>
      <c r="D19" s="313">
        <v>24000</v>
      </c>
      <c r="E19" s="253">
        <v>5800</v>
      </c>
      <c r="F19" s="253">
        <f t="shared" si="0"/>
        <v>15080</v>
      </c>
      <c r="G19" s="313">
        <v>24000</v>
      </c>
      <c r="H19" s="341">
        <v>5800</v>
      </c>
      <c r="I19" s="4" t="s">
        <v>134</v>
      </c>
      <c r="J19" s="356" t="s">
        <v>273</v>
      </c>
      <c r="K19" s="27"/>
      <c r="L19" s="313">
        <v>1000</v>
      </c>
      <c r="M19" s="64">
        <v>727360</v>
      </c>
      <c r="N19" s="254">
        <v>63</v>
      </c>
      <c r="O19" s="355">
        <v>65</v>
      </c>
      <c r="Q19" s="190">
        <v>43723</v>
      </c>
      <c r="R19" s="315" t="s">
        <v>37</v>
      </c>
      <c r="S19" s="71">
        <v>0</v>
      </c>
      <c r="T19" s="257">
        <v>4000</v>
      </c>
      <c r="U19" s="257">
        <f t="shared" si="1"/>
        <v>10400</v>
      </c>
      <c r="V19" s="343">
        <v>0</v>
      </c>
      <c r="W19" s="344">
        <v>4000</v>
      </c>
      <c r="X19" s="71">
        <v>0</v>
      </c>
      <c r="Y19" s="344">
        <v>4000</v>
      </c>
      <c r="Z19" s="34"/>
      <c r="AA19" s="33"/>
      <c r="AB19" s="34"/>
      <c r="AC19" s="87"/>
      <c r="AD19" s="320">
        <v>0</v>
      </c>
      <c r="AE19" s="97">
        <v>721505</v>
      </c>
      <c r="AF19" s="258">
        <v>59</v>
      </c>
      <c r="AG19" s="357">
        <v>60</v>
      </c>
      <c r="AH19" s="320">
        <v>0</v>
      </c>
      <c r="AI19" s="97">
        <v>593757</v>
      </c>
      <c r="AJ19" s="258">
        <v>51</v>
      </c>
      <c r="AK19" s="357">
        <v>60</v>
      </c>
    </row>
    <row r="20" spans="2:37">
      <c r="B20" s="188">
        <v>43693</v>
      </c>
      <c r="C20" s="306" t="s">
        <v>29</v>
      </c>
      <c r="D20" s="28">
        <v>0</v>
      </c>
      <c r="E20" s="272">
        <v>9000</v>
      </c>
      <c r="F20" s="272">
        <f t="shared" si="0"/>
        <v>23400</v>
      </c>
      <c r="G20" s="28">
        <v>0</v>
      </c>
      <c r="H20" s="341">
        <v>9000</v>
      </c>
      <c r="I20" s="4" t="s">
        <v>135</v>
      </c>
      <c r="K20" s="27"/>
      <c r="L20" s="313">
        <v>1000</v>
      </c>
      <c r="M20" s="64">
        <v>706470</v>
      </c>
      <c r="N20" s="254">
        <v>60</v>
      </c>
      <c r="O20" s="355">
        <v>65</v>
      </c>
      <c r="P20" s="64"/>
      <c r="Q20" s="188">
        <v>43724</v>
      </c>
      <c r="R20" s="306" t="s">
        <v>41</v>
      </c>
      <c r="S20" s="313">
        <v>18000</v>
      </c>
      <c r="T20" s="253">
        <f>5000+2000*0.8</f>
        <v>6600</v>
      </c>
      <c r="U20" s="253">
        <f t="shared" si="1"/>
        <v>17160</v>
      </c>
      <c r="V20" s="346">
        <v>18000</v>
      </c>
      <c r="W20" s="341">
        <f>5000+2000*0.8</f>
        <v>6600</v>
      </c>
      <c r="X20" s="313">
        <v>18000</v>
      </c>
      <c r="Y20" s="341">
        <v>6600</v>
      </c>
      <c r="AA20" s="24"/>
      <c r="AB20" s="358" t="s">
        <v>274</v>
      </c>
      <c r="AC20" s="27"/>
      <c r="AD20" s="313">
        <v>1000</v>
      </c>
      <c r="AE20" s="276">
        <v>723919</v>
      </c>
      <c r="AF20" s="254">
        <v>58</v>
      </c>
      <c r="AG20" s="352">
        <v>60</v>
      </c>
      <c r="AH20" s="313">
        <v>1000</v>
      </c>
      <c r="AI20" s="276">
        <v>596620</v>
      </c>
      <c r="AJ20" s="254">
        <v>50</v>
      </c>
      <c r="AK20" s="352">
        <v>60</v>
      </c>
    </row>
    <row r="21" spans="2:37">
      <c r="B21" s="188">
        <v>43694</v>
      </c>
      <c r="C21" s="306" t="s">
        <v>33</v>
      </c>
      <c r="D21" s="313">
        <v>8000</v>
      </c>
      <c r="E21" s="253">
        <v>3700</v>
      </c>
      <c r="F21" s="253">
        <f t="shared" si="0"/>
        <v>9620</v>
      </c>
      <c r="G21" s="313">
        <v>8000</v>
      </c>
      <c r="H21" s="341">
        <v>3700</v>
      </c>
      <c r="I21" s="24"/>
      <c r="K21" s="27"/>
      <c r="L21" s="313">
        <v>0</v>
      </c>
      <c r="M21" s="64">
        <v>706735</v>
      </c>
      <c r="N21" s="254">
        <v>62</v>
      </c>
      <c r="O21" s="355">
        <v>65</v>
      </c>
      <c r="P21" s="64"/>
      <c r="Q21" s="188">
        <v>43725</v>
      </c>
      <c r="R21" s="306" t="s">
        <v>46</v>
      </c>
      <c r="S21" s="313">
        <v>24000</v>
      </c>
      <c r="T21" s="253">
        <f>5300+1500*0.8</f>
        <v>6500</v>
      </c>
      <c r="U21" s="253">
        <f t="shared" si="1"/>
        <v>16900</v>
      </c>
      <c r="V21" s="346">
        <v>24000</v>
      </c>
      <c r="W21" s="341">
        <f>5300+1500*0.8</f>
        <v>6500</v>
      </c>
      <c r="X21" s="313">
        <v>24000</v>
      </c>
      <c r="Y21" s="341">
        <v>6500</v>
      </c>
      <c r="AA21" s="24"/>
      <c r="AB21" s="358" t="s">
        <v>274</v>
      </c>
      <c r="AC21" s="27"/>
      <c r="AD21" s="313">
        <v>1000</v>
      </c>
      <c r="AE21" s="276">
        <v>732554</v>
      </c>
      <c r="AF21" s="254">
        <v>58</v>
      </c>
      <c r="AG21" s="352">
        <v>60</v>
      </c>
      <c r="AH21" s="313">
        <v>1000</v>
      </c>
      <c r="AI21" s="276">
        <v>605697</v>
      </c>
      <c r="AJ21" s="254">
        <v>50</v>
      </c>
      <c r="AK21" s="352">
        <v>60</v>
      </c>
    </row>
    <row r="22" spans="2:37">
      <c r="B22" s="190">
        <v>43695</v>
      </c>
      <c r="C22" s="315" t="s">
        <v>37</v>
      </c>
      <c r="D22" s="71">
        <v>0</v>
      </c>
      <c r="E22" s="257">
        <v>4000</v>
      </c>
      <c r="F22" s="257">
        <f t="shared" si="0"/>
        <v>10400</v>
      </c>
      <c r="G22" s="71">
        <v>0</v>
      </c>
      <c r="H22" s="344">
        <v>4000</v>
      </c>
      <c r="I22" s="33"/>
      <c r="J22" s="34"/>
      <c r="K22" s="87"/>
      <c r="L22" s="71">
        <v>0</v>
      </c>
      <c r="M22" s="97">
        <v>697895</v>
      </c>
      <c r="N22" s="258">
        <v>63</v>
      </c>
      <c r="O22" s="353">
        <v>65</v>
      </c>
      <c r="P22" s="64"/>
      <c r="Q22" s="188">
        <v>43726</v>
      </c>
      <c r="R22" s="306" t="s">
        <v>49</v>
      </c>
      <c r="S22" s="313">
        <v>24000</v>
      </c>
      <c r="T22" s="253">
        <f>4500+1500*0.8</f>
        <v>5700</v>
      </c>
      <c r="U22" s="253">
        <f t="shared" si="1"/>
        <v>14820</v>
      </c>
      <c r="V22" s="346">
        <v>24000</v>
      </c>
      <c r="W22" s="341">
        <f>4500+1500*0.8</f>
        <v>5700</v>
      </c>
      <c r="X22" s="313">
        <v>24000</v>
      </c>
      <c r="Y22" s="341">
        <v>5700</v>
      </c>
      <c r="AA22" s="24"/>
      <c r="AB22" s="358" t="s">
        <v>274</v>
      </c>
      <c r="AC22" s="27"/>
      <c r="AD22" s="313">
        <v>3000</v>
      </c>
      <c r="AE22" s="276">
        <v>740957</v>
      </c>
      <c r="AF22" s="254">
        <v>58</v>
      </c>
      <c r="AG22" s="352">
        <v>60</v>
      </c>
      <c r="AH22" s="313">
        <v>3000</v>
      </c>
      <c r="AI22" s="276">
        <v>614487</v>
      </c>
      <c r="AJ22" s="254">
        <v>51</v>
      </c>
      <c r="AK22" s="352">
        <v>60</v>
      </c>
    </row>
    <row r="23" spans="2:37">
      <c r="B23" s="188">
        <v>43696</v>
      </c>
      <c r="C23" s="306" t="s">
        <v>41</v>
      </c>
      <c r="D23" s="313">
        <v>18000</v>
      </c>
      <c r="E23" s="253">
        <v>5300</v>
      </c>
      <c r="F23" s="253">
        <f t="shared" si="0"/>
        <v>13780</v>
      </c>
      <c r="G23" s="313">
        <v>18000</v>
      </c>
      <c r="H23" s="341">
        <v>5300</v>
      </c>
      <c r="I23" s="24"/>
      <c r="J23" s="4" t="s">
        <v>275</v>
      </c>
      <c r="K23" s="27"/>
      <c r="L23" s="313">
        <v>1000</v>
      </c>
      <c r="M23" s="64">
        <v>703845</v>
      </c>
      <c r="N23" s="254">
        <v>62</v>
      </c>
      <c r="O23" s="355">
        <v>65</v>
      </c>
      <c r="Q23" s="188">
        <v>43727</v>
      </c>
      <c r="R23" s="306" t="s">
        <v>51</v>
      </c>
      <c r="S23" s="28">
        <v>0</v>
      </c>
      <c r="T23" s="272">
        <f>5000+5000*0.8</f>
        <v>9000</v>
      </c>
      <c r="U23" s="272">
        <f t="shared" si="1"/>
        <v>23400</v>
      </c>
      <c r="V23" s="351">
        <v>0</v>
      </c>
      <c r="W23" s="347">
        <f>5000+5000*0.8</f>
        <v>9000</v>
      </c>
      <c r="X23" s="28">
        <v>0</v>
      </c>
      <c r="Y23" s="347">
        <f>5000+5000*0.8</f>
        <v>9000</v>
      </c>
      <c r="AA23" s="24"/>
      <c r="AB23" s="358" t="s">
        <v>276</v>
      </c>
      <c r="AC23" s="27"/>
      <c r="AD23" s="313">
        <v>0</v>
      </c>
      <c r="AE23" s="276">
        <v>721067</v>
      </c>
      <c r="AF23" s="254">
        <v>55</v>
      </c>
      <c r="AG23" s="352">
        <v>60</v>
      </c>
      <c r="AH23" s="313">
        <v>0</v>
      </c>
      <c r="AI23" s="276">
        <v>595209</v>
      </c>
      <c r="AJ23" s="254">
        <v>48</v>
      </c>
      <c r="AK23" s="352">
        <v>60</v>
      </c>
    </row>
    <row r="24" spans="2:37">
      <c r="B24" s="188">
        <v>43697</v>
      </c>
      <c r="C24" s="306" t="s">
        <v>46</v>
      </c>
      <c r="D24" s="313">
        <v>24000</v>
      </c>
      <c r="E24" s="253">
        <f>5200+400</f>
        <v>5600</v>
      </c>
      <c r="F24" s="253">
        <f t="shared" si="0"/>
        <v>14560</v>
      </c>
      <c r="G24" s="313">
        <v>24000</v>
      </c>
      <c r="H24" s="341">
        <f>5200+400</f>
        <v>5600</v>
      </c>
      <c r="I24" s="4" t="s">
        <v>241</v>
      </c>
      <c r="J24" s="4" t="s">
        <v>275</v>
      </c>
      <c r="K24" s="27"/>
      <c r="L24" s="313">
        <v>1000</v>
      </c>
      <c r="M24" s="64">
        <v>715132</v>
      </c>
      <c r="N24" s="254">
        <v>63</v>
      </c>
      <c r="O24" s="355">
        <v>65</v>
      </c>
      <c r="P24" s="64"/>
      <c r="Q24" s="188">
        <v>43728</v>
      </c>
      <c r="R24" s="306" t="s">
        <v>29</v>
      </c>
      <c r="S24" s="313">
        <v>24000</v>
      </c>
      <c r="T24" s="253">
        <v>4300</v>
      </c>
      <c r="U24" s="253">
        <f t="shared" si="1"/>
        <v>11180</v>
      </c>
      <c r="V24" s="346">
        <v>24000</v>
      </c>
      <c r="W24" s="341">
        <v>4300</v>
      </c>
      <c r="X24" s="313">
        <v>24000</v>
      </c>
      <c r="Y24" s="341">
        <v>4300</v>
      </c>
      <c r="AA24" s="24"/>
      <c r="AB24" s="358" t="s">
        <v>277</v>
      </c>
      <c r="AC24" s="27"/>
      <c r="AD24" s="313">
        <v>1000</v>
      </c>
      <c r="AE24" s="276">
        <v>734564</v>
      </c>
      <c r="AF24" s="254">
        <v>57</v>
      </c>
      <c r="AG24" s="352">
        <v>60</v>
      </c>
      <c r="AH24" s="313">
        <v>1000</v>
      </c>
      <c r="AI24" s="276">
        <v>608999</v>
      </c>
      <c r="AJ24" s="254">
        <v>50</v>
      </c>
      <c r="AK24" s="352">
        <v>60</v>
      </c>
    </row>
    <row r="25" spans="2:37">
      <c r="B25" s="188">
        <v>43698</v>
      </c>
      <c r="C25" s="306" t="s">
        <v>49</v>
      </c>
      <c r="D25" s="313">
        <v>24000</v>
      </c>
      <c r="E25" s="272">
        <v>7500</v>
      </c>
      <c r="F25" s="272">
        <f t="shared" si="0"/>
        <v>19500</v>
      </c>
      <c r="G25" s="359">
        <v>18000</v>
      </c>
      <c r="H25" s="341">
        <v>7500</v>
      </c>
      <c r="I25" s="24"/>
      <c r="K25" s="192" t="s">
        <v>278</v>
      </c>
      <c r="L25" s="313">
        <v>1000</v>
      </c>
      <c r="M25" s="64">
        <v>723104</v>
      </c>
      <c r="N25" s="254">
        <v>63</v>
      </c>
      <c r="O25" s="342">
        <v>70</v>
      </c>
      <c r="P25" s="64"/>
      <c r="Q25" s="188">
        <v>43729</v>
      </c>
      <c r="R25" s="306" t="s">
        <v>33</v>
      </c>
      <c r="S25" s="313">
        <v>8000</v>
      </c>
      <c r="T25" s="253">
        <v>3700</v>
      </c>
      <c r="U25" s="253">
        <f t="shared" si="1"/>
        <v>9620</v>
      </c>
      <c r="V25" s="346">
        <v>8000</v>
      </c>
      <c r="W25" s="341">
        <v>3700</v>
      </c>
      <c r="X25" s="313">
        <v>8000</v>
      </c>
      <c r="Y25" s="341">
        <v>3700</v>
      </c>
      <c r="AA25" s="24"/>
      <c r="AB25" s="4" t="s">
        <v>277</v>
      </c>
      <c r="AC25" s="27"/>
      <c r="AD25" s="313">
        <v>0</v>
      </c>
      <c r="AE25" s="64">
        <v>734829</v>
      </c>
      <c r="AF25" s="254">
        <v>58</v>
      </c>
      <c r="AG25" s="352">
        <v>60</v>
      </c>
      <c r="AH25" s="313">
        <v>0</v>
      </c>
      <c r="AI25" s="64">
        <v>609073</v>
      </c>
      <c r="AJ25" s="254">
        <v>50</v>
      </c>
      <c r="AK25" s="352">
        <v>60</v>
      </c>
    </row>
    <row r="26" spans="2:37">
      <c r="B26" s="188">
        <v>43699</v>
      </c>
      <c r="C26" s="306" t="s">
        <v>51</v>
      </c>
      <c r="D26" s="313">
        <v>24000</v>
      </c>
      <c r="E26" s="253">
        <v>4800</v>
      </c>
      <c r="F26" s="253">
        <f t="shared" si="0"/>
        <v>12480</v>
      </c>
      <c r="G26" s="313">
        <v>24000</v>
      </c>
      <c r="H26" s="341">
        <v>4800</v>
      </c>
      <c r="I26" s="24"/>
      <c r="K26" s="192"/>
      <c r="L26" s="313">
        <v>1000</v>
      </c>
      <c r="M26" s="64">
        <v>735054</v>
      </c>
      <c r="N26" s="254">
        <v>64</v>
      </c>
      <c r="O26" s="342">
        <v>70</v>
      </c>
      <c r="Q26" s="190">
        <v>43730</v>
      </c>
      <c r="R26" s="315" t="s">
        <v>37</v>
      </c>
      <c r="S26" s="71">
        <v>0</v>
      </c>
      <c r="T26" s="257">
        <v>4000</v>
      </c>
      <c r="U26" s="257">
        <f t="shared" si="1"/>
        <v>10400</v>
      </c>
      <c r="V26" s="343">
        <v>0</v>
      </c>
      <c r="W26" s="344">
        <v>4000</v>
      </c>
      <c r="X26" s="71">
        <v>0</v>
      </c>
      <c r="Y26" s="344">
        <v>4000</v>
      </c>
      <c r="Z26" s="34"/>
      <c r="AA26" s="33"/>
      <c r="AB26" s="200" t="s">
        <v>279</v>
      </c>
      <c r="AC26" s="87"/>
      <c r="AD26" s="320">
        <v>0</v>
      </c>
      <c r="AE26" s="97">
        <v>725989</v>
      </c>
      <c r="AF26" s="258">
        <v>57</v>
      </c>
      <c r="AG26" s="357">
        <v>60</v>
      </c>
      <c r="AH26" s="320">
        <v>0</v>
      </c>
      <c r="AI26" s="97">
        <v>600505</v>
      </c>
      <c r="AJ26" s="258">
        <v>49</v>
      </c>
      <c r="AK26" s="357">
        <v>60</v>
      </c>
    </row>
    <row r="27" spans="2:37">
      <c r="B27" s="188">
        <v>43700</v>
      </c>
      <c r="C27" s="306" t="s">
        <v>29</v>
      </c>
      <c r="D27" s="313">
        <v>24000</v>
      </c>
      <c r="E27" s="253">
        <v>4300</v>
      </c>
      <c r="F27" s="253">
        <f t="shared" si="0"/>
        <v>11180</v>
      </c>
      <c r="G27" s="313">
        <v>24000</v>
      </c>
      <c r="H27" s="341">
        <v>4300</v>
      </c>
      <c r="I27" s="24"/>
      <c r="K27" s="192"/>
      <c r="L27" s="313">
        <v>1000</v>
      </c>
      <c r="M27" s="64">
        <v>748551</v>
      </c>
      <c r="N27" s="254">
        <v>65</v>
      </c>
      <c r="O27" s="342">
        <v>70</v>
      </c>
      <c r="P27" s="64"/>
      <c r="Q27" s="188">
        <v>43731</v>
      </c>
      <c r="R27" s="306" t="s">
        <v>41</v>
      </c>
      <c r="S27" s="313">
        <v>12000</v>
      </c>
      <c r="T27" s="253">
        <f>5300+2000*0.1</f>
        <v>5500</v>
      </c>
      <c r="U27" s="253">
        <f t="shared" si="1"/>
        <v>14300</v>
      </c>
      <c r="V27" s="346">
        <v>12000</v>
      </c>
      <c r="W27" s="341">
        <f>5300+2000*0.1</f>
        <v>5500</v>
      </c>
      <c r="X27" s="360">
        <v>18000</v>
      </c>
      <c r="Y27" s="341">
        <f>5300+2000*0.1</f>
        <v>5500</v>
      </c>
      <c r="AA27" s="24"/>
      <c r="AB27" s="358" t="s">
        <v>280</v>
      </c>
      <c r="AC27" s="27"/>
      <c r="AD27" s="313">
        <v>1000</v>
      </c>
      <c r="AE27" s="276">
        <v>725497</v>
      </c>
      <c r="AF27" s="254">
        <v>57</v>
      </c>
      <c r="AG27" s="352">
        <v>60</v>
      </c>
      <c r="AH27" s="313">
        <v>1000</v>
      </c>
      <c r="AI27" s="276">
        <v>605724</v>
      </c>
      <c r="AJ27" s="254">
        <v>49</v>
      </c>
      <c r="AK27" s="352">
        <v>60</v>
      </c>
    </row>
    <row r="28" spans="2:37">
      <c r="B28" s="188">
        <v>43701</v>
      </c>
      <c r="C28" s="306" t="s">
        <v>33</v>
      </c>
      <c r="D28" s="313">
        <v>8000</v>
      </c>
      <c r="E28" s="253">
        <v>3700</v>
      </c>
      <c r="F28" s="253">
        <f t="shared" si="0"/>
        <v>9620</v>
      </c>
      <c r="G28" s="313">
        <v>8000</v>
      </c>
      <c r="H28" s="341">
        <v>3700</v>
      </c>
      <c r="I28" s="24"/>
      <c r="K28" s="192"/>
      <c r="L28" s="313">
        <v>0</v>
      </c>
      <c r="M28" s="64">
        <v>748816</v>
      </c>
      <c r="N28" s="254">
        <v>66</v>
      </c>
      <c r="O28" s="342">
        <v>70</v>
      </c>
      <c r="P28" s="64"/>
      <c r="Q28" s="188">
        <v>43732</v>
      </c>
      <c r="R28" s="306" t="s">
        <v>46</v>
      </c>
      <c r="S28" s="313">
        <v>24000</v>
      </c>
      <c r="T28" s="253">
        <f>5200+1000*0.1</f>
        <v>5300</v>
      </c>
      <c r="U28" s="253">
        <f t="shared" si="1"/>
        <v>13780</v>
      </c>
      <c r="V28" s="346">
        <v>24000</v>
      </c>
      <c r="W28" s="341">
        <f>5200+1000*0.1</f>
        <v>5300</v>
      </c>
      <c r="X28" s="313">
        <v>24000</v>
      </c>
      <c r="Y28" s="341">
        <f>5200+1000*0.1</f>
        <v>5300</v>
      </c>
      <c r="AA28" s="24"/>
      <c r="AB28" s="348" t="s">
        <v>280</v>
      </c>
      <c r="AC28" s="27"/>
      <c r="AD28" s="313">
        <v>3000</v>
      </c>
      <c r="AE28" s="276">
        <v>734563</v>
      </c>
      <c r="AF28" s="254">
        <v>57</v>
      </c>
      <c r="AG28" s="352">
        <v>60</v>
      </c>
      <c r="AH28" s="313">
        <v>3000</v>
      </c>
      <c r="AI28" s="276">
        <v>615372</v>
      </c>
      <c r="AJ28" s="254">
        <v>50</v>
      </c>
      <c r="AK28" s="352">
        <v>60</v>
      </c>
    </row>
    <row r="29" spans="2:37">
      <c r="B29" s="190">
        <v>43702</v>
      </c>
      <c r="C29" s="315" t="s">
        <v>37</v>
      </c>
      <c r="D29" s="71">
        <v>0</v>
      </c>
      <c r="E29" s="257">
        <v>4000</v>
      </c>
      <c r="F29" s="257">
        <f t="shared" si="0"/>
        <v>10400</v>
      </c>
      <c r="G29" s="71">
        <v>0</v>
      </c>
      <c r="H29" s="344">
        <v>4000</v>
      </c>
      <c r="I29" s="33"/>
      <c r="J29" s="34"/>
      <c r="K29" s="318"/>
      <c r="L29" s="71">
        <v>0</v>
      </c>
      <c r="M29" s="97">
        <v>739976</v>
      </c>
      <c r="N29" s="258">
        <v>65</v>
      </c>
      <c r="O29" s="345">
        <v>70</v>
      </c>
      <c r="P29" s="64"/>
      <c r="Q29" s="188">
        <v>43733</v>
      </c>
      <c r="R29" s="306" t="s">
        <v>49</v>
      </c>
      <c r="S29" s="313">
        <v>24000</v>
      </c>
      <c r="T29" s="253">
        <f>5000+1000*0.1</f>
        <v>5100</v>
      </c>
      <c r="U29" s="253">
        <f t="shared" si="1"/>
        <v>13260</v>
      </c>
      <c r="V29" s="346">
        <v>24000</v>
      </c>
      <c r="W29" s="341">
        <f>5000+1000*0.1</f>
        <v>5100</v>
      </c>
      <c r="X29" s="313">
        <v>24000</v>
      </c>
      <c r="Y29" s="341">
        <f>5000+1000*0.1</f>
        <v>5100</v>
      </c>
      <c r="AA29" s="24"/>
      <c r="AB29" s="348" t="s">
        <v>280</v>
      </c>
      <c r="AC29" s="27"/>
      <c r="AD29" s="313">
        <v>3000</v>
      </c>
      <c r="AE29" s="276">
        <v>745397</v>
      </c>
      <c r="AF29" s="254">
        <v>58</v>
      </c>
      <c r="AG29" s="352">
        <v>60</v>
      </c>
      <c r="AH29" s="313">
        <v>3000</v>
      </c>
      <c r="AI29" s="276">
        <v>625448</v>
      </c>
      <c r="AJ29" s="254">
        <v>51</v>
      </c>
      <c r="AK29" s="352">
        <v>60</v>
      </c>
    </row>
    <row r="30" spans="2:37">
      <c r="B30" s="188">
        <v>43703</v>
      </c>
      <c r="C30" s="306" t="s">
        <v>41</v>
      </c>
      <c r="D30" s="313">
        <v>18000</v>
      </c>
      <c r="E30" s="272">
        <v>7000</v>
      </c>
      <c r="F30" s="272">
        <f t="shared" si="0"/>
        <v>18200</v>
      </c>
      <c r="G30" s="313">
        <v>18000</v>
      </c>
      <c r="H30" s="341">
        <v>7000</v>
      </c>
      <c r="I30" s="24"/>
      <c r="K30" s="192" t="s">
        <v>281</v>
      </c>
      <c r="L30" s="313">
        <v>1000</v>
      </c>
      <c r="M30" s="64">
        <v>741948</v>
      </c>
      <c r="N30" s="254">
        <v>64</v>
      </c>
      <c r="O30" s="342">
        <v>70</v>
      </c>
      <c r="P30" s="64"/>
      <c r="Q30" s="188">
        <v>43734</v>
      </c>
      <c r="R30" s="306" t="s">
        <v>51</v>
      </c>
      <c r="S30" s="313">
        <v>18000</v>
      </c>
      <c r="T30" s="253">
        <f>4800+8000*0.1</f>
        <v>5600</v>
      </c>
      <c r="U30" s="253">
        <f t="shared" si="1"/>
        <v>14560</v>
      </c>
      <c r="V30" s="346">
        <v>18000</v>
      </c>
      <c r="W30" s="341">
        <f>4800+8000*0.1</f>
        <v>5600</v>
      </c>
      <c r="X30" s="360">
        <v>24000</v>
      </c>
      <c r="Y30" s="341">
        <f>4800+8000*0.1</f>
        <v>5600</v>
      </c>
      <c r="AA30" s="24"/>
      <c r="AB30" s="348" t="s">
        <v>282</v>
      </c>
      <c r="AC30" s="27"/>
      <c r="AD30" s="313">
        <v>3000</v>
      </c>
      <c r="AE30" s="276">
        <v>747579</v>
      </c>
      <c r="AF30" s="254">
        <v>58</v>
      </c>
      <c r="AG30" s="352">
        <v>60</v>
      </c>
      <c r="AH30" s="313">
        <v>3000</v>
      </c>
      <c r="AI30" s="276">
        <v>634452</v>
      </c>
      <c r="AJ30" s="254">
        <v>52</v>
      </c>
      <c r="AK30" s="352">
        <v>60</v>
      </c>
    </row>
    <row r="31" spans="2:37">
      <c r="B31" s="188">
        <v>43704</v>
      </c>
      <c r="C31" s="306" t="s">
        <v>46</v>
      </c>
      <c r="D31" s="313">
        <v>24000</v>
      </c>
      <c r="E31" s="253">
        <f>5200+400</f>
        <v>5600</v>
      </c>
      <c r="F31" s="253">
        <f t="shared" si="0"/>
        <v>14560</v>
      </c>
      <c r="G31" s="313">
        <v>24000</v>
      </c>
      <c r="H31" s="341">
        <f>5200+400</f>
        <v>5600</v>
      </c>
      <c r="I31" s="4" t="s">
        <v>241</v>
      </c>
      <c r="K31" s="192"/>
      <c r="L31" s="313">
        <v>1000</v>
      </c>
      <c r="M31" s="64">
        <v>753235</v>
      </c>
      <c r="N31" s="254">
        <v>64</v>
      </c>
      <c r="O31" s="342">
        <v>70</v>
      </c>
      <c r="P31" s="64"/>
      <c r="Q31" s="188">
        <v>43735</v>
      </c>
      <c r="R31" s="306" t="s">
        <v>29</v>
      </c>
      <c r="S31" s="313">
        <v>24000</v>
      </c>
      <c r="T31" s="253">
        <v>4300</v>
      </c>
      <c r="U31" s="253">
        <f t="shared" si="1"/>
        <v>11180</v>
      </c>
      <c r="V31" s="346">
        <v>24000</v>
      </c>
      <c r="W31" s="341">
        <v>4300</v>
      </c>
      <c r="X31" s="313">
        <v>24000</v>
      </c>
      <c r="Y31" s="341">
        <v>4300</v>
      </c>
      <c r="AA31" s="24"/>
      <c r="AC31" s="27"/>
      <c r="AD31" s="313">
        <v>3000</v>
      </c>
      <c r="AE31" s="64">
        <v>759076</v>
      </c>
      <c r="AF31" s="254">
        <v>60</v>
      </c>
      <c r="AG31" s="352">
        <v>60</v>
      </c>
      <c r="AH31" s="313">
        <v>3000</v>
      </c>
      <c r="AI31" s="64">
        <v>646242</v>
      </c>
      <c r="AJ31" s="254">
        <v>53</v>
      </c>
      <c r="AK31" s="352">
        <v>60</v>
      </c>
    </row>
    <row r="32" spans="2:37">
      <c r="B32" s="188">
        <v>43705</v>
      </c>
      <c r="C32" s="306" t="s">
        <v>49</v>
      </c>
      <c r="D32" s="313">
        <v>24000</v>
      </c>
      <c r="E32" s="253">
        <v>5000</v>
      </c>
      <c r="F32" s="253">
        <f t="shared" si="0"/>
        <v>13000</v>
      </c>
      <c r="G32" s="313">
        <v>24000</v>
      </c>
      <c r="H32" s="341">
        <v>5000</v>
      </c>
      <c r="I32" s="24"/>
      <c r="K32" s="192"/>
      <c r="L32" s="313">
        <v>1000</v>
      </c>
      <c r="M32" s="64">
        <v>761207</v>
      </c>
      <c r="N32" s="254">
        <v>65</v>
      </c>
      <c r="O32" s="342">
        <v>70</v>
      </c>
      <c r="P32" s="64"/>
      <c r="Q32" s="188">
        <v>43736</v>
      </c>
      <c r="R32" s="306" t="s">
        <v>33</v>
      </c>
      <c r="S32" s="313">
        <v>8000</v>
      </c>
      <c r="T32" s="253">
        <v>3700</v>
      </c>
      <c r="U32" s="253">
        <f t="shared" si="1"/>
        <v>9620</v>
      </c>
      <c r="V32" s="346">
        <v>8000</v>
      </c>
      <c r="W32" s="341">
        <v>3700</v>
      </c>
      <c r="X32" s="313">
        <v>8000</v>
      </c>
      <c r="Y32" s="341">
        <v>3700</v>
      </c>
      <c r="AA32" s="24"/>
      <c r="AC32" s="27"/>
      <c r="AD32" s="313">
        <v>0</v>
      </c>
      <c r="AE32" s="64">
        <v>759341</v>
      </c>
      <c r="AF32" s="254">
        <v>61</v>
      </c>
      <c r="AG32" s="352">
        <v>60</v>
      </c>
      <c r="AH32" s="313">
        <v>0</v>
      </c>
      <c r="AI32" s="64">
        <v>646316</v>
      </c>
      <c r="AJ32" s="254">
        <v>54</v>
      </c>
      <c r="AK32" s="352">
        <v>60</v>
      </c>
    </row>
    <row r="33" spans="2:37">
      <c r="B33" s="188">
        <v>43706</v>
      </c>
      <c r="C33" s="306" t="s">
        <v>51</v>
      </c>
      <c r="D33" s="313">
        <v>18000</v>
      </c>
      <c r="E33" s="253">
        <v>4800</v>
      </c>
      <c r="F33" s="253">
        <f t="shared" si="0"/>
        <v>12480</v>
      </c>
      <c r="G33" s="313">
        <v>18000</v>
      </c>
      <c r="H33" s="341">
        <v>4800</v>
      </c>
      <c r="I33" s="24"/>
      <c r="K33" s="192"/>
      <c r="L33" s="313">
        <v>1000</v>
      </c>
      <c r="M33" s="64">
        <v>767157</v>
      </c>
      <c r="N33" s="254">
        <v>66</v>
      </c>
      <c r="O33" s="342">
        <v>70</v>
      </c>
      <c r="Q33" s="190">
        <v>43737</v>
      </c>
      <c r="R33" s="315" t="s">
        <v>37</v>
      </c>
      <c r="S33" s="71">
        <v>0</v>
      </c>
      <c r="T33" s="257">
        <v>4000</v>
      </c>
      <c r="U33" s="257">
        <f t="shared" si="1"/>
        <v>10400</v>
      </c>
      <c r="V33" s="343">
        <v>0</v>
      </c>
      <c r="W33" s="344">
        <v>4000</v>
      </c>
      <c r="X33" s="71">
        <v>0</v>
      </c>
      <c r="Y33" s="344">
        <v>4000</v>
      </c>
      <c r="Z33" s="34"/>
      <c r="AA33" s="33"/>
      <c r="AB33" s="34"/>
      <c r="AC33" s="87"/>
      <c r="AD33" s="320">
        <v>0</v>
      </c>
      <c r="AE33" s="97">
        <v>750501</v>
      </c>
      <c r="AF33" s="258">
        <v>60</v>
      </c>
      <c r="AG33" s="357">
        <v>60</v>
      </c>
      <c r="AH33" s="320">
        <v>0</v>
      </c>
      <c r="AI33" s="97">
        <v>637748</v>
      </c>
      <c r="AJ33" s="258">
        <v>53</v>
      </c>
      <c r="AK33" s="357">
        <v>60</v>
      </c>
    </row>
    <row r="34" spans="2:37">
      <c r="B34" s="188">
        <v>43707</v>
      </c>
      <c r="C34" s="306" t="s">
        <v>29</v>
      </c>
      <c r="D34" s="313">
        <v>24000</v>
      </c>
      <c r="E34" s="253">
        <v>4300</v>
      </c>
      <c r="F34" s="253">
        <f t="shared" si="0"/>
        <v>11180</v>
      </c>
      <c r="G34" s="313">
        <v>24000</v>
      </c>
      <c r="H34" s="341">
        <v>4300</v>
      </c>
      <c r="I34" s="24"/>
      <c r="K34" s="192"/>
      <c r="L34" s="313">
        <v>1000</v>
      </c>
      <c r="M34" s="64">
        <v>780654</v>
      </c>
      <c r="N34" s="254">
        <v>68</v>
      </c>
      <c r="O34" s="342">
        <v>70</v>
      </c>
      <c r="P34" s="64"/>
      <c r="Q34" s="190">
        <v>43738</v>
      </c>
      <c r="R34" s="315" t="s">
        <v>41</v>
      </c>
      <c r="S34" s="71">
        <v>0</v>
      </c>
      <c r="T34" s="361">
        <f>5300+3000</f>
        <v>8300</v>
      </c>
      <c r="U34" s="361">
        <f t="shared" si="1"/>
        <v>21580</v>
      </c>
      <c r="V34" s="343">
        <v>0</v>
      </c>
      <c r="W34" s="362">
        <f>5300+3000</f>
        <v>8300</v>
      </c>
      <c r="X34" s="363">
        <v>13000</v>
      </c>
      <c r="Y34" s="362">
        <f>5300+3000</f>
        <v>8300</v>
      </c>
      <c r="Z34" s="34"/>
      <c r="AA34" s="33"/>
      <c r="AB34" s="200" t="s">
        <v>283</v>
      </c>
      <c r="AC34" s="87"/>
      <c r="AD34" s="320">
        <v>0</v>
      </c>
      <c r="AE34" s="97">
        <v>732821</v>
      </c>
      <c r="AF34" s="258">
        <v>57</v>
      </c>
      <c r="AG34" s="357">
        <v>60</v>
      </c>
      <c r="AH34" s="320">
        <v>0</v>
      </c>
      <c r="AI34" s="97">
        <v>632170</v>
      </c>
      <c r="AJ34" s="258">
        <v>51</v>
      </c>
      <c r="AK34" s="357">
        <v>60</v>
      </c>
    </row>
    <row r="35" spans="2:37">
      <c r="B35" s="190">
        <v>43708</v>
      </c>
      <c r="C35" s="315" t="s">
        <v>33</v>
      </c>
      <c r="D35" s="320">
        <v>8000</v>
      </c>
      <c r="E35" s="257">
        <v>3700</v>
      </c>
      <c r="F35" s="257">
        <f t="shared" si="0"/>
        <v>9620</v>
      </c>
      <c r="G35" s="320">
        <v>8000</v>
      </c>
      <c r="H35" s="344">
        <v>3700</v>
      </c>
      <c r="I35" s="33"/>
      <c r="J35" s="34"/>
      <c r="K35" s="318"/>
      <c r="L35" s="320">
        <v>0</v>
      </c>
      <c r="M35" s="97">
        <v>780919</v>
      </c>
      <c r="N35" s="258">
        <v>69</v>
      </c>
      <c r="O35" s="345">
        <v>70</v>
      </c>
      <c r="Q35" s="112" t="s">
        <v>284</v>
      </c>
      <c r="S35" s="23"/>
      <c r="V35" s="364">
        <f>AVERAGE(V5:V34)</f>
        <v>12100</v>
      </c>
      <c r="X35" s="364">
        <f t="shared" ref="X35:Y35" si="2">AVERAGE(X5:X34)</f>
        <v>12933.333333333334</v>
      </c>
      <c r="Y35" s="364">
        <f t="shared" si="2"/>
        <v>5770</v>
      </c>
      <c r="AH35" s="364">
        <f>AVERAGE(AH5:AH34)</f>
        <v>900</v>
      </c>
    </row>
    <row r="36" spans="2:37">
      <c r="D36" s="23">
        <f t="shared" ref="D36:F36" si="3">AVERAGE(D5:D35)</f>
        <v>14322.58064516129</v>
      </c>
      <c r="E36" s="23">
        <f t="shared" si="3"/>
        <v>5187.0967741935483</v>
      </c>
      <c r="F36" s="23">
        <f t="shared" si="3"/>
        <v>13486.451612903225</v>
      </c>
      <c r="L36" s="23">
        <f>AVERAGE(L5:L35)</f>
        <v>1096.7741935483871</v>
      </c>
      <c r="Q36" s="112" t="s">
        <v>285</v>
      </c>
      <c r="V36" s="364">
        <f>SUM(V5:V34)</f>
        <v>363000</v>
      </c>
      <c r="X36" s="364">
        <f t="shared" ref="X36:Y36" si="4">SUM(X5:X34)</f>
        <v>388000</v>
      </c>
      <c r="Y36" s="364">
        <f t="shared" si="4"/>
        <v>173100</v>
      </c>
      <c r="AH36" s="364">
        <f>SUM(AH5:AH34)</f>
        <v>27000</v>
      </c>
    </row>
    <row r="37" spans="2:37">
      <c r="D37" s="23">
        <f t="shared" ref="D37:E37" si="5">SUM(D5:D35)</f>
        <v>444000</v>
      </c>
      <c r="E37" s="23">
        <f t="shared" si="5"/>
        <v>160800</v>
      </c>
      <c r="F37">
        <f>D37/E37</f>
        <v>2.7611940298507465</v>
      </c>
      <c r="Q37" s="112" t="s">
        <v>286</v>
      </c>
      <c r="V37" s="365">
        <f>V36/Y36</f>
        <v>2.0970537261698441</v>
      </c>
      <c r="X37" s="365">
        <f>X36/Y36</f>
        <v>2.2414789139225881</v>
      </c>
      <c r="Y37" s="366"/>
      <c r="AC37" s="112" t="s">
        <v>287</v>
      </c>
      <c r="AH37" s="367">
        <f>AH36/X36</f>
        <v>6.9587628865979384E-2</v>
      </c>
    </row>
    <row r="38" spans="2:37">
      <c r="Q38" s="273"/>
    </row>
    <row r="48" spans="2:37" ht="15.75" customHeight="1">
      <c r="B48" s="220" t="s">
        <v>254</v>
      </c>
      <c r="D48" s="222" t="s">
        <v>165</v>
      </c>
      <c r="E48" s="222">
        <v>5180</v>
      </c>
      <c r="F48" s="222"/>
      <c r="G48" s="23"/>
      <c r="H48" s="23"/>
      <c r="I48" s="23"/>
      <c r="L48" s="4"/>
      <c r="M48" s="112" t="s">
        <v>168</v>
      </c>
      <c r="N48" s="112"/>
      <c r="O48" s="112"/>
      <c r="P48" s="112"/>
      <c r="S48" s="112"/>
    </row>
    <row r="49" spans="2:29" ht="15.75" customHeight="1">
      <c r="B49" s="844"/>
      <c r="C49" s="822"/>
      <c r="D49" s="844" t="s">
        <v>11</v>
      </c>
      <c r="E49" s="822"/>
      <c r="F49" s="330"/>
      <c r="G49" s="368"/>
      <c r="H49" s="368"/>
      <c r="I49" s="845" t="s">
        <v>129</v>
      </c>
      <c r="J49" s="820"/>
      <c r="K49" s="822"/>
      <c r="L49" s="234" t="s">
        <v>177</v>
      </c>
      <c r="M49" s="236" t="s">
        <v>178</v>
      </c>
      <c r="N49" s="237" t="s">
        <v>179</v>
      </c>
      <c r="O49" s="238" t="s">
        <v>180</v>
      </c>
    </row>
    <row r="50" spans="2:29">
      <c r="B50" s="789" t="s">
        <v>10</v>
      </c>
      <c r="C50" s="796"/>
      <c r="D50" s="296" t="s">
        <v>63</v>
      </c>
      <c r="E50" s="297" t="s">
        <v>18</v>
      </c>
      <c r="F50" s="339"/>
      <c r="G50" s="298"/>
      <c r="H50" s="298"/>
      <c r="I50" s="300" t="s">
        <v>130</v>
      </c>
      <c r="J50" s="299" t="s">
        <v>186</v>
      </c>
      <c r="K50" s="297" t="s">
        <v>132</v>
      </c>
      <c r="M50" s="4">
        <v>700000</v>
      </c>
      <c r="S50" s="112" t="s">
        <v>288</v>
      </c>
    </row>
    <row r="51" spans="2:29" ht="14">
      <c r="B51" s="188">
        <v>43678</v>
      </c>
      <c r="C51" s="306" t="s">
        <v>51</v>
      </c>
      <c r="D51" s="310" t="e">
        <f t="shared" ref="D51:D81" ca="1" si="6">_xludf.ifs(P51="extra high",$T$54,P51="high",$T$55,P51="medium",$T$56,P51="low",$T$57,P51="stop",$T$58)</f>
        <v>#NAME?</v>
      </c>
      <c r="E51" s="253">
        <f>'AugSept S&amp;OP'!E5</f>
        <v>6800</v>
      </c>
      <c r="F51" s="307"/>
      <c r="I51" s="24"/>
      <c r="J51" s="4" t="s">
        <v>261</v>
      </c>
      <c r="K51" s="27"/>
      <c r="L51" s="28">
        <f t="shared" ref="L51:L52" si="7">$AB$62</f>
        <v>1000</v>
      </c>
      <c r="M51" s="253" t="e">
        <f t="shared" ref="M51:M81" ca="1" si="8">M50+D51-E51*$T$51-L51</f>
        <v>#NAME?</v>
      </c>
      <c r="N51" s="24"/>
      <c r="O51" s="253"/>
      <c r="S51" s="4" t="s">
        <v>198</v>
      </c>
      <c r="T51" s="4">
        <v>2.6</v>
      </c>
    </row>
    <row r="52" spans="2:29" ht="14">
      <c r="B52" s="188">
        <v>43679</v>
      </c>
      <c r="C52" s="306" t="s">
        <v>29</v>
      </c>
      <c r="D52" s="310" t="e">
        <f t="shared" ca="1" si="6"/>
        <v>#NAME?</v>
      </c>
      <c r="E52" s="253">
        <f>'AugSept S&amp;OP'!E6</f>
        <v>4300</v>
      </c>
      <c r="F52" s="307"/>
      <c r="I52" s="24"/>
      <c r="K52" s="27"/>
      <c r="L52" s="28">
        <f t="shared" si="7"/>
        <v>1000</v>
      </c>
      <c r="M52" s="253" t="e">
        <f t="shared" ca="1" si="8"/>
        <v>#NAME?</v>
      </c>
      <c r="N52" s="24"/>
      <c r="O52" s="253"/>
      <c r="S52" s="4" t="s">
        <v>289</v>
      </c>
      <c r="T52" s="4">
        <v>31</v>
      </c>
    </row>
    <row r="53" spans="2:29" ht="14">
      <c r="B53" s="188">
        <v>43680</v>
      </c>
      <c r="C53" s="306" t="s">
        <v>33</v>
      </c>
      <c r="D53" s="310" t="e">
        <f t="shared" ca="1" si="6"/>
        <v>#NAME?</v>
      </c>
      <c r="E53" s="253">
        <f>'AugSept S&amp;OP'!E7</f>
        <v>3700</v>
      </c>
      <c r="F53" s="307"/>
      <c r="I53" s="24"/>
      <c r="K53" s="27"/>
      <c r="L53" s="28">
        <f>$AB$62/2</f>
        <v>500</v>
      </c>
      <c r="M53" s="253" t="e">
        <f t="shared" ca="1" si="8"/>
        <v>#NAME?</v>
      </c>
      <c r="N53" s="24"/>
      <c r="O53" s="253"/>
      <c r="S53" s="4" t="s">
        <v>290</v>
      </c>
      <c r="T53" s="23"/>
    </row>
    <row r="54" spans="2:29" ht="14">
      <c r="B54" s="190">
        <v>43681</v>
      </c>
      <c r="C54" s="315" t="s">
        <v>37</v>
      </c>
      <c r="D54" s="310" t="e">
        <f t="shared" ca="1" si="6"/>
        <v>#NAME?</v>
      </c>
      <c r="E54" s="257">
        <f>'AugSept S&amp;OP'!E8</f>
        <v>4000</v>
      </c>
      <c r="F54" s="316"/>
      <c r="G54" s="34"/>
      <c r="H54" s="34"/>
      <c r="I54" s="33"/>
      <c r="J54" s="34"/>
      <c r="K54" s="87"/>
      <c r="L54" s="33"/>
      <c r="M54" s="253" t="e">
        <f t="shared" ca="1" si="8"/>
        <v>#NAME?</v>
      </c>
      <c r="N54" s="33"/>
      <c r="O54" s="257"/>
      <c r="S54" s="4" t="s">
        <v>291</v>
      </c>
      <c r="T54" s="64">
        <v>23000</v>
      </c>
    </row>
    <row r="55" spans="2:29" ht="14">
      <c r="B55" s="188">
        <v>43682</v>
      </c>
      <c r="C55" s="306" t="s">
        <v>41</v>
      </c>
      <c r="D55" s="310" t="e">
        <f t="shared" ca="1" si="6"/>
        <v>#NAME?</v>
      </c>
      <c r="E55" s="253">
        <f>'AugSept S&amp;OP'!E9</f>
        <v>5300</v>
      </c>
      <c r="F55" s="307"/>
      <c r="I55" s="24"/>
      <c r="K55" s="192" t="s">
        <v>244</v>
      </c>
      <c r="L55" s="28">
        <f t="shared" ref="L55:L59" si="9">$AB$62</f>
        <v>1000</v>
      </c>
      <c r="M55" s="253" t="e">
        <f t="shared" ca="1" si="8"/>
        <v>#NAME?</v>
      </c>
      <c r="N55" s="24"/>
      <c r="O55" s="253"/>
      <c r="S55" s="4" t="s">
        <v>292</v>
      </c>
      <c r="T55" s="64">
        <v>20000</v>
      </c>
    </row>
    <row r="56" spans="2:29" ht="14">
      <c r="B56" s="188">
        <v>43683</v>
      </c>
      <c r="C56" s="306" t="s">
        <v>46</v>
      </c>
      <c r="D56" s="310" t="e">
        <f t="shared" ca="1" si="6"/>
        <v>#NAME?</v>
      </c>
      <c r="E56" s="253">
        <f>'AugSept S&amp;OP'!E10</f>
        <v>5600</v>
      </c>
      <c r="F56" s="307"/>
      <c r="I56" s="24"/>
      <c r="K56" s="192" t="s">
        <v>244</v>
      </c>
      <c r="L56" s="28">
        <f t="shared" si="9"/>
        <v>1000</v>
      </c>
      <c r="M56" s="253" t="e">
        <f t="shared" ca="1" si="8"/>
        <v>#NAME?</v>
      </c>
      <c r="N56" s="24"/>
      <c r="O56" s="253"/>
      <c r="S56" s="4" t="s">
        <v>293</v>
      </c>
      <c r="T56" s="64">
        <v>18000</v>
      </c>
    </row>
    <row r="57" spans="2:29" ht="14">
      <c r="B57" s="188">
        <v>43684</v>
      </c>
      <c r="C57" s="306" t="s">
        <v>49</v>
      </c>
      <c r="D57" s="310" t="e">
        <f t="shared" ca="1" si="6"/>
        <v>#NAME?</v>
      </c>
      <c r="E57" s="253">
        <f>'AugSept S&amp;OP'!E11</f>
        <v>5000</v>
      </c>
      <c r="F57" s="307"/>
      <c r="I57" s="24"/>
      <c r="K57" s="192" t="s">
        <v>244</v>
      </c>
      <c r="L57" s="28">
        <f t="shared" si="9"/>
        <v>1000</v>
      </c>
      <c r="M57" s="253" t="e">
        <f t="shared" ca="1" si="8"/>
        <v>#NAME?</v>
      </c>
      <c r="N57" s="24"/>
      <c r="O57" s="253"/>
      <c r="S57" s="4" t="s">
        <v>294</v>
      </c>
      <c r="T57" s="64">
        <v>8000</v>
      </c>
    </row>
    <row r="58" spans="2:29" ht="14">
      <c r="B58" s="188">
        <v>43685</v>
      </c>
      <c r="C58" s="306" t="s">
        <v>51</v>
      </c>
      <c r="D58" s="310" t="e">
        <f t="shared" ca="1" si="6"/>
        <v>#NAME?</v>
      </c>
      <c r="E58" s="253">
        <f>'AugSept S&amp;OP'!E12</f>
        <v>5500</v>
      </c>
      <c r="F58" s="307"/>
      <c r="I58" s="24"/>
      <c r="K58" s="192" t="s">
        <v>268</v>
      </c>
      <c r="L58" s="28">
        <f t="shared" si="9"/>
        <v>1000</v>
      </c>
      <c r="M58" s="253" t="e">
        <f t="shared" ca="1" si="8"/>
        <v>#NAME?</v>
      </c>
      <c r="N58" s="24"/>
      <c r="O58" s="253"/>
      <c r="S58" s="4" t="s">
        <v>295</v>
      </c>
      <c r="T58" s="4">
        <v>0</v>
      </c>
    </row>
    <row r="59" spans="2:29" ht="14">
      <c r="B59" s="188">
        <v>43686</v>
      </c>
      <c r="C59" s="306" t="s">
        <v>29</v>
      </c>
      <c r="D59" s="310" t="e">
        <f t="shared" ca="1" si="6"/>
        <v>#NAME?</v>
      </c>
      <c r="E59" s="253">
        <f>'AugSept S&amp;OP'!E13</f>
        <v>4300</v>
      </c>
      <c r="F59" s="307"/>
      <c r="I59" s="24"/>
      <c r="K59" s="27"/>
      <c r="L59" s="28">
        <f t="shared" si="9"/>
        <v>1000</v>
      </c>
      <c r="M59" s="253" t="e">
        <f t="shared" ca="1" si="8"/>
        <v>#NAME?</v>
      </c>
      <c r="N59" s="24"/>
      <c r="O59" s="253"/>
      <c r="S59" s="112" t="s">
        <v>296</v>
      </c>
      <c r="T59" s="4" t="s">
        <v>297</v>
      </c>
      <c r="U59" s="4"/>
      <c r="V59" s="4"/>
      <c r="W59" s="4"/>
      <c r="X59" s="4"/>
      <c r="Y59" s="4"/>
      <c r="Z59" s="4"/>
      <c r="AA59" s="4" t="s">
        <v>250</v>
      </c>
      <c r="AC59" s="4" t="s">
        <v>289</v>
      </c>
    </row>
    <row r="60" spans="2:29" ht="14">
      <c r="B60" s="188">
        <v>43687</v>
      </c>
      <c r="C60" s="306" t="s">
        <v>33</v>
      </c>
      <c r="D60" s="310" t="e">
        <f t="shared" ca="1" si="6"/>
        <v>#NAME?</v>
      </c>
      <c r="E60" s="253">
        <f>'AugSept S&amp;OP'!E14</f>
        <v>3700</v>
      </c>
      <c r="F60" s="307"/>
      <c r="I60" s="24"/>
      <c r="K60" s="27"/>
      <c r="L60" s="28">
        <f>$AB$62/2</f>
        <v>500</v>
      </c>
      <c r="M60" s="253" t="e">
        <f t="shared" ca="1" si="8"/>
        <v>#NAME?</v>
      </c>
      <c r="N60" s="24"/>
      <c r="O60" s="253"/>
      <c r="S60" s="4" t="s">
        <v>298</v>
      </c>
      <c r="T60" s="23" t="e">
        <f ca="1">AA60/T52</f>
        <v>#NAME?</v>
      </c>
      <c r="U60" s="23"/>
      <c r="V60" s="23"/>
      <c r="W60" s="23"/>
      <c r="X60" s="23"/>
      <c r="Y60" s="23"/>
      <c r="Z60" s="23"/>
      <c r="AA60" s="23" t="e">
        <f ca="1">SUM(D51:D81)</f>
        <v>#NAME?</v>
      </c>
    </row>
    <row r="61" spans="2:29" ht="14">
      <c r="B61" s="190">
        <v>43688</v>
      </c>
      <c r="C61" s="315" t="s">
        <v>37</v>
      </c>
      <c r="D61" s="310" t="e">
        <f t="shared" ca="1" si="6"/>
        <v>#NAME?</v>
      </c>
      <c r="E61" s="257">
        <f>'AugSept S&amp;OP'!E15</f>
        <v>4000</v>
      </c>
      <c r="F61" s="316"/>
      <c r="G61" s="34"/>
      <c r="H61" s="34"/>
      <c r="I61" s="33"/>
      <c r="J61" s="34"/>
      <c r="K61" s="87"/>
      <c r="L61" s="33"/>
      <c r="M61" s="253" t="e">
        <f t="shared" ca="1" si="8"/>
        <v>#NAME?</v>
      </c>
      <c r="N61" s="33"/>
      <c r="O61" s="257"/>
      <c r="S61" s="4" t="s">
        <v>259</v>
      </c>
      <c r="T61" s="23">
        <f>AA61/T52</f>
        <v>13486.451612903225</v>
      </c>
      <c r="U61" s="23"/>
      <c r="V61" s="23"/>
      <c r="W61" s="23"/>
      <c r="X61" s="23"/>
      <c r="Y61" s="23"/>
      <c r="Z61" s="23"/>
      <c r="AA61" s="23">
        <f>AB65*T51</f>
        <v>418080</v>
      </c>
    </row>
    <row r="62" spans="2:29" ht="14">
      <c r="B62" s="188">
        <v>43689</v>
      </c>
      <c r="C62" s="306" t="s">
        <v>41</v>
      </c>
      <c r="D62" s="310" t="e">
        <f t="shared" ca="1" si="6"/>
        <v>#NAME?</v>
      </c>
      <c r="E62" s="253">
        <f>'AugSept S&amp;OP'!E16</f>
        <v>6600</v>
      </c>
      <c r="F62" s="307"/>
      <c r="I62" s="24"/>
      <c r="J62" s="4" t="s">
        <v>270</v>
      </c>
      <c r="K62" s="27"/>
      <c r="L62" s="28">
        <f t="shared" ref="L62:L66" si="10">$AB$62</f>
        <v>1000</v>
      </c>
      <c r="M62" s="253" t="e">
        <f t="shared" ca="1" si="8"/>
        <v>#NAME?</v>
      </c>
      <c r="N62" s="24"/>
      <c r="O62" s="253"/>
      <c r="S62" s="4" t="s">
        <v>177</v>
      </c>
      <c r="T62" s="23">
        <f>AA62/T52</f>
        <v>790.32258064516134</v>
      </c>
      <c r="U62" s="23"/>
      <c r="V62" s="23"/>
      <c r="W62" s="23"/>
      <c r="X62" s="23"/>
      <c r="Y62" s="23"/>
      <c r="Z62" s="23"/>
      <c r="AA62" s="23">
        <f>SUM(L51:L81)</f>
        <v>24500</v>
      </c>
      <c r="AB62" s="4">
        <v>1000</v>
      </c>
    </row>
    <row r="63" spans="2:29" ht="14">
      <c r="B63" s="188">
        <v>43690</v>
      </c>
      <c r="C63" s="306" t="s">
        <v>46</v>
      </c>
      <c r="D63" s="310" t="e">
        <f t="shared" ca="1" si="6"/>
        <v>#NAME?</v>
      </c>
      <c r="E63" s="253">
        <f>'AugSept S&amp;OP'!E17</f>
        <v>7900</v>
      </c>
      <c r="F63" s="307"/>
      <c r="G63" s="4"/>
      <c r="H63" s="4"/>
      <c r="I63" s="4" t="s">
        <v>134</v>
      </c>
      <c r="J63" s="4" t="s">
        <v>271</v>
      </c>
      <c r="K63" s="27"/>
      <c r="L63" s="28">
        <f t="shared" si="10"/>
        <v>1000</v>
      </c>
      <c r="M63" s="253" t="e">
        <f t="shared" ca="1" si="8"/>
        <v>#NAME?</v>
      </c>
      <c r="N63" s="24"/>
      <c r="O63" s="253"/>
      <c r="S63" s="112" t="s">
        <v>250</v>
      </c>
      <c r="T63" s="114" t="e">
        <f ca="1">T60-T61-T62</f>
        <v>#NAME?</v>
      </c>
      <c r="U63" s="114"/>
      <c r="V63" s="114"/>
      <c r="W63" s="114"/>
      <c r="X63" s="114"/>
      <c r="Y63" s="114"/>
      <c r="Z63" s="114"/>
      <c r="AA63" s="114" t="e">
        <f ca="1">T63*T52</f>
        <v>#NAME?</v>
      </c>
    </row>
    <row r="64" spans="2:29" ht="14">
      <c r="B64" s="188">
        <v>43691</v>
      </c>
      <c r="C64" s="306" t="s">
        <v>49</v>
      </c>
      <c r="D64" s="310" t="e">
        <f t="shared" ca="1" si="6"/>
        <v>#NAME?</v>
      </c>
      <c r="E64" s="253">
        <f>'AugSept S&amp;OP'!E18</f>
        <v>6000</v>
      </c>
      <c r="F64" s="307"/>
      <c r="G64" s="4"/>
      <c r="H64" s="4"/>
      <c r="I64" s="4" t="s">
        <v>134</v>
      </c>
      <c r="K64" s="27"/>
      <c r="L64" s="28">
        <f t="shared" si="10"/>
        <v>1000</v>
      </c>
      <c r="M64" s="253" t="e">
        <f t="shared" ca="1" si="8"/>
        <v>#NAME?</v>
      </c>
      <c r="N64" s="24"/>
      <c r="O64" s="253"/>
    </row>
    <row r="65" spans="2:28" ht="14">
      <c r="B65" s="188">
        <v>43692</v>
      </c>
      <c r="C65" s="306" t="s">
        <v>51</v>
      </c>
      <c r="D65" s="310" t="e">
        <f t="shared" ca="1" si="6"/>
        <v>#NAME?</v>
      </c>
      <c r="E65" s="253">
        <f>'AugSept S&amp;OP'!E19</f>
        <v>5800</v>
      </c>
      <c r="F65" s="307"/>
      <c r="G65" s="4"/>
      <c r="H65" s="4"/>
      <c r="I65" s="4" t="s">
        <v>134</v>
      </c>
      <c r="K65" s="27"/>
      <c r="L65" s="28">
        <f t="shared" si="10"/>
        <v>1000</v>
      </c>
      <c r="M65" s="253" t="e">
        <f t="shared" ca="1" si="8"/>
        <v>#NAME?</v>
      </c>
      <c r="N65" s="24"/>
      <c r="O65" s="253"/>
      <c r="S65" s="4" t="s">
        <v>299</v>
      </c>
      <c r="T65" s="23">
        <f>AB65/T52</f>
        <v>5187.0967741935483</v>
      </c>
      <c r="AB65" s="23">
        <f>SUM(E51:E81)</f>
        <v>160800</v>
      </c>
    </row>
    <row r="66" spans="2:28" ht="14">
      <c r="B66" s="188">
        <v>43693</v>
      </c>
      <c r="C66" s="306" t="s">
        <v>29</v>
      </c>
      <c r="D66" s="310" t="e">
        <f t="shared" ca="1" si="6"/>
        <v>#NAME?</v>
      </c>
      <c r="E66" s="253">
        <f>'AugSept S&amp;OP'!E20</f>
        <v>9000</v>
      </c>
      <c r="F66" s="307"/>
      <c r="G66" s="4"/>
      <c r="H66" s="4"/>
      <c r="I66" s="4" t="s">
        <v>135</v>
      </c>
      <c r="K66" s="27"/>
      <c r="L66" s="28">
        <f t="shared" si="10"/>
        <v>1000</v>
      </c>
      <c r="M66" s="253" t="e">
        <f t="shared" ca="1" si="8"/>
        <v>#NAME?</v>
      </c>
      <c r="N66" s="24"/>
      <c r="O66" s="253"/>
    </row>
    <row r="67" spans="2:28" ht="14">
      <c r="B67" s="188">
        <v>43694</v>
      </c>
      <c r="C67" s="306" t="s">
        <v>33</v>
      </c>
      <c r="D67" s="310" t="e">
        <f t="shared" ca="1" si="6"/>
        <v>#NAME?</v>
      </c>
      <c r="E67" s="253">
        <f>'AugSept S&amp;OP'!E21</f>
        <v>3700</v>
      </c>
      <c r="F67" s="307"/>
      <c r="I67" s="24"/>
      <c r="K67" s="27"/>
      <c r="L67" s="28">
        <f>$AB$62/2</f>
        <v>500</v>
      </c>
      <c r="M67" s="253" t="e">
        <f t="shared" ca="1" si="8"/>
        <v>#NAME?</v>
      </c>
      <c r="N67" s="24"/>
      <c r="O67" s="253"/>
    </row>
    <row r="68" spans="2:28" ht="14">
      <c r="B68" s="190">
        <v>43695</v>
      </c>
      <c r="C68" s="315" t="s">
        <v>37</v>
      </c>
      <c r="D68" s="310" t="e">
        <f t="shared" ca="1" si="6"/>
        <v>#NAME?</v>
      </c>
      <c r="E68" s="257">
        <f>'AugSept S&amp;OP'!E22</f>
        <v>4000</v>
      </c>
      <c r="F68" s="316"/>
      <c r="G68" s="34"/>
      <c r="H68" s="34"/>
      <c r="I68" s="33"/>
      <c r="J68" s="34"/>
      <c r="K68" s="87"/>
      <c r="L68" s="33"/>
      <c r="M68" s="253" t="e">
        <f t="shared" ca="1" si="8"/>
        <v>#NAME?</v>
      </c>
      <c r="N68" s="33"/>
      <c r="O68" s="257"/>
    </row>
    <row r="69" spans="2:28" ht="14">
      <c r="B69" s="188">
        <v>43696</v>
      </c>
      <c r="C69" s="306" t="s">
        <v>41</v>
      </c>
      <c r="D69" s="310" t="e">
        <f t="shared" ca="1" si="6"/>
        <v>#NAME?</v>
      </c>
      <c r="E69" s="253">
        <f>'AugSept S&amp;OP'!E23</f>
        <v>5300</v>
      </c>
      <c r="F69" s="307"/>
      <c r="I69" s="24"/>
      <c r="J69" s="4" t="s">
        <v>275</v>
      </c>
      <c r="K69" s="27"/>
      <c r="L69" s="28">
        <f t="shared" ref="L69:L73" si="11">$AB$62</f>
        <v>1000</v>
      </c>
      <c r="M69" s="253" t="e">
        <f t="shared" ca="1" si="8"/>
        <v>#NAME?</v>
      </c>
      <c r="N69" s="24"/>
      <c r="O69" s="253"/>
    </row>
    <row r="70" spans="2:28" ht="14">
      <c r="B70" s="188">
        <v>43697</v>
      </c>
      <c r="C70" s="306" t="s">
        <v>46</v>
      </c>
      <c r="D70" s="310" t="e">
        <f t="shared" ca="1" si="6"/>
        <v>#NAME?</v>
      </c>
      <c r="E70" s="253">
        <f>'AugSept S&amp;OP'!E24</f>
        <v>5600</v>
      </c>
      <c r="F70" s="307"/>
      <c r="I70" s="24"/>
      <c r="J70" s="4" t="s">
        <v>275</v>
      </c>
      <c r="K70" s="27"/>
      <c r="L70" s="28">
        <f t="shared" si="11"/>
        <v>1000</v>
      </c>
      <c r="M70" s="253" t="e">
        <f t="shared" ca="1" si="8"/>
        <v>#NAME?</v>
      </c>
      <c r="N70" s="24"/>
      <c r="O70" s="253"/>
    </row>
    <row r="71" spans="2:28" ht="14">
      <c r="B71" s="188">
        <v>43698</v>
      </c>
      <c r="C71" s="306" t="s">
        <v>49</v>
      </c>
      <c r="D71" s="310" t="e">
        <f t="shared" ca="1" si="6"/>
        <v>#NAME?</v>
      </c>
      <c r="E71" s="253">
        <f>'AugSept S&amp;OP'!E25</f>
        <v>7500</v>
      </c>
      <c r="F71" s="307"/>
      <c r="I71" s="24"/>
      <c r="K71" s="192" t="s">
        <v>278</v>
      </c>
      <c r="L71" s="28">
        <f t="shared" si="11"/>
        <v>1000</v>
      </c>
      <c r="M71" s="253" t="e">
        <f t="shared" ca="1" si="8"/>
        <v>#NAME?</v>
      </c>
      <c r="N71" s="24"/>
      <c r="O71" s="253"/>
    </row>
    <row r="72" spans="2:28" ht="14">
      <c r="B72" s="188">
        <v>43699</v>
      </c>
      <c r="C72" s="306" t="s">
        <v>51</v>
      </c>
      <c r="D72" s="310" t="e">
        <f t="shared" ca="1" si="6"/>
        <v>#NAME?</v>
      </c>
      <c r="E72" s="253">
        <f>'AugSept S&amp;OP'!E26</f>
        <v>4800</v>
      </c>
      <c r="F72" s="307"/>
      <c r="I72" s="24"/>
      <c r="K72" s="192"/>
      <c r="L72" s="28">
        <f t="shared" si="11"/>
        <v>1000</v>
      </c>
      <c r="M72" s="253" t="e">
        <f t="shared" ca="1" si="8"/>
        <v>#NAME?</v>
      </c>
      <c r="N72" s="24"/>
      <c r="O72" s="253"/>
    </row>
    <row r="73" spans="2:28" ht="14">
      <c r="B73" s="188">
        <v>43700</v>
      </c>
      <c r="C73" s="306" t="s">
        <v>29</v>
      </c>
      <c r="D73" s="310" t="e">
        <f t="shared" ca="1" si="6"/>
        <v>#NAME?</v>
      </c>
      <c r="E73" s="253">
        <f>'AugSept S&amp;OP'!E27</f>
        <v>4300</v>
      </c>
      <c r="F73" s="307"/>
      <c r="I73" s="24"/>
      <c r="K73" s="192"/>
      <c r="L73" s="28">
        <f t="shared" si="11"/>
        <v>1000</v>
      </c>
      <c r="M73" s="253" t="e">
        <f t="shared" ca="1" si="8"/>
        <v>#NAME?</v>
      </c>
      <c r="N73" s="24"/>
      <c r="O73" s="253"/>
    </row>
    <row r="74" spans="2:28" ht="14">
      <c r="B74" s="188">
        <v>43701</v>
      </c>
      <c r="C74" s="306" t="s">
        <v>33</v>
      </c>
      <c r="D74" s="310" t="e">
        <f t="shared" ca="1" si="6"/>
        <v>#NAME?</v>
      </c>
      <c r="E74" s="253">
        <f>'AugSept S&amp;OP'!E28</f>
        <v>3700</v>
      </c>
      <c r="F74" s="307"/>
      <c r="I74" s="24"/>
      <c r="K74" s="192"/>
      <c r="L74" s="28">
        <f>$AB$62/2</f>
        <v>500</v>
      </c>
      <c r="M74" s="253" t="e">
        <f t="shared" ca="1" si="8"/>
        <v>#NAME?</v>
      </c>
      <c r="N74" s="24"/>
      <c r="O74" s="253"/>
    </row>
    <row r="75" spans="2:28" ht="14">
      <c r="B75" s="190">
        <v>43702</v>
      </c>
      <c r="C75" s="315" t="s">
        <v>37</v>
      </c>
      <c r="D75" s="310" t="e">
        <f t="shared" ca="1" si="6"/>
        <v>#NAME?</v>
      </c>
      <c r="E75" s="257">
        <f>'AugSept S&amp;OP'!E29</f>
        <v>4000</v>
      </c>
      <c r="F75" s="316"/>
      <c r="G75" s="34"/>
      <c r="H75" s="34"/>
      <c r="I75" s="33"/>
      <c r="J75" s="34"/>
      <c r="K75" s="318"/>
      <c r="L75" s="33"/>
      <c r="M75" s="253" t="e">
        <f t="shared" ca="1" si="8"/>
        <v>#NAME?</v>
      </c>
      <c r="N75" s="33"/>
      <c r="O75" s="257"/>
    </row>
    <row r="76" spans="2:28" ht="14">
      <c r="B76" s="188">
        <v>43703</v>
      </c>
      <c r="C76" s="306" t="s">
        <v>41</v>
      </c>
      <c r="D76" s="310" t="e">
        <f t="shared" ca="1" si="6"/>
        <v>#NAME?</v>
      </c>
      <c r="E76" s="253">
        <f>'AugSept S&amp;OP'!E30</f>
        <v>7000</v>
      </c>
      <c r="F76" s="307"/>
      <c r="I76" s="24"/>
      <c r="K76" s="192" t="s">
        <v>281</v>
      </c>
      <c r="L76" s="28">
        <f t="shared" ref="L76:L80" si="12">$AB$62</f>
        <v>1000</v>
      </c>
      <c r="M76" s="253" t="e">
        <f t="shared" ca="1" si="8"/>
        <v>#NAME?</v>
      </c>
      <c r="N76" s="24"/>
      <c r="O76" s="253"/>
    </row>
    <row r="77" spans="2:28" ht="14">
      <c r="B77" s="188">
        <v>43704</v>
      </c>
      <c r="C77" s="306" t="s">
        <v>46</v>
      </c>
      <c r="D77" s="310" t="e">
        <f t="shared" ca="1" si="6"/>
        <v>#NAME?</v>
      </c>
      <c r="E77" s="253">
        <f>'AugSept S&amp;OP'!E31</f>
        <v>5600</v>
      </c>
      <c r="F77" s="307"/>
      <c r="I77" s="24"/>
      <c r="K77" s="192"/>
      <c r="L77" s="28">
        <f t="shared" si="12"/>
        <v>1000</v>
      </c>
      <c r="M77" s="253" t="e">
        <f t="shared" ca="1" si="8"/>
        <v>#NAME?</v>
      </c>
      <c r="N77" s="24"/>
      <c r="O77" s="253"/>
    </row>
    <row r="78" spans="2:28" ht="14">
      <c r="B78" s="188">
        <v>43705</v>
      </c>
      <c r="C78" s="306" t="s">
        <v>49</v>
      </c>
      <c r="D78" s="310" t="e">
        <f t="shared" ca="1" si="6"/>
        <v>#NAME?</v>
      </c>
      <c r="E78" s="253">
        <f>'AugSept S&amp;OP'!E32</f>
        <v>5000</v>
      </c>
      <c r="F78" s="307"/>
      <c r="I78" s="24"/>
      <c r="K78" s="192"/>
      <c r="L78" s="28">
        <f t="shared" si="12"/>
        <v>1000</v>
      </c>
      <c r="M78" s="253" t="e">
        <f t="shared" ca="1" si="8"/>
        <v>#NAME?</v>
      </c>
      <c r="N78" s="24"/>
      <c r="O78" s="253"/>
    </row>
    <row r="79" spans="2:28" ht="14">
      <c r="B79" s="188">
        <v>43706</v>
      </c>
      <c r="C79" s="306" t="s">
        <v>51</v>
      </c>
      <c r="D79" s="310" t="e">
        <f t="shared" ca="1" si="6"/>
        <v>#NAME?</v>
      </c>
      <c r="E79" s="253">
        <f>'AugSept S&amp;OP'!E33</f>
        <v>4800</v>
      </c>
      <c r="F79" s="307"/>
      <c r="I79" s="24"/>
      <c r="K79" s="192"/>
      <c r="L79" s="28">
        <f t="shared" si="12"/>
        <v>1000</v>
      </c>
      <c r="M79" s="253" t="e">
        <f t="shared" ca="1" si="8"/>
        <v>#NAME?</v>
      </c>
      <c r="N79" s="24"/>
      <c r="O79" s="253"/>
    </row>
    <row r="80" spans="2:28" ht="14">
      <c r="B80" s="188">
        <v>43707</v>
      </c>
      <c r="C80" s="306" t="s">
        <v>29</v>
      </c>
      <c r="D80" s="310" t="e">
        <f t="shared" ca="1" si="6"/>
        <v>#NAME?</v>
      </c>
      <c r="E80" s="253">
        <f>'AugSept S&amp;OP'!E34</f>
        <v>4300</v>
      </c>
      <c r="F80" s="307"/>
      <c r="I80" s="24"/>
      <c r="K80" s="192"/>
      <c r="L80" s="28">
        <f t="shared" si="12"/>
        <v>1000</v>
      </c>
      <c r="M80" s="253" t="e">
        <f t="shared" ca="1" si="8"/>
        <v>#NAME?</v>
      </c>
      <c r="N80" s="24"/>
      <c r="O80" s="253"/>
    </row>
    <row r="81" spans="2:29" ht="14">
      <c r="B81" s="190">
        <v>43708</v>
      </c>
      <c r="C81" s="315" t="s">
        <v>33</v>
      </c>
      <c r="D81" s="310" t="e">
        <f t="shared" ca="1" si="6"/>
        <v>#NAME?</v>
      </c>
      <c r="E81" s="257">
        <f>'AugSept S&amp;OP'!E35</f>
        <v>3700</v>
      </c>
      <c r="F81" s="316"/>
      <c r="G81" s="34"/>
      <c r="H81" s="34"/>
      <c r="I81" s="33"/>
      <c r="J81" s="34"/>
      <c r="K81" s="318"/>
      <c r="L81" s="28">
        <f>$AB$62/2</f>
        <v>500</v>
      </c>
      <c r="M81" s="253" t="e">
        <f t="shared" ca="1" si="8"/>
        <v>#NAME?</v>
      </c>
      <c r="N81" s="33"/>
      <c r="O81" s="257"/>
    </row>
    <row r="84" spans="2:29" ht="18">
      <c r="B84" s="220" t="s">
        <v>255</v>
      </c>
      <c r="D84" s="222" t="s">
        <v>165</v>
      </c>
      <c r="E84" s="222">
        <v>5740</v>
      </c>
      <c r="F84" s="222"/>
      <c r="G84" s="23"/>
      <c r="H84" s="23"/>
      <c r="I84" s="23"/>
      <c r="L84" s="4"/>
      <c r="M84" s="112" t="s">
        <v>168</v>
      </c>
      <c r="N84" s="112"/>
      <c r="O84" s="112"/>
      <c r="P84" s="112"/>
      <c r="S84" s="112"/>
    </row>
    <row r="85" spans="2:29" ht="60">
      <c r="B85" s="844"/>
      <c r="C85" s="822"/>
      <c r="D85" s="844" t="s">
        <v>11</v>
      </c>
      <c r="E85" s="822"/>
      <c r="F85" s="330"/>
      <c r="G85" s="368"/>
      <c r="H85" s="368"/>
      <c r="I85" s="845" t="s">
        <v>129</v>
      </c>
      <c r="J85" s="820"/>
      <c r="K85" s="822"/>
      <c r="L85" s="234" t="s">
        <v>177</v>
      </c>
      <c r="M85" s="236" t="s">
        <v>178</v>
      </c>
      <c r="N85" s="237" t="s">
        <v>179</v>
      </c>
      <c r="O85" s="238" t="s">
        <v>180</v>
      </c>
    </row>
    <row r="86" spans="2:29" ht="14">
      <c r="B86" s="789" t="s">
        <v>10</v>
      </c>
      <c r="C86" s="796"/>
      <c r="D86" s="296" t="s">
        <v>63</v>
      </c>
      <c r="E86" s="297" t="s">
        <v>18</v>
      </c>
      <c r="F86" s="339"/>
      <c r="G86" s="298"/>
      <c r="H86" s="298"/>
      <c r="I86" s="300" t="s">
        <v>130</v>
      </c>
      <c r="J86" s="299" t="s">
        <v>186</v>
      </c>
      <c r="K86" s="297" t="s">
        <v>132</v>
      </c>
      <c r="M86" s="4">
        <v>700000</v>
      </c>
      <c r="S86" s="112" t="s">
        <v>288</v>
      </c>
    </row>
    <row r="87" spans="2:29" ht="14">
      <c r="B87" s="190">
        <v>43709</v>
      </c>
      <c r="C87" s="315" t="s">
        <v>37</v>
      </c>
      <c r="D87" s="313">
        <v>0</v>
      </c>
      <c r="E87" s="257">
        <f>'AugSept S&amp;OP'!T5</f>
        <v>4000</v>
      </c>
      <c r="F87" s="316"/>
      <c r="G87" s="34"/>
      <c r="H87" s="34"/>
      <c r="I87" s="33"/>
      <c r="J87" s="34"/>
      <c r="K87" s="318"/>
      <c r="L87" s="313">
        <v>0</v>
      </c>
      <c r="M87" s="257">
        <f t="shared" ref="M87:M116" si="13">M86+D87-E87*$T$87-L87</f>
        <v>689600</v>
      </c>
      <c r="N87" s="313"/>
      <c r="O87" s="257"/>
      <c r="S87" s="4" t="s">
        <v>198</v>
      </c>
      <c r="T87" s="4">
        <v>2.6</v>
      </c>
    </row>
    <row r="88" spans="2:29" ht="14">
      <c r="B88" s="188">
        <v>43710</v>
      </c>
      <c r="C88" s="306" t="s">
        <v>41</v>
      </c>
      <c r="D88" s="369" t="e">
        <f t="shared" ref="D88:D89" ca="1" si="14">_xludf.ifs(P88="high",$T$90,P88="medium",$T$91,P88="low",$T$92)</f>
        <v>#NAME?</v>
      </c>
      <c r="E88" s="23">
        <f>'AugSept S&amp;OP'!T6</f>
        <v>6000</v>
      </c>
      <c r="G88" s="4"/>
      <c r="H88" s="4"/>
      <c r="I88" s="28" t="s">
        <v>262</v>
      </c>
      <c r="K88" s="192"/>
      <c r="L88" s="369">
        <f t="shared" ref="L88:L89" si="15">$AB$97</f>
        <v>1000</v>
      </c>
      <c r="M88" s="23" t="e">
        <f t="shared" ca="1" si="13"/>
        <v>#NAME?</v>
      </c>
      <c r="N88" s="369"/>
      <c r="O88" s="23"/>
      <c r="S88" s="4" t="s">
        <v>289</v>
      </c>
      <c r="T88" s="4">
        <v>31</v>
      </c>
    </row>
    <row r="89" spans="2:29" ht="14">
      <c r="B89" s="188">
        <v>43711</v>
      </c>
      <c r="C89" s="306" t="s">
        <v>46</v>
      </c>
      <c r="D89" s="313" t="e">
        <f t="shared" ca="1" si="14"/>
        <v>#NAME?</v>
      </c>
      <c r="E89" s="23">
        <f>'AugSept S&amp;OP'!T7</f>
        <v>5500</v>
      </c>
      <c r="G89" s="348"/>
      <c r="H89" s="348"/>
      <c r="I89" s="348" t="s">
        <v>264</v>
      </c>
      <c r="K89" s="192"/>
      <c r="L89" s="313">
        <f t="shared" si="15"/>
        <v>1000</v>
      </c>
      <c r="M89" s="23" t="e">
        <f t="shared" ca="1" si="13"/>
        <v>#NAME?</v>
      </c>
      <c r="N89" s="370"/>
      <c r="O89" s="23"/>
      <c r="S89" s="4" t="s">
        <v>290</v>
      </c>
      <c r="T89" s="23"/>
    </row>
    <row r="90" spans="2:29" ht="14">
      <c r="B90" s="188">
        <v>43712</v>
      </c>
      <c r="C90" s="306" t="s">
        <v>49</v>
      </c>
      <c r="D90" s="313">
        <v>0</v>
      </c>
      <c r="E90" s="23">
        <f>'AugSept S&amp;OP'!T8</f>
        <v>10000</v>
      </c>
      <c r="G90" s="4"/>
      <c r="H90" s="4"/>
      <c r="I90" s="28" t="s">
        <v>265</v>
      </c>
      <c r="K90" s="192" t="s">
        <v>266</v>
      </c>
      <c r="L90" s="313">
        <v>0</v>
      </c>
      <c r="M90" s="23" t="e">
        <f t="shared" ca="1" si="13"/>
        <v>#NAME?</v>
      </c>
      <c r="N90" s="313"/>
      <c r="O90" s="23"/>
      <c r="S90" s="4" t="s">
        <v>292</v>
      </c>
      <c r="T90" s="64">
        <v>20000</v>
      </c>
    </row>
    <row r="91" spans="2:29" ht="14">
      <c r="B91" s="188">
        <v>43713</v>
      </c>
      <c r="C91" s="306" t="s">
        <v>51</v>
      </c>
      <c r="D91" s="313" t="e">
        <f t="shared" ref="D91:D93" ca="1" si="16">_xludf.ifs(P91="high",$T$90,P91="medium",$T$91,P91="low",$T$92)</f>
        <v>#NAME?</v>
      </c>
      <c r="E91" s="23">
        <f>'AugSept S&amp;OP'!T9</f>
        <v>5500</v>
      </c>
      <c r="G91" s="4"/>
      <c r="H91" s="4"/>
      <c r="I91" s="28" t="s">
        <v>262</v>
      </c>
      <c r="K91" s="192"/>
      <c r="L91" s="313">
        <f t="shared" ref="L91:L92" si="17">$AB$97</f>
        <v>1000</v>
      </c>
      <c r="M91" s="23" t="e">
        <f t="shared" ca="1" si="13"/>
        <v>#NAME?</v>
      </c>
      <c r="N91" s="313"/>
      <c r="O91" s="23"/>
      <c r="S91" s="4" t="s">
        <v>293</v>
      </c>
      <c r="T91" s="64">
        <v>18000</v>
      </c>
    </row>
    <row r="92" spans="2:29" ht="14">
      <c r="B92" s="188">
        <v>43714</v>
      </c>
      <c r="C92" s="306" t="s">
        <v>29</v>
      </c>
      <c r="D92" s="313" t="e">
        <f t="shared" ca="1" si="16"/>
        <v>#NAME?</v>
      </c>
      <c r="E92" s="23">
        <f>'AugSept S&amp;OP'!T10</f>
        <v>5500</v>
      </c>
      <c r="G92" s="4"/>
      <c r="H92" s="4"/>
      <c r="I92" s="28" t="s">
        <v>267</v>
      </c>
      <c r="K92" s="192"/>
      <c r="L92" s="313">
        <f t="shared" si="17"/>
        <v>1000</v>
      </c>
      <c r="M92" s="23" t="e">
        <f t="shared" ca="1" si="13"/>
        <v>#NAME?</v>
      </c>
      <c r="N92" s="313"/>
      <c r="O92" s="23"/>
      <c r="S92" s="4" t="s">
        <v>294</v>
      </c>
      <c r="T92" s="64">
        <v>8000</v>
      </c>
    </row>
    <row r="93" spans="2:29" ht="14">
      <c r="B93" s="188">
        <v>43715</v>
      </c>
      <c r="C93" s="306" t="s">
        <v>33</v>
      </c>
      <c r="D93" s="313" t="e">
        <f t="shared" ca="1" si="16"/>
        <v>#NAME?</v>
      </c>
      <c r="E93" s="23">
        <f>'AugSept S&amp;OP'!T11</f>
        <v>5000</v>
      </c>
      <c r="G93" s="348"/>
      <c r="H93" s="348"/>
      <c r="I93" s="348" t="s">
        <v>264</v>
      </c>
      <c r="K93" s="192"/>
      <c r="L93" s="370">
        <v>0</v>
      </c>
      <c r="M93" s="23" t="e">
        <f t="shared" ca="1" si="13"/>
        <v>#NAME?</v>
      </c>
      <c r="N93" s="370"/>
      <c r="O93" s="23"/>
    </row>
    <row r="94" spans="2:29" ht="14">
      <c r="B94" s="190">
        <v>43716</v>
      </c>
      <c r="C94" s="315" t="s">
        <v>37</v>
      </c>
      <c r="D94" s="320">
        <v>0</v>
      </c>
      <c r="E94" s="47">
        <f>'AugSept S&amp;OP'!T12</f>
        <v>5000</v>
      </c>
      <c r="F94" s="34"/>
      <c r="G94" s="200"/>
      <c r="H94" s="200"/>
      <c r="I94" s="71" t="s">
        <v>267</v>
      </c>
      <c r="J94" s="34"/>
      <c r="K94" s="318"/>
      <c r="L94" s="320">
        <v>0</v>
      </c>
      <c r="M94" s="47" t="e">
        <f t="shared" ca="1" si="13"/>
        <v>#NAME?</v>
      </c>
      <c r="N94" s="320"/>
      <c r="O94" s="47"/>
      <c r="S94" s="112" t="s">
        <v>296</v>
      </c>
      <c r="T94" s="4" t="s">
        <v>297</v>
      </c>
      <c r="U94" s="4"/>
      <c r="V94" s="4"/>
      <c r="W94" s="4"/>
      <c r="X94" s="4"/>
      <c r="Y94" s="4"/>
      <c r="Z94" s="4"/>
      <c r="AA94" s="4" t="s">
        <v>250</v>
      </c>
      <c r="AC94" s="4" t="s">
        <v>289</v>
      </c>
    </row>
    <row r="95" spans="2:29" ht="14">
      <c r="B95" s="188">
        <v>43717</v>
      </c>
      <c r="C95" s="306" t="s">
        <v>41</v>
      </c>
      <c r="D95" s="310">
        <v>0</v>
      </c>
      <c r="E95" s="23">
        <f>'AugSept S&amp;OP'!T13</f>
        <v>18000</v>
      </c>
      <c r="I95" s="24"/>
      <c r="K95" s="192" t="s">
        <v>300</v>
      </c>
      <c r="L95" s="310">
        <v>0</v>
      </c>
      <c r="M95" s="23" t="e">
        <f t="shared" ca="1" si="13"/>
        <v>#NAME?</v>
      </c>
      <c r="N95" s="310"/>
      <c r="O95" s="23"/>
      <c r="S95" s="4" t="s">
        <v>298</v>
      </c>
      <c r="T95" s="23" t="e">
        <f ca="1">AA95/T88</f>
        <v>#NAME?</v>
      </c>
      <c r="U95" s="23"/>
      <c r="V95" s="23"/>
      <c r="W95" s="23"/>
      <c r="X95" s="23"/>
      <c r="Y95" s="23"/>
      <c r="Z95" s="23"/>
      <c r="AA95" s="23" t="e">
        <f ca="1">SUM(D87:D117)</f>
        <v>#NAME?</v>
      </c>
    </row>
    <row r="96" spans="2:29" ht="14">
      <c r="B96" s="188">
        <v>43718</v>
      </c>
      <c r="C96" s="306" t="s">
        <v>46</v>
      </c>
      <c r="D96" s="310">
        <v>0</v>
      </c>
      <c r="E96" s="23">
        <f>'AugSept S&amp;OP'!T14</f>
        <v>5200</v>
      </c>
      <c r="I96" s="24"/>
      <c r="K96" s="192"/>
      <c r="L96" s="310">
        <f t="shared" ref="L96:L97" si="18">$AB$97</f>
        <v>1000</v>
      </c>
      <c r="M96" s="23" t="e">
        <f t="shared" ca="1" si="13"/>
        <v>#NAME?</v>
      </c>
      <c r="N96" s="310"/>
      <c r="O96" s="23"/>
      <c r="S96" s="4" t="s">
        <v>259</v>
      </c>
      <c r="T96" s="23">
        <f>AA96/T88</f>
        <v>14518.064516129032</v>
      </c>
      <c r="U96" s="23"/>
      <c r="V96" s="23"/>
      <c r="W96" s="23"/>
      <c r="X96" s="23"/>
      <c r="Y96" s="23"/>
      <c r="Z96" s="23"/>
      <c r="AA96" s="23">
        <f>AB100*T87</f>
        <v>450060</v>
      </c>
    </row>
    <row r="97" spans="2:28" ht="14">
      <c r="B97" s="188">
        <v>43719</v>
      </c>
      <c r="C97" s="306" t="s">
        <v>49</v>
      </c>
      <c r="D97" s="310" t="e">
        <f ca="1">_xludf.ifs(P97="high",$T$90,P97="medium",$T$91,P97="low",$T$92)</f>
        <v>#NAME?</v>
      </c>
      <c r="E97" s="23">
        <f>'AugSept S&amp;OP'!T15</f>
        <v>4500</v>
      </c>
      <c r="I97" s="24"/>
      <c r="K97" s="192"/>
      <c r="L97" s="310">
        <f t="shared" si="18"/>
        <v>1000</v>
      </c>
      <c r="M97" s="23" t="e">
        <f t="shared" ca="1" si="13"/>
        <v>#NAME?</v>
      </c>
      <c r="N97" s="310"/>
      <c r="O97" s="23"/>
      <c r="S97" s="4" t="s">
        <v>177</v>
      </c>
      <c r="T97" s="23">
        <f>AA97/T88</f>
        <v>596.77419354838707</v>
      </c>
      <c r="U97" s="23"/>
      <c r="V97" s="23"/>
      <c r="W97" s="23"/>
      <c r="X97" s="23"/>
      <c r="Y97" s="23"/>
      <c r="Z97" s="23"/>
      <c r="AA97" s="23">
        <f>SUM(L87:L117)</f>
        <v>18500</v>
      </c>
      <c r="AB97" s="4">
        <v>1000</v>
      </c>
    </row>
    <row r="98" spans="2:28" ht="14">
      <c r="B98" s="188">
        <v>43720</v>
      </c>
      <c r="C98" s="306" t="s">
        <v>51</v>
      </c>
      <c r="D98" s="310" t="e">
        <f t="shared" ref="D98:D99" ca="1" si="19">_xludf.ifs(P99="high",$T$90,P99="medium",$T$91,P99="low",$T$92)</f>
        <v>#NAME?</v>
      </c>
      <c r="E98" s="23">
        <f>'AugSept S&amp;OP'!T16</f>
        <v>5300</v>
      </c>
      <c r="I98" s="24"/>
      <c r="K98" s="192"/>
      <c r="L98" s="310">
        <v>0</v>
      </c>
      <c r="M98" s="23" t="e">
        <f t="shared" ca="1" si="13"/>
        <v>#NAME?</v>
      </c>
      <c r="N98" s="310"/>
      <c r="O98" s="23"/>
      <c r="S98" s="112" t="s">
        <v>250</v>
      </c>
      <c r="T98" s="114" t="e">
        <f ca="1">T95-T96-T97</f>
        <v>#NAME?</v>
      </c>
      <c r="U98" s="114"/>
      <c r="V98" s="114"/>
      <c r="W98" s="114"/>
      <c r="X98" s="114"/>
      <c r="Y98" s="114"/>
      <c r="Z98" s="114"/>
      <c r="AA98" s="114" t="e">
        <f ca="1">T98*T88</f>
        <v>#NAME?</v>
      </c>
    </row>
    <row r="99" spans="2:28" ht="14">
      <c r="B99" s="188">
        <v>43721</v>
      </c>
      <c r="C99" s="306" t="s">
        <v>29</v>
      </c>
      <c r="D99" s="310" t="e">
        <f t="shared" ca="1" si="19"/>
        <v>#NAME?</v>
      </c>
      <c r="E99" s="23">
        <f>'AugSept S&amp;OP'!T17</f>
        <v>4300</v>
      </c>
      <c r="I99" s="24"/>
      <c r="K99" s="27"/>
      <c r="L99" s="310">
        <f>$AB$97</f>
        <v>1000</v>
      </c>
      <c r="M99" s="23" t="e">
        <f t="shared" ca="1" si="13"/>
        <v>#NAME?</v>
      </c>
      <c r="N99" s="310"/>
      <c r="O99" s="23"/>
    </row>
    <row r="100" spans="2:28" ht="14">
      <c r="B100" s="188">
        <v>43722</v>
      </c>
      <c r="C100" s="306" t="s">
        <v>33</v>
      </c>
      <c r="D100" s="310" t="e">
        <f ca="1">_xludf.ifs(P100="high",$T$90,P100="medium",$T$91,P100="low",$T$92)</f>
        <v>#NAME?</v>
      </c>
      <c r="E100" s="23">
        <f>'AugSept S&amp;OP'!T18</f>
        <v>3700</v>
      </c>
      <c r="I100" s="24"/>
      <c r="K100" s="27"/>
      <c r="L100" s="310">
        <f>$AB$97/2</f>
        <v>500</v>
      </c>
      <c r="M100" s="23" t="e">
        <f t="shared" ca="1" si="13"/>
        <v>#NAME?</v>
      </c>
      <c r="N100" s="310"/>
      <c r="O100" s="23"/>
      <c r="S100" s="4" t="s">
        <v>299</v>
      </c>
      <c r="T100" s="23">
        <f>AB100/T88</f>
        <v>5583.8709677419356</v>
      </c>
      <c r="AB100" s="23">
        <f>SUM(E87:E117)</f>
        <v>173100</v>
      </c>
    </row>
    <row r="101" spans="2:28" ht="14">
      <c r="B101" s="190">
        <v>43723</v>
      </c>
      <c r="C101" s="315" t="s">
        <v>37</v>
      </c>
      <c r="D101" s="328">
        <v>0</v>
      </c>
      <c r="E101" s="47">
        <f>'AugSept S&amp;OP'!T19</f>
        <v>4000</v>
      </c>
      <c r="F101" s="34"/>
      <c r="G101" s="34"/>
      <c r="H101" s="34"/>
      <c r="I101" s="33"/>
      <c r="J101" s="34"/>
      <c r="K101" s="87"/>
      <c r="L101" s="328">
        <v>0</v>
      </c>
      <c r="M101" s="47" t="e">
        <f t="shared" ca="1" si="13"/>
        <v>#NAME?</v>
      </c>
      <c r="N101" s="328"/>
      <c r="O101" s="47"/>
    </row>
    <row r="102" spans="2:28" ht="14">
      <c r="B102" s="188">
        <v>43724</v>
      </c>
      <c r="C102" s="306" t="s">
        <v>41</v>
      </c>
      <c r="D102" s="369" t="e">
        <f t="shared" ref="D102:D104" ca="1" si="20">_xludf.ifs(P102="high",$T$90,P102="medium",$T$91,P102="low",$T$92)</f>
        <v>#NAME?</v>
      </c>
      <c r="E102" s="276">
        <f>'AugSept S&amp;OP'!T20</f>
        <v>6600</v>
      </c>
      <c r="F102" s="358"/>
      <c r="I102" s="24"/>
      <c r="J102" s="358" t="s">
        <v>274</v>
      </c>
      <c r="K102" s="27"/>
      <c r="L102" s="310">
        <f t="shared" ref="L102:L104" si="21">$AB$97</f>
        <v>1000</v>
      </c>
      <c r="M102" s="276" t="e">
        <f t="shared" ca="1" si="13"/>
        <v>#NAME?</v>
      </c>
      <c r="N102" s="310"/>
      <c r="O102" s="276"/>
    </row>
    <row r="103" spans="2:28" ht="14">
      <c r="B103" s="188">
        <v>43725</v>
      </c>
      <c r="C103" s="306" t="s">
        <v>46</v>
      </c>
      <c r="D103" s="313" t="e">
        <f t="shared" ca="1" si="20"/>
        <v>#NAME?</v>
      </c>
      <c r="E103" s="276">
        <f>'AugSept S&amp;OP'!T21</f>
        <v>6500</v>
      </c>
      <c r="F103" s="358"/>
      <c r="I103" s="24"/>
      <c r="J103" s="358" t="s">
        <v>274</v>
      </c>
      <c r="K103" s="27"/>
      <c r="L103" s="310">
        <f t="shared" si="21"/>
        <v>1000</v>
      </c>
      <c r="M103" s="276" t="e">
        <f t="shared" ca="1" si="13"/>
        <v>#NAME?</v>
      </c>
      <c r="N103" s="310"/>
      <c r="O103" s="276"/>
    </row>
    <row r="104" spans="2:28" ht="14">
      <c r="B104" s="188">
        <v>43726</v>
      </c>
      <c r="C104" s="306" t="s">
        <v>49</v>
      </c>
      <c r="D104" s="310" t="e">
        <f t="shared" ca="1" si="20"/>
        <v>#NAME?</v>
      </c>
      <c r="E104" s="276">
        <f>'AugSept S&amp;OP'!T22</f>
        <v>5700</v>
      </c>
      <c r="F104" s="358"/>
      <c r="I104" s="24"/>
      <c r="J104" s="358" t="s">
        <v>274</v>
      </c>
      <c r="K104" s="27"/>
      <c r="L104" s="310">
        <f t="shared" si="21"/>
        <v>1000</v>
      </c>
      <c r="M104" s="276" t="e">
        <f t="shared" ca="1" si="13"/>
        <v>#NAME?</v>
      </c>
      <c r="N104" s="310"/>
      <c r="O104" s="276"/>
    </row>
    <row r="105" spans="2:28" ht="14">
      <c r="B105" s="188">
        <v>43727</v>
      </c>
      <c r="C105" s="306" t="s">
        <v>51</v>
      </c>
      <c r="D105" s="310">
        <v>0</v>
      </c>
      <c r="E105" s="276">
        <f>'AugSept S&amp;OP'!T23</f>
        <v>9000</v>
      </c>
      <c r="F105" s="358"/>
      <c r="I105" s="24"/>
      <c r="J105" s="358" t="s">
        <v>276</v>
      </c>
      <c r="K105" s="27"/>
      <c r="L105" s="310">
        <v>0</v>
      </c>
      <c r="M105" s="276" t="e">
        <f t="shared" ca="1" si="13"/>
        <v>#NAME?</v>
      </c>
      <c r="N105" s="310"/>
      <c r="O105" s="276"/>
    </row>
    <row r="106" spans="2:28" ht="14">
      <c r="B106" s="188">
        <v>43728</v>
      </c>
      <c r="C106" s="306" t="s">
        <v>29</v>
      </c>
      <c r="D106" s="310" t="e">
        <f t="shared" ref="D106:D107" ca="1" si="22">_xludf.ifs(P106="high",$T$90,P106="medium",$T$91,P106="low",$T$92)</f>
        <v>#NAME?</v>
      </c>
      <c r="E106" s="276">
        <f>'AugSept S&amp;OP'!T24</f>
        <v>4300</v>
      </c>
      <c r="F106" s="358"/>
      <c r="I106" s="24"/>
      <c r="J106" s="358" t="s">
        <v>277</v>
      </c>
      <c r="K106" s="27"/>
      <c r="L106" s="310">
        <f>$AB$97</f>
        <v>1000</v>
      </c>
      <c r="M106" s="276" t="e">
        <f t="shared" ca="1" si="13"/>
        <v>#NAME?</v>
      </c>
      <c r="N106" s="310"/>
      <c r="O106" s="276"/>
    </row>
    <row r="107" spans="2:28" ht="14">
      <c r="B107" s="188">
        <v>43729</v>
      </c>
      <c r="C107" s="306" t="s">
        <v>33</v>
      </c>
      <c r="D107" s="310" t="e">
        <f t="shared" ca="1" si="22"/>
        <v>#NAME?</v>
      </c>
      <c r="E107" s="64">
        <f>'AugSept S&amp;OP'!T25</f>
        <v>3700</v>
      </c>
      <c r="F107" s="4"/>
      <c r="I107" s="24"/>
      <c r="J107" s="4" t="s">
        <v>277</v>
      </c>
      <c r="K107" s="27"/>
      <c r="L107" s="310">
        <f>$AB$97/2</f>
        <v>500</v>
      </c>
      <c r="M107" s="64" t="e">
        <f t="shared" ca="1" si="13"/>
        <v>#NAME?</v>
      </c>
      <c r="N107" s="310"/>
      <c r="O107" s="64"/>
    </row>
    <row r="108" spans="2:28" ht="14">
      <c r="B108" s="190">
        <v>43730</v>
      </c>
      <c r="C108" s="315" t="s">
        <v>37</v>
      </c>
      <c r="D108" s="328">
        <v>0</v>
      </c>
      <c r="E108" s="97">
        <f>'AugSept S&amp;OP'!T26</f>
        <v>4000</v>
      </c>
      <c r="F108" s="200"/>
      <c r="G108" s="34"/>
      <c r="H108" s="34"/>
      <c r="I108" s="33"/>
      <c r="J108" s="200" t="s">
        <v>279</v>
      </c>
      <c r="K108" s="87"/>
      <c r="L108" s="328">
        <v>0</v>
      </c>
      <c r="M108" s="97" t="e">
        <f t="shared" ca="1" si="13"/>
        <v>#NAME?</v>
      </c>
      <c r="N108" s="328"/>
      <c r="O108" s="97"/>
    </row>
    <row r="109" spans="2:28" ht="14">
      <c r="B109" s="188">
        <v>43731</v>
      </c>
      <c r="C109" s="306" t="s">
        <v>41</v>
      </c>
      <c r="D109" s="310" t="e">
        <f t="shared" ref="D109:D114" ca="1" si="23">_xludf.ifs(P109="high",$T$90,P109="medium",$T$91,P109="low",$T$92)</f>
        <v>#NAME?</v>
      </c>
      <c r="E109" s="276">
        <f>'AugSept S&amp;OP'!T27</f>
        <v>5500</v>
      </c>
      <c r="F109" s="358"/>
      <c r="I109" s="24"/>
      <c r="J109" s="358" t="s">
        <v>280</v>
      </c>
      <c r="K109" s="27"/>
      <c r="L109" s="310">
        <f t="shared" ref="L109:L113" si="24">$AB$97</f>
        <v>1000</v>
      </c>
      <c r="M109" s="276" t="e">
        <f t="shared" ca="1" si="13"/>
        <v>#NAME?</v>
      </c>
      <c r="N109" s="310"/>
      <c r="O109" s="276"/>
    </row>
    <row r="110" spans="2:28" ht="14">
      <c r="B110" s="188">
        <v>43732</v>
      </c>
      <c r="C110" s="306" t="s">
        <v>46</v>
      </c>
      <c r="D110" s="310" t="e">
        <f t="shared" ca="1" si="23"/>
        <v>#NAME?</v>
      </c>
      <c r="E110" s="276">
        <f>'AugSept S&amp;OP'!T28</f>
        <v>5300</v>
      </c>
      <c r="F110" s="276"/>
      <c r="I110" s="24"/>
      <c r="J110" s="348" t="s">
        <v>280</v>
      </c>
      <c r="K110" s="27"/>
      <c r="L110" s="310">
        <f t="shared" si="24"/>
        <v>1000</v>
      </c>
      <c r="M110" s="370" t="e">
        <f t="shared" ca="1" si="13"/>
        <v>#NAME?</v>
      </c>
      <c r="N110" s="310"/>
      <c r="O110" s="370"/>
    </row>
    <row r="111" spans="2:28" ht="14">
      <c r="B111" s="188">
        <v>43733</v>
      </c>
      <c r="C111" s="306" t="s">
        <v>49</v>
      </c>
      <c r="D111" s="310" t="e">
        <f t="shared" ca="1" si="23"/>
        <v>#NAME?</v>
      </c>
      <c r="E111" s="276">
        <f>'AugSept S&amp;OP'!T29</f>
        <v>5100</v>
      </c>
      <c r="F111" s="276"/>
      <c r="I111" s="24"/>
      <c r="J111" s="348" t="s">
        <v>280</v>
      </c>
      <c r="K111" s="27"/>
      <c r="L111" s="310">
        <f t="shared" si="24"/>
        <v>1000</v>
      </c>
      <c r="M111" s="370" t="e">
        <f t="shared" ca="1" si="13"/>
        <v>#NAME?</v>
      </c>
      <c r="N111" s="310"/>
      <c r="O111" s="370"/>
    </row>
    <row r="112" spans="2:28" ht="14">
      <c r="B112" s="188">
        <v>43734</v>
      </c>
      <c r="C112" s="306" t="s">
        <v>51</v>
      </c>
      <c r="D112" s="310" t="e">
        <f t="shared" ca="1" si="23"/>
        <v>#NAME?</v>
      </c>
      <c r="E112" s="276">
        <f>'AugSept S&amp;OP'!T30</f>
        <v>5600</v>
      </c>
      <c r="F112" s="276"/>
      <c r="I112" s="24"/>
      <c r="J112" s="348" t="s">
        <v>282</v>
      </c>
      <c r="K112" s="27"/>
      <c r="L112" s="310">
        <f t="shared" si="24"/>
        <v>1000</v>
      </c>
      <c r="M112" s="370" t="e">
        <f t="shared" ca="1" si="13"/>
        <v>#NAME?</v>
      </c>
      <c r="N112" s="310"/>
      <c r="O112" s="370"/>
    </row>
    <row r="113" spans="2:15" ht="14">
      <c r="B113" s="188">
        <v>43735</v>
      </c>
      <c r="C113" s="306" t="s">
        <v>29</v>
      </c>
      <c r="D113" s="310" t="e">
        <f t="shared" ca="1" si="23"/>
        <v>#NAME?</v>
      </c>
      <c r="E113" s="23">
        <f>'AugSept S&amp;OP'!T31</f>
        <v>4300</v>
      </c>
      <c r="I113" s="24"/>
      <c r="K113" s="27"/>
      <c r="L113" s="310">
        <f t="shared" si="24"/>
        <v>1000</v>
      </c>
      <c r="M113" s="23" t="e">
        <f t="shared" ca="1" si="13"/>
        <v>#NAME?</v>
      </c>
      <c r="N113" s="310"/>
      <c r="O113" s="23"/>
    </row>
    <row r="114" spans="2:15" ht="14">
      <c r="B114" s="188">
        <v>43736</v>
      </c>
      <c r="C114" s="306" t="s">
        <v>33</v>
      </c>
      <c r="D114" s="310" t="e">
        <f t="shared" ca="1" si="23"/>
        <v>#NAME?</v>
      </c>
      <c r="E114" s="23">
        <f>'AugSept S&amp;OP'!T32</f>
        <v>3700</v>
      </c>
      <c r="I114" s="24"/>
      <c r="K114" s="27"/>
      <c r="L114" s="310">
        <f>$AB$97/2</f>
        <v>500</v>
      </c>
      <c r="M114" s="23" t="e">
        <f t="shared" ca="1" si="13"/>
        <v>#NAME?</v>
      </c>
      <c r="N114" s="310"/>
      <c r="O114" s="23"/>
    </row>
    <row r="115" spans="2:15" ht="14">
      <c r="B115" s="190">
        <v>43737</v>
      </c>
      <c r="C115" s="315" t="s">
        <v>37</v>
      </c>
      <c r="D115" s="328">
        <v>0</v>
      </c>
      <c r="E115" s="47">
        <f>'AugSept S&amp;OP'!T33</f>
        <v>4000</v>
      </c>
      <c r="F115" s="34"/>
      <c r="G115" s="34"/>
      <c r="H115" s="34"/>
      <c r="I115" s="33"/>
      <c r="J115" s="34"/>
      <c r="K115" s="87"/>
      <c r="L115" s="328">
        <v>0</v>
      </c>
      <c r="M115" s="47" t="e">
        <f t="shared" ca="1" si="13"/>
        <v>#NAME?</v>
      </c>
      <c r="N115" s="328"/>
      <c r="O115" s="47"/>
    </row>
    <row r="116" spans="2:15" ht="14">
      <c r="B116" s="190">
        <v>43738</v>
      </c>
      <c r="C116" s="315" t="s">
        <v>41</v>
      </c>
      <c r="D116" s="328" t="e">
        <f ca="1">_xludf.ifs(P116="high",$T$90,P116="medium",$T$91,P116="low",$T$92)</f>
        <v>#NAME?</v>
      </c>
      <c r="E116" s="97">
        <f>'AugSept S&amp;OP'!T34</f>
        <v>8300</v>
      </c>
      <c r="F116" s="200"/>
      <c r="G116" s="34"/>
      <c r="H116" s="34"/>
      <c r="I116" s="33"/>
      <c r="J116" s="200" t="s">
        <v>283</v>
      </c>
      <c r="K116" s="87"/>
      <c r="L116" s="328">
        <f>$AB$97</f>
        <v>1000</v>
      </c>
      <c r="M116" s="97" t="e">
        <f t="shared" ca="1" si="13"/>
        <v>#NAME?</v>
      </c>
      <c r="N116" s="328"/>
      <c r="O116" s="97"/>
    </row>
    <row r="117" spans="2:15" ht="13">
      <c r="L117" s="28"/>
      <c r="M117" s="253"/>
      <c r="N117" s="33"/>
      <c r="O117" s="257"/>
    </row>
  </sheetData>
  <mergeCells count="19">
    <mergeCell ref="B4:C4"/>
    <mergeCell ref="D85:E85"/>
    <mergeCell ref="I85:K85"/>
    <mergeCell ref="B86:C86"/>
    <mergeCell ref="Q3:R3"/>
    <mergeCell ref="Q4:R4"/>
    <mergeCell ref="B49:C49"/>
    <mergeCell ref="D49:E49"/>
    <mergeCell ref="I49:K49"/>
    <mergeCell ref="B50:C50"/>
    <mergeCell ref="B85:C85"/>
    <mergeCell ref="AD3:AF3"/>
    <mergeCell ref="AH3:AJ3"/>
    <mergeCell ref="B3:C3"/>
    <mergeCell ref="D3:E3"/>
    <mergeCell ref="I3:K3"/>
    <mergeCell ref="L3:N3"/>
    <mergeCell ref="S3:T3"/>
    <mergeCell ref="AA3:AC3"/>
  </mergeCells>
  <phoneticPr fontId="6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D47"/>
  <sheetViews>
    <sheetView workbookViewId="0"/>
  </sheetViews>
  <sheetFormatPr baseColWidth="10" defaultColWidth="12.6640625" defaultRowHeight="15.75" customHeight="1"/>
  <cols>
    <col min="1" max="1" width="7.6640625" customWidth="1"/>
    <col min="2" max="3" width="4.5" customWidth="1"/>
    <col min="4" max="6" width="9.6640625" customWidth="1"/>
    <col min="7" max="7" width="9.1640625" customWidth="1"/>
    <col min="8" max="8" width="38.1640625" hidden="1" customWidth="1"/>
    <col min="9" max="9" width="48" customWidth="1"/>
    <col min="10" max="10" width="22.1640625" customWidth="1"/>
    <col min="11" max="11" width="14.83203125" customWidth="1"/>
    <col min="12" max="14" width="10.1640625" customWidth="1"/>
  </cols>
  <sheetData>
    <row r="1" spans="1:17">
      <c r="A1" s="371"/>
      <c r="B1" s="372" t="s">
        <v>301</v>
      </c>
      <c r="D1" s="371" t="s">
        <v>11</v>
      </c>
      <c r="E1" s="371">
        <v>7000</v>
      </c>
      <c r="F1" s="373">
        <f>5141/0.85</f>
        <v>6048.2352941176468</v>
      </c>
      <c r="G1" s="373">
        <f>856/0.85</f>
        <v>1007.0588235294118</v>
      </c>
      <c r="H1" s="374"/>
      <c r="I1" s="374"/>
      <c r="J1" s="374"/>
      <c r="K1" s="374"/>
      <c r="L1" s="374"/>
      <c r="M1" s="374"/>
      <c r="N1" s="374"/>
    </row>
    <row r="2" spans="1:17">
      <c r="A2" s="371"/>
      <c r="B2" s="374"/>
      <c r="C2" s="374"/>
      <c r="D2" s="371" t="s">
        <v>302</v>
      </c>
      <c r="E2" s="375">
        <f t="shared" ref="E2:G2" si="0">AVERAGE(E5:E35)</f>
        <v>7024.1935483870966</v>
      </c>
      <c r="F2" s="375">
        <f t="shared" si="0"/>
        <v>6003.8709677419356</v>
      </c>
      <c r="G2" s="375">
        <f t="shared" si="0"/>
        <v>1020.3225806451613</v>
      </c>
      <c r="H2" s="374"/>
      <c r="I2" s="374"/>
      <c r="J2" s="374"/>
      <c r="K2" s="374"/>
      <c r="L2" s="374"/>
      <c r="M2" s="374"/>
      <c r="N2" s="374"/>
    </row>
    <row r="3" spans="1:17">
      <c r="A3" s="374"/>
      <c r="B3" s="848"/>
      <c r="C3" s="822"/>
      <c r="D3" s="849" t="s">
        <v>220</v>
      </c>
      <c r="E3" s="841"/>
      <c r="F3" s="841"/>
      <c r="G3" s="841"/>
      <c r="H3" s="376"/>
      <c r="I3" s="850" t="s">
        <v>129</v>
      </c>
      <c r="J3" s="841"/>
      <c r="K3" s="842"/>
      <c r="L3" s="851" t="s">
        <v>303</v>
      </c>
      <c r="M3" s="841"/>
      <c r="N3" s="842"/>
    </row>
    <row r="4" spans="1:17">
      <c r="A4" s="377"/>
      <c r="B4" s="852" t="s">
        <v>10</v>
      </c>
      <c r="C4" s="796"/>
      <c r="D4" s="378" t="s">
        <v>63</v>
      </c>
      <c r="E4" s="379" t="s">
        <v>18</v>
      </c>
      <c r="F4" s="380" t="s">
        <v>304</v>
      </c>
      <c r="G4" s="380" t="s">
        <v>305</v>
      </c>
      <c r="H4" s="381" t="s">
        <v>306</v>
      </c>
      <c r="I4" s="382" t="s">
        <v>130</v>
      </c>
      <c r="J4" s="383" t="s">
        <v>186</v>
      </c>
      <c r="K4" s="384" t="s">
        <v>132</v>
      </c>
      <c r="L4" s="382" t="s">
        <v>177</v>
      </c>
      <c r="M4" s="385" t="s">
        <v>235</v>
      </c>
      <c r="N4" s="386" t="s">
        <v>236</v>
      </c>
    </row>
    <row r="5" spans="1:17">
      <c r="A5" s="387">
        <v>0</v>
      </c>
      <c r="B5" s="388">
        <v>43891</v>
      </c>
      <c r="C5" s="389" t="s">
        <v>37</v>
      </c>
      <c r="D5" s="390">
        <f t="shared" ref="D5:D35" si="1">ROUNDDOWN((A5/$A$36)*$E$37,-3)</f>
        <v>0</v>
      </c>
      <c r="E5" s="391">
        <v>5950</v>
      </c>
      <c r="F5" s="392">
        <v>5150</v>
      </c>
      <c r="G5" s="391">
        <v>800</v>
      </c>
      <c r="H5" s="393"/>
      <c r="I5" s="389" t="s">
        <v>307</v>
      </c>
      <c r="J5" s="389"/>
      <c r="K5" s="389" t="s">
        <v>244</v>
      </c>
      <c r="L5" s="390">
        <v>0</v>
      </c>
      <c r="M5" s="390">
        <v>690875</v>
      </c>
      <c r="N5" s="394">
        <v>51</v>
      </c>
      <c r="P5" s="4" t="s">
        <v>308</v>
      </c>
      <c r="Q5" s="64">
        <v>418080</v>
      </c>
    </row>
    <row r="6" spans="1:17">
      <c r="A6" s="387">
        <v>1</v>
      </c>
      <c r="B6" s="395">
        <v>43892</v>
      </c>
      <c r="C6" s="396" t="s">
        <v>41</v>
      </c>
      <c r="D6" s="397">
        <f t="shared" si="1"/>
        <v>26000</v>
      </c>
      <c r="E6" s="398">
        <v>6850</v>
      </c>
      <c r="F6" s="399">
        <v>5820</v>
      </c>
      <c r="G6" s="4">
        <v>1030</v>
      </c>
      <c r="H6" s="400" t="s">
        <v>309</v>
      </c>
      <c r="I6" s="396" t="s">
        <v>310</v>
      </c>
      <c r="J6" s="401"/>
      <c r="K6" s="396" t="s">
        <v>244</v>
      </c>
      <c r="L6" s="397">
        <v>1500</v>
      </c>
      <c r="M6" s="402">
        <v>702819</v>
      </c>
      <c r="N6" s="403">
        <v>51</v>
      </c>
    </row>
    <row r="7" spans="1:17">
      <c r="A7" s="387">
        <v>0.67</v>
      </c>
      <c r="B7" s="404">
        <v>43893</v>
      </c>
      <c r="C7" s="371" t="s">
        <v>46</v>
      </c>
      <c r="D7" s="397">
        <f t="shared" si="1"/>
        <v>18000</v>
      </c>
      <c r="E7" s="405">
        <v>7850</v>
      </c>
      <c r="F7" s="406">
        <v>6400</v>
      </c>
      <c r="G7" s="64">
        <v>1450</v>
      </c>
      <c r="H7" s="407" t="s">
        <v>311</v>
      </c>
      <c r="I7" s="371" t="s">
        <v>312</v>
      </c>
      <c r="J7" s="374"/>
      <c r="K7" s="371" t="s">
        <v>313</v>
      </c>
      <c r="L7" s="397">
        <v>1500</v>
      </c>
      <c r="M7" s="397">
        <v>702638</v>
      </c>
      <c r="N7" s="408">
        <v>51</v>
      </c>
    </row>
    <row r="8" spans="1:17">
      <c r="A8" s="387">
        <v>0.67</v>
      </c>
      <c r="B8" s="404">
        <v>43894</v>
      </c>
      <c r="C8" s="371" t="s">
        <v>49</v>
      </c>
      <c r="D8" s="397">
        <f t="shared" si="1"/>
        <v>18000</v>
      </c>
      <c r="E8" s="405">
        <v>6950</v>
      </c>
      <c r="F8" s="406">
        <v>5850</v>
      </c>
      <c r="G8" s="4">
        <v>1100</v>
      </c>
      <c r="H8" s="407"/>
      <c r="I8" s="371" t="s">
        <v>314</v>
      </c>
      <c r="J8" s="374"/>
      <c r="K8" s="371" t="s">
        <v>315</v>
      </c>
      <c r="L8" s="397">
        <v>1500</v>
      </c>
      <c r="M8" s="397">
        <v>704369</v>
      </c>
      <c r="N8" s="408">
        <v>51</v>
      </c>
    </row>
    <row r="9" spans="1:17">
      <c r="A9" s="387">
        <v>1</v>
      </c>
      <c r="B9" s="404">
        <v>43895</v>
      </c>
      <c r="C9" s="371" t="s">
        <v>51</v>
      </c>
      <c r="D9" s="397">
        <f t="shared" si="1"/>
        <v>26000</v>
      </c>
      <c r="E9" s="405">
        <v>5850</v>
      </c>
      <c r="F9" s="406">
        <v>5200</v>
      </c>
      <c r="G9" s="4">
        <v>650</v>
      </c>
      <c r="H9" s="407"/>
      <c r="I9" s="371"/>
      <c r="J9" s="374"/>
      <c r="K9" s="371"/>
      <c r="L9" s="397">
        <v>1500</v>
      </c>
      <c r="M9" s="397">
        <v>718438</v>
      </c>
      <c r="N9" s="408">
        <v>52</v>
      </c>
    </row>
    <row r="10" spans="1:17">
      <c r="A10" s="387">
        <v>1</v>
      </c>
      <c r="B10" s="404">
        <v>43896</v>
      </c>
      <c r="C10" s="371" t="s">
        <v>29</v>
      </c>
      <c r="D10" s="397">
        <f t="shared" si="1"/>
        <v>26000</v>
      </c>
      <c r="E10" s="405">
        <v>6550</v>
      </c>
      <c r="F10" s="406">
        <v>5450</v>
      </c>
      <c r="G10" s="4">
        <v>1100</v>
      </c>
      <c r="H10" s="407" t="s">
        <v>316</v>
      </c>
      <c r="I10" s="371" t="s">
        <v>317</v>
      </c>
      <c r="J10" s="348"/>
      <c r="K10" s="371"/>
      <c r="L10" s="397">
        <v>1500</v>
      </c>
      <c r="M10" s="397">
        <v>731019</v>
      </c>
      <c r="N10" s="408">
        <v>53</v>
      </c>
    </row>
    <row r="11" spans="1:17">
      <c r="A11" s="387">
        <v>0.67</v>
      </c>
      <c r="B11" s="404">
        <v>43897</v>
      </c>
      <c r="C11" s="371" t="s">
        <v>33</v>
      </c>
      <c r="D11" s="397">
        <f t="shared" si="1"/>
        <v>18000</v>
      </c>
      <c r="E11" s="405">
        <v>6650</v>
      </c>
      <c r="F11" s="406">
        <v>5850</v>
      </c>
      <c r="G11" s="405">
        <v>800</v>
      </c>
      <c r="H11" s="407"/>
      <c r="I11" s="371" t="s">
        <v>318</v>
      </c>
      <c r="J11" s="371"/>
      <c r="K11" s="371"/>
      <c r="L11" s="397">
        <v>0</v>
      </c>
      <c r="M11" s="397">
        <v>734888</v>
      </c>
      <c r="N11" s="408">
        <v>53</v>
      </c>
    </row>
    <row r="12" spans="1:17">
      <c r="A12" s="387">
        <v>0</v>
      </c>
      <c r="B12" s="409">
        <v>43898</v>
      </c>
      <c r="C12" s="410" t="s">
        <v>37</v>
      </c>
      <c r="D12" s="411">
        <f t="shared" si="1"/>
        <v>0</v>
      </c>
      <c r="E12" s="412">
        <v>6850</v>
      </c>
      <c r="F12" s="413">
        <v>5600</v>
      </c>
      <c r="G12" s="413">
        <v>1250</v>
      </c>
      <c r="H12" s="414" t="s">
        <v>319</v>
      </c>
      <c r="I12" s="410" t="s">
        <v>320</v>
      </c>
      <c r="J12" s="410"/>
      <c r="K12" s="371"/>
      <c r="L12" s="411">
        <v>0</v>
      </c>
      <c r="M12" s="411">
        <v>720331</v>
      </c>
      <c r="N12" s="415">
        <v>52</v>
      </c>
    </row>
    <row r="13" spans="1:17">
      <c r="A13" s="387">
        <v>1</v>
      </c>
      <c r="B13" s="395">
        <v>43899</v>
      </c>
      <c r="C13" s="396" t="s">
        <v>41</v>
      </c>
      <c r="D13" s="397">
        <f t="shared" si="1"/>
        <v>26000</v>
      </c>
      <c r="E13" s="398">
        <v>6850</v>
      </c>
      <c r="F13" s="399">
        <v>5820</v>
      </c>
      <c r="G13" s="4">
        <v>1030</v>
      </c>
      <c r="H13" s="400"/>
      <c r="I13" s="396" t="s">
        <v>321</v>
      </c>
      <c r="J13" s="396" t="s">
        <v>322</v>
      </c>
      <c r="K13" s="396"/>
      <c r="L13" s="397">
        <v>1500</v>
      </c>
      <c r="M13" s="402">
        <v>732275</v>
      </c>
      <c r="N13" s="403">
        <v>53</v>
      </c>
    </row>
    <row r="14" spans="1:17">
      <c r="A14" s="387">
        <v>0.67</v>
      </c>
      <c r="B14" s="404">
        <v>43900</v>
      </c>
      <c r="C14" s="371" t="s">
        <v>46</v>
      </c>
      <c r="D14" s="397">
        <f t="shared" si="1"/>
        <v>18000</v>
      </c>
      <c r="E14" s="405">
        <v>7150</v>
      </c>
      <c r="F14" s="406">
        <v>6120</v>
      </c>
      <c r="G14" s="4">
        <v>1030</v>
      </c>
      <c r="H14" s="407" t="s">
        <v>323</v>
      </c>
      <c r="I14" s="371" t="s">
        <v>312</v>
      </c>
      <c r="J14" s="371" t="s">
        <v>322</v>
      </c>
      <c r="K14" s="371"/>
      <c r="L14" s="397">
        <v>1500</v>
      </c>
      <c r="M14" s="397">
        <v>733581</v>
      </c>
      <c r="N14" s="408">
        <v>52</v>
      </c>
    </row>
    <row r="15" spans="1:17">
      <c r="A15" s="387">
        <v>1</v>
      </c>
      <c r="B15" s="404">
        <v>43901</v>
      </c>
      <c r="C15" s="371" t="s">
        <v>49</v>
      </c>
      <c r="D15" s="397">
        <f t="shared" si="1"/>
        <v>26000</v>
      </c>
      <c r="E15" s="405">
        <v>6750</v>
      </c>
      <c r="F15" s="406">
        <v>5650</v>
      </c>
      <c r="G15" s="4">
        <v>1100</v>
      </c>
      <c r="H15" s="407"/>
      <c r="I15" s="371" t="s">
        <v>314</v>
      </c>
      <c r="J15" s="348" t="s">
        <v>324</v>
      </c>
      <c r="K15" s="371"/>
      <c r="L15" s="397">
        <v>1500</v>
      </c>
      <c r="M15" s="397">
        <v>745738</v>
      </c>
      <c r="N15" s="408">
        <v>53</v>
      </c>
    </row>
    <row r="16" spans="1:17">
      <c r="A16" s="387">
        <v>1</v>
      </c>
      <c r="B16" s="404">
        <v>43902</v>
      </c>
      <c r="C16" s="371" t="s">
        <v>51</v>
      </c>
      <c r="D16" s="397">
        <f t="shared" si="1"/>
        <v>26000</v>
      </c>
      <c r="E16" s="405">
        <v>5850</v>
      </c>
      <c r="F16" s="406">
        <v>5200</v>
      </c>
      <c r="G16" s="4">
        <v>650</v>
      </c>
      <c r="H16" s="407"/>
      <c r="I16" s="416"/>
      <c r="J16" s="348" t="s">
        <v>324</v>
      </c>
      <c r="K16" s="371"/>
      <c r="L16" s="397">
        <v>1500</v>
      </c>
      <c r="M16" s="397">
        <v>759806</v>
      </c>
      <c r="N16" s="408">
        <v>54</v>
      </c>
    </row>
    <row r="17" spans="1:14">
      <c r="A17" s="387">
        <v>0.67</v>
      </c>
      <c r="B17" s="404">
        <v>43903</v>
      </c>
      <c r="C17" s="371" t="s">
        <v>29</v>
      </c>
      <c r="D17" s="397">
        <f t="shared" si="1"/>
        <v>18000</v>
      </c>
      <c r="E17" s="405">
        <v>7050</v>
      </c>
      <c r="F17" s="406">
        <v>5950</v>
      </c>
      <c r="G17" s="4">
        <v>1100</v>
      </c>
      <c r="H17" s="407"/>
      <c r="I17" s="416" t="s">
        <v>325</v>
      </c>
      <c r="J17" s="417" t="s">
        <v>326</v>
      </c>
      <c r="K17" s="371"/>
      <c r="L17" s="397">
        <v>1500</v>
      </c>
      <c r="M17" s="397">
        <v>761325</v>
      </c>
      <c r="N17" s="408">
        <v>54</v>
      </c>
    </row>
    <row r="18" spans="1:14">
      <c r="A18" s="387">
        <v>0.67</v>
      </c>
      <c r="B18" s="404">
        <v>43904</v>
      </c>
      <c r="C18" s="371" t="s">
        <v>33</v>
      </c>
      <c r="D18" s="397">
        <f t="shared" si="1"/>
        <v>18000</v>
      </c>
      <c r="E18" s="405">
        <v>5450</v>
      </c>
      <c r="F18" s="406">
        <v>4650</v>
      </c>
      <c r="G18" s="405">
        <v>800</v>
      </c>
      <c r="H18" s="407"/>
      <c r="I18" s="417" t="s">
        <v>318</v>
      </c>
      <c r="J18" s="417" t="s">
        <v>326</v>
      </c>
      <c r="K18" s="371"/>
      <c r="L18" s="397">
        <v>0</v>
      </c>
      <c r="M18" s="397">
        <v>767744</v>
      </c>
      <c r="N18" s="408">
        <v>55</v>
      </c>
    </row>
    <row r="19" spans="1:14">
      <c r="A19" s="387">
        <v>0</v>
      </c>
      <c r="B19" s="409">
        <v>43905</v>
      </c>
      <c r="C19" s="410" t="s">
        <v>37</v>
      </c>
      <c r="D19" s="411">
        <f t="shared" si="1"/>
        <v>0</v>
      </c>
      <c r="E19" s="412">
        <v>5450</v>
      </c>
      <c r="F19" s="413">
        <v>4800</v>
      </c>
      <c r="G19" s="200">
        <v>650</v>
      </c>
      <c r="H19" s="414"/>
      <c r="I19" s="410" t="s">
        <v>318</v>
      </c>
      <c r="J19" s="417" t="s">
        <v>326</v>
      </c>
      <c r="K19" s="410"/>
      <c r="L19" s="411">
        <v>0</v>
      </c>
      <c r="M19" s="411">
        <v>756163</v>
      </c>
      <c r="N19" s="415">
        <v>54</v>
      </c>
    </row>
    <row r="20" spans="1:14">
      <c r="A20" s="387">
        <v>1</v>
      </c>
      <c r="B20" s="395">
        <v>43906</v>
      </c>
      <c r="C20" s="396" t="s">
        <v>41</v>
      </c>
      <c r="D20" s="397">
        <f t="shared" si="1"/>
        <v>26000</v>
      </c>
      <c r="E20" s="398">
        <v>7150</v>
      </c>
      <c r="F20" s="399">
        <v>6120</v>
      </c>
      <c r="G20" s="4">
        <v>1030</v>
      </c>
      <c r="H20" s="400" t="s">
        <v>327</v>
      </c>
      <c r="I20" s="396" t="s">
        <v>321</v>
      </c>
      <c r="J20" s="396" t="s">
        <v>328</v>
      </c>
      <c r="K20" s="401"/>
      <c r="L20" s="397">
        <v>1500</v>
      </c>
      <c r="M20" s="402">
        <v>767469</v>
      </c>
      <c r="N20" s="403">
        <v>55</v>
      </c>
    </row>
    <row r="21" spans="1:14">
      <c r="A21" s="387">
        <v>1</v>
      </c>
      <c r="B21" s="404">
        <v>43907</v>
      </c>
      <c r="C21" s="371" t="s">
        <v>46</v>
      </c>
      <c r="D21" s="397">
        <f t="shared" si="1"/>
        <v>26000</v>
      </c>
      <c r="E21" s="405">
        <v>7150</v>
      </c>
      <c r="F21" s="406">
        <v>6120</v>
      </c>
      <c r="G21" s="4">
        <v>1030</v>
      </c>
      <c r="H21" s="407"/>
      <c r="I21" s="371" t="s">
        <v>312</v>
      </c>
      <c r="J21" s="371" t="s">
        <v>328</v>
      </c>
      <c r="K21" s="374"/>
      <c r="L21" s="397">
        <v>1500</v>
      </c>
      <c r="M21" s="397">
        <v>778775</v>
      </c>
      <c r="N21" s="408">
        <v>55</v>
      </c>
    </row>
    <row r="22" spans="1:14">
      <c r="A22" s="387">
        <v>0.67</v>
      </c>
      <c r="B22" s="404">
        <v>43908</v>
      </c>
      <c r="C22" s="371" t="s">
        <v>49</v>
      </c>
      <c r="D22" s="397">
        <f t="shared" si="1"/>
        <v>18000</v>
      </c>
      <c r="E22" s="405">
        <v>7450</v>
      </c>
      <c r="F22" s="406">
        <v>6420</v>
      </c>
      <c r="G22" s="4">
        <v>1030</v>
      </c>
      <c r="H22" s="407" t="s">
        <v>329</v>
      </c>
      <c r="I22" s="371" t="s">
        <v>330</v>
      </c>
      <c r="J22" s="371" t="s">
        <v>331</v>
      </c>
      <c r="K22" s="374"/>
      <c r="L22" s="397">
        <v>1500</v>
      </c>
      <c r="M22" s="397">
        <v>779444</v>
      </c>
      <c r="N22" s="408">
        <v>55</v>
      </c>
    </row>
    <row r="23" spans="1:14">
      <c r="A23" s="387">
        <v>1</v>
      </c>
      <c r="B23" s="404">
        <v>43909</v>
      </c>
      <c r="C23" s="371" t="s">
        <v>51</v>
      </c>
      <c r="D23" s="397">
        <f t="shared" si="1"/>
        <v>26000</v>
      </c>
      <c r="E23" s="405">
        <v>6450</v>
      </c>
      <c r="F23" s="406">
        <v>5650</v>
      </c>
      <c r="G23" s="4">
        <v>800</v>
      </c>
      <c r="H23" s="407"/>
      <c r="I23" s="371" t="s">
        <v>332</v>
      </c>
      <c r="J23" s="371" t="s">
        <v>331</v>
      </c>
      <c r="K23" s="374"/>
      <c r="L23" s="397">
        <v>1500</v>
      </c>
      <c r="M23" s="397">
        <v>792238</v>
      </c>
      <c r="N23" s="408">
        <v>56</v>
      </c>
    </row>
    <row r="24" spans="1:14">
      <c r="A24" s="387">
        <v>1</v>
      </c>
      <c r="B24" s="404">
        <v>43910</v>
      </c>
      <c r="C24" s="371" t="s">
        <v>29</v>
      </c>
      <c r="D24" s="397">
        <f t="shared" si="1"/>
        <v>26000</v>
      </c>
      <c r="E24" s="405">
        <v>6950</v>
      </c>
      <c r="F24" s="406">
        <v>5850</v>
      </c>
      <c r="G24" s="4">
        <v>1100</v>
      </c>
      <c r="H24" s="407"/>
      <c r="I24" s="371" t="s">
        <v>333</v>
      </c>
      <c r="J24" s="371" t="s">
        <v>334</v>
      </c>
      <c r="K24" s="374"/>
      <c r="L24" s="397">
        <v>1500</v>
      </c>
      <c r="M24" s="397">
        <v>803969</v>
      </c>
      <c r="N24" s="408">
        <v>57</v>
      </c>
    </row>
    <row r="25" spans="1:14">
      <c r="A25" s="387">
        <v>0.67</v>
      </c>
      <c r="B25" s="404">
        <v>43911</v>
      </c>
      <c r="C25" s="371" t="s">
        <v>33</v>
      </c>
      <c r="D25" s="397">
        <f t="shared" si="1"/>
        <v>18000</v>
      </c>
      <c r="E25" s="405">
        <v>6850</v>
      </c>
      <c r="F25" s="406">
        <v>5820</v>
      </c>
      <c r="G25" s="4">
        <v>1030</v>
      </c>
      <c r="H25" s="407" t="s">
        <v>335</v>
      </c>
      <c r="I25" s="371" t="s">
        <v>336</v>
      </c>
      <c r="J25" s="371" t="s">
        <v>334</v>
      </c>
      <c r="K25" s="374"/>
      <c r="L25" s="397">
        <v>0</v>
      </c>
      <c r="M25" s="397">
        <v>807413</v>
      </c>
      <c r="N25" s="408">
        <v>57</v>
      </c>
    </row>
    <row r="26" spans="1:14">
      <c r="A26" s="387">
        <v>0</v>
      </c>
      <c r="B26" s="409">
        <v>43912</v>
      </c>
      <c r="C26" s="410" t="s">
        <v>37</v>
      </c>
      <c r="D26" s="411">
        <f t="shared" si="1"/>
        <v>0</v>
      </c>
      <c r="E26" s="412">
        <v>7350</v>
      </c>
      <c r="F26" s="406">
        <v>6320</v>
      </c>
      <c r="G26" s="200">
        <v>1030</v>
      </c>
      <c r="H26" s="407" t="s">
        <v>335</v>
      </c>
      <c r="I26" s="410" t="s">
        <v>336</v>
      </c>
      <c r="J26" s="371" t="s">
        <v>334</v>
      </c>
      <c r="K26" s="418"/>
      <c r="L26" s="411">
        <v>0</v>
      </c>
      <c r="M26" s="411">
        <v>791794</v>
      </c>
      <c r="N26" s="415">
        <v>56</v>
      </c>
    </row>
    <row r="27" spans="1:14">
      <c r="A27" s="387">
        <v>1</v>
      </c>
      <c r="B27" s="395">
        <v>43913</v>
      </c>
      <c r="C27" s="396" t="s">
        <v>41</v>
      </c>
      <c r="D27" s="397">
        <f t="shared" si="1"/>
        <v>26000</v>
      </c>
      <c r="E27" s="398">
        <v>8350</v>
      </c>
      <c r="F27" s="399">
        <v>7100</v>
      </c>
      <c r="G27" s="4">
        <v>1250</v>
      </c>
      <c r="H27" s="400"/>
      <c r="I27" s="371" t="s">
        <v>336</v>
      </c>
      <c r="J27" s="401"/>
      <c r="K27" s="396" t="s">
        <v>244</v>
      </c>
      <c r="L27" s="397">
        <v>1500</v>
      </c>
      <c r="M27" s="402">
        <v>800550</v>
      </c>
      <c r="N27" s="403">
        <v>56</v>
      </c>
    </row>
    <row r="28" spans="1:14">
      <c r="A28" s="387">
        <v>0</v>
      </c>
      <c r="B28" s="404">
        <v>43914</v>
      </c>
      <c r="C28" s="371" t="s">
        <v>46</v>
      </c>
      <c r="D28" s="397">
        <f t="shared" si="1"/>
        <v>0</v>
      </c>
      <c r="E28" s="405">
        <v>9350</v>
      </c>
      <c r="F28" s="406">
        <v>8100</v>
      </c>
      <c r="G28" s="4">
        <v>1250</v>
      </c>
      <c r="H28" s="407"/>
      <c r="I28" s="371" t="s">
        <v>337</v>
      </c>
      <c r="J28" s="371" t="s">
        <v>338</v>
      </c>
      <c r="K28" s="371" t="s">
        <v>244</v>
      </c>
      <c r="L28" s="397">
        <v>1500</v>
      </c>
      <c r="M28" s="397">
        <v>779181</v>
      </c>
      <c r="N28" s="408">
        <v>54</v>
      </c>
    </row>
    <row r="29" spans="1:14">
      <c r="A29" s="387">
        <v>0.33</v>
      </c>
      <c r="B29" s="404">
        <v>43915</v>
      </c>
      <c r="C29" s="371" t="s">
        <v>49</v>
      </c>
      <c r="D29" s="397">
        <f t="shared" si="1"/>
        <v>8000</v>
      </c>
      <c r="E29" s="405">
        <v>8850</v>
      </c>
      <c r="F29" s="406">
        <v>7400</v>
      </c>
      <c r="G29" s="4">
        <v>1450</v>
      </c>
      <c r="H29" s="407"/>
      <c r="I29" s="387" t="s">
        <v>314</v>
      </c>
      <c r="J29" s="371" t="s">
        <v>338</v>
      </c>
      <c r="K29" s="371" t="s">
        <v>244</v>
      </c>
      <c r="L29" s="397">
        <v>1500</v>
      </c>
      <c r="M29" s="397">
        <v>767875</v>
      </c>
      <c r="N29" s="408">
        <v>53</v>
      </c>
    </row>
    <row r="30" spans="1:14">
      <c r="A30" s="387">
        <v>1</v>
      </c>
      <c r="B30" s="404">
        <v>43916</v>
      </c>
      <c r="C30" s="371" t="s">
        <v>51</v>
      </c>
      <c r="D30" s="397">
        <f t="shared" si="1"/>
        <v>26000</v>
      </c>
      <c r="E30" s="405">
        <v>5850</v>
      </c>
      <c r="F30" s="406">
        <v>5200</v>
      </c>
      <c r="G30" s="4">
        <v>650</v>
      </c>
      <c r="H30" s="407"/>
      <c r="I30" s="419"/>
      <c r="J30" s="420"/>
      <c r="K30" s="371" t="s">
        <v>244</v>
      </c>
      <c r="L30" s="397">
        <v>1500</v>
      </c>
      <c r="M30" s="397">
        <v>781944</v>
      </c>
      <c r="N30" s="408">
        <v>54</v>
      </c>
    </row>
    <row r="31" spans="1:14">
      <c r="A31" s="387">
        <v>1</v>
      </c>
      <c r="B31" s="404">
        <v>43917</v>
      </c>
      <c r="C31" s="371" t="s">
        <v>29</v>
      </c>
      <c r="D31" s="397">
        <f t="shared" si="1"/>
        <v>26000</v>
      </c>
      <c r="E31" s="405">
        <v>5950</v>
      </c>
      <c r="F31" s="406">
        <v>4850</v>
      </c>
      <c r="G31" s="4">
        <v>1100</v>
      </c>
      <c r="H31" s="407"/>
      <c r="I31" s="387" t="s">
        <v>339</v>
      </c>
      <c r="J31" s="420"/>
      <c r="K31" s="371" t="s">
        <v>244</v>
      </c>
      <c r="L31" s="397">
        <v>1500</v>
      </c>
      <c r="M31" s="397">
        <v>795800</v>
      </c>
      <c r="N31" s="408">
        <v>55</v>
      </c>
    </row>
    <row r="32" spans="1:14">
      <c r="A32" s="387">
        <v>0.67</v>
      </c>
      <c r="B32" s="404">
        <v>43918</v>
      </c>
      <c r="C32" s="371" t="s">
        <v>33</v>
      </c>
      <c r="D32" s="397">
        <f t="shared" si="1"/>
        <v>18000</v>
      </c>
      <c r="E32" s="405">
        <v>5650</v>
      </c>
      <c r="F32" s="406">
        <v>4620</v>
      </c>
      <c r="G32" s="4">
        <v>1030</v>
      </c>
      <c r="H32" s="407"/>
      <c r="I32" s="371" t="s">
        <v>340</v>
      </c>
      <c r="J32" s="374"/>
      <c r="K32" s="371" t="s">
        <v>244</v>
      </c>
      <c r="L32" s="397">
        <v>0</v>
      </c>
      <c r="M32" s="397">
        <v>801794</v>
      </c>
      <c r="N32" s="408">
        <v>56</v>
      </c>
    </row>
    <row r="33" spans="1:30">
      <c r="A33" s="387">
        <v>0</v>
      </c>
      <c r="B33" s="409">
        <v>43919</v>
      </c>
      <c r="C33" s="410" t="s">
        <v>37</v>
      </c>
      <c r="D33" s="411">
        <f t="shared" si="1"/>
        <v>0</v>
      </c>
      <c r="E33" s="412">
        <v>5650</v>
      </c>
      <c r="F33" s="413">
        <v>4620</v>
      </c>
      <c r="G33" s="4">
        <v>1030</v>
      </c>
      <c r="H33" s="414"/>
      <c r="I33" s="410" t="s">
        <v>307</v>
      </c>
      <c r="J33" s="418"/>
      <c r="K33" s="371" t="s">
        <v>244</v>
      </c>
      <c r="L33" s="411">
        <v>0</v>
      </c>
      <c r="M33" s="411">
        <v>789788</v>
      </c>
      <c r="N33" s="415">
        <v>55</v>
      </c>
    </row>
    <row r="34" spans="1:30">
      <c r="A34" s="387">
        <v>0</v>
      </c>
      <c r="B34" s="395">
        <v>43920</v>
      </c>
      <c r="C34" s="396" t="s">
        <v>41</v>
      </c>
      <c r="D34" s="397">
        <f t="shared" si="1"/>
        <v>0</v>
      </c>
      <c r="E34" s="398">
        <v>14250</v>
      </c>
      <c r="F34" s="399">
        <v>13000</v>
      </c>
      <c r="G34" s="17">
        <v>1250</v>
      </c>
      <c r="H34" s="400" t="s">
        <v>341</v>
      </c>
      <c r="I34" s="396" t="s">
        <v>342</v>
      </c>
      <c r="J34" s="371"/>
      <c r="K34" s="396" t="s">
        <v>343</v>
      </c>
      <c r="L34" s="397">
        <v>1500</v>
      </c>
      <c r="M34" s="402">
        <v>758006</v>
      </c>
      <c r="N34" s="403">
        <v>51</v>
      </c>
    </row>
    <row r="35" spans="1:30">
      <c r="A35" s="387">
        <v>0.33</v>
      </c>
      <c r="B35" s="409">
        <v>43921</v>
      </c>
      <c r="C35" s="410" t="s">
        <v>46</v>
      </c>
      <c r="D35" s="411">
        <f t="shared" si="1"/>
        <v>8000</v>
      </c>
      <c r="E35" s="412">
        <v>6450</v>
      </c>
      <c r="F35" s="413">
        <v>5420</v>
      </c>
      <c r="G35" s="200">
        <v>1030</v>
      </c>
      <c r="H35" s="414" t="s">
        <v>344</v>
      </c>
      <c r="I35" s="410" t="s">
        <v>345</v>
      </c>
      <c r="J35" s="421"/>
      <c r="K35" s="410"/>
      <c r="L35" s="411">
        <v>1500</v>
      </c>
      <c r="M35" s="411">
        <v>751800</v>
      </c>
      <c r="N35" s="415">
        <v>50</v>
      </c>
    </row>
    <row r="36" spans="1:30">
      <c r="A36">
        <f>SUM(A5:A33)</f>
        <v>19.36</v>
      </c>
      <c r="D36" s="270">
        <f t="shared" ref="D36:E36" si="2">SUM(D5:D35)</f>
        <v>516000</v>
      </c>
      <c r="E36" s="114">
        <f t="shared" si="2"/>
        <v>217750</v>
      </c>
      <c r="L36" s="397"/>
    </row>
    <row r="37" spans="1:30">
      <c r="A37" s="422" t="s">
        <v>346</v>
      </c>
      <c r="B37" s="416"/>
      <c r="D37" s="113"/>
      <c r="E37" s="114">
        <f>E36*J38</f>
        <v>522600</v>
      </c>
      <c r="J37" s="371" t="s">
        <v>347</v>
      </c>
    </row>
    <row r="38" spans="1:30">
      <c r="J38" s="358">
        <v>2.4</v>
      </c>
    </row>
    <row r="40" spans="1:30">
      <c r="A40" s="423" t="s">
        <v>348</v>
      </c>
      <c r="B40" s="423" t="s">
        <v>349</v>
      </c>
      <c r="C40" s="113"/>
      <c r="D40" s="113"/>
      <c r="H40" s="405"/>
      <c r="I40" s="405"/>
    </row>
    <row r="41" spans="1:30">
      <c r="A41" s="377">
        <v>6000</v>
      </c>
      <c r="B41" s="377">
        <v>1</v>
      </c>
      <c r="H41" s="405"/>
      <c r="I41" s="405">
        <v>400</v>
      </c>
    </row>
    <row r="42" spans="1:30">
      <c r="A42" s="377">
        <v>7000</v>
      </c>
      <c r="B42" s="377">
        <v>0.67</v>
      </c>
      <c r="D42" s="4" t="s">
        <v>350</v>
      </c>
      <c r="H42" s="405"/>
      <c r="I42" s="405">
        <v>550</v>
      </c>
    </row>
    <row r="43" spans="1:30">
      <c r="A43" s="286">
        <v>8000</v>
      </c>
      <c r="B43" s="377">
        <v>0.33</v>
      </c>
      <c r="H43" s="405"/>
      <c r="I43" s="405">
        <v>780</v>
      </c>
    </row>
    <row r="44" spans="1:30">
      <c r="A44" s="286">
        <v>9000</v>
      </c>
      <c r="B44" s="377">
        <v>0</v>
      </c>
      <c r="D44" s="4" t="s">
        <v>351</v>
      </c>
      <c r="H44" s="405"/>
      <c r="I44" s="405">
        <v>850</v>
      </c>
    </row>
    <row r="45" spans="1:30">
      <c r="H45" s="405"/>
      <c r="I45" s="405">
        <v>1000</v>
      </c>
    </row>
    <row r="46" spans="1:30">
      <c r="H46" s="405"/>
      <c r="I46" s="405">
        <v>1200</v>
      </c>
    </row>
    <row r="47" spans="1:30"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  <c r="AA47" s="424"/>
      <c r="AB47" s="424"/>
      <c r="AC47" s="424"/>
      <c r="AD47" s="424"/>
    </row>
  </sheetData>
  <mergeCells count="5">
    <mergeCell ref="B3:C3"/>
    <mergeCell ref="D3:G3"/>
    <mergeCell ref="I3:K3"/>
    <mergeCell ref="L3:N3"/>
    <mergeCell ref="B4:C4"/>
  </mergeCells>
  <phoneticPr fontId="6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4CCCC"/>
    <outlinePr summaryBelow="0" summaryRight="0"/>
  </sheetPr>
  <dimension ref="A1:AC37"/>
  <sheetViews>
    <sheetView showGridLines="0" workbookViewId="0"/>
  </sheetViews>
  <sheetFormatPr baseColWidth="10" defaultColWidth="12.6640625" defaultRowHeight="15.75" customHeight="1"/>
  <cols>
    <col min="1" max="2" width="4.5" customWidth="1"/>
    <col min="3" max="5" width="9.6640625" customWidth="1"/>
    <col min="6" max="6" width="9.83203125" customWidth="1"/>
    <col min="7" max="7" width="16.33203125" customWidth="1"/>
    <col min="8" max="8" width="19.5" customWidth="1"/>
    <col min="9" max="9" width="13.6640625" customWidth="1"/>
    <col min="10" max="12" width="7.6640625" customWidth="1"/>
  </cols>
  <sheetData>
    <row r="1" spans="1:29">
      <c r="A1" s="849"/>
      <c r="B1" s="842"/>
      <c r="C1" s="849" t="s">
        <v>220</v>
      </c>
      <c r="D1" s="841"/>
      <c r="E1" s="841"/>
      <c r="F1" s="842"/>
      <c r="G1" s="426"/>
      <c r="H1" s="426"/>
      <c r="I1" s="426"/>
      <c r="J1" s="426"/>
      <c r="K1" s="426"/>
      <c r="L1" s="427" t="s">
        <v>8</v>
      </c>
      <c r="M1" s="428"/>
      <c r="N1" s="428"/>
      <c r="O1" s="428"/>
      <c r="P1" s="428"/>
      <c r="Q1" s="428"/>
      <c r="R1" s="428"/>
      <c r="S1" s="428"/>
      <c r="T1" s="428"/>
      <c r="U1" s="429" t="s">
        <v>352</v>
      </c>
      <c r="V1" s="430"/>
      <c r="W1" s="430"/>
      <c r="X1" s="429" t="s">
        <v>129</v>
      </c>
      <c r="Y1" s="430"/>
      <c r="Z1" s="430"/>
      <c r="AA1" s="429" t="s">
        <v>303</v>
      </c>
      <c r="AB1" s="430"/>
      <c r="AC1" s="430"/>
    </row>
    <row r="2" spans="1:29">
      <c r="A2" s="853" t="s">
        <v>10</v>
      </c>
      <c r="B2" s="842"/>
      <c r="C2" s="431" t="s">
        <v>63</v>
      </c>
      <c r="D2" s="432" t="s">
        <v>18</v>
      </c>
      <c r="E2" s="433" t="s">
        <v>353</v>
      </c>
      <c r="F2" s="434" t="s">
        <v>305</v>
      </c>
      <c r="G2" s="435" t="s">
        <v>354</v>
      </c>
      <c r="H2" s="436" t="s">
        <v>355</v>
      </c>
      <c r="I2" s="437" t="s">
        <v>356</v>
      </c>
      <c r="J2" s="436" t="s">
        <v>357</v>
      </c>
      <c r="K2" s="436" t="s">
        <v>358</v>
      </c>
      <c r="L2" s="436" t="s">
        <v>359</v>
      </c>
      <c r="M2" s="435" t="s">
        <v>360</v>
      </c>
      <c r="N2" s="435" t="s">
        <v>361</v>
      </c>
      <c r="O2" s="435" t="s">
        <v>360</v>
      </c>
      <c r="P2" s="436" t="s">
        <v>355</v>
      </c>
      <c r="Q2" s="435" t="s">
        <v>360</v>
      </c>
      <c r="R2" s="437" t="s">
        <v>362</v>
      </c>
      <c r="S2" s="436" t="s">
        <v>357</v>
      </c>
      <c r="T2" s="436" t="s">
        <v>358</v>
      </c>
      <c r="U2" s="435" t="s">
        <v>363</v>
      </c>
      <c r="V2" s="435" t="s">
        <v>364</v>
      </c>
      <c r="W2" s="435" t="s">
        <v>355</v>
      </c>
      <c r="X2" s="435" t="s">
        <v>130</v>
      </c>
      <c r="Y2" s="436" t="s">
        <v>186</v>
      </c>
      <c r="Z2" s="436" t="s">
        <v>132</v>
      </c>
      <c r="AA2" s="435" t="s">
        <v>253</v>
      </c>
      <c r="AB2" s="435" t="s">
        <v>365</v>
      </c>
      <c r="AC2" s="436" t="s">
        <v>366</v>
      </c>
    </row>
    <row r="3" spans="1:29">
      <c r="A3" s="438">
        <v>44409</v>
      </c>
      <c r="B3" s="439" t="s">
        <v>37</v>
      </c>
      <c r="C3" s="440">
        <v>0</v>
      </c>
      <c r="D3" s="440">
        <v>7497</v>
      </c>
      <c r="E3" s="440">
        <v>7145</v>
      </c>
      <c r="F3" s="440">
        <v>352</v>
      </c>
      <c r="G3" s="440">
        <v>5998</v>
      </c>
      <c r="H3" s="441">
        <v>29989</v>
      </c>
      <c r="I3" s="442">
        <v>5</v>
      </c>
      <c r="J3" s="441">
        <v>1499</v>
      </c>
      <c r="K3" s="443">
        <v>0.2</v>
      </c>
      <c r="L3" s="440">
        <v>6055</v>
      </c>
      <c r="M3" s="443">
        <v>0.81</v>
      </c>
      <c r="N3" s="441">
        <v>5088</v>
      </c>
      <c r="O3" s="443">
        <v>0.85</v>
      </c>
      <c r="P3" s="441">
        <v>27909</v>
      </c>
      <c r="Q3" s="443">
        <v>0.93</v>
      </c>
      <c r="R3" s="442">
        <v>5.5</v>
      </c>
      <c r="S3" s="441">
        <v>967</v>
      </c>
      <c r="T3" s="443">
        <v>0.16</v>
      </c>
      <c r="U3" s="441">
        <v>0</v>
      </c>
      <c r="V3" s="441">
        <v>0</v>
      </c>
      <c r="W3" s="441">
        <v>25420</v>
      </c>
      <c r="X3" s="444"/>
      <c r="Y3" s="445"/>
      <c r="Z3" s="446"/>
      <c r="AA3" s="440">
        <v>0</v>
      </c>
      <c r="AB3" s="440">
        <v>1599273</v>
      </c>
      <c r="AC3" s="440">
        <v>45</v>
      </c>
    </row>
    <row r="4" spans="1:29">
      <c r="A4" s="438">
        <v>44410</v>
      </c>
      <c r="B4" s="439" t="s">
        <v>41</v>
      </c>
      <c r="C4" s="440">
        <v>61000</v>
      </c>
      <c r="D4" s="440">
        <v>8457</v>
      </c>
      <c r="E4" s="440">
        <v>8060</v>
      </c>
      <c r="F4" s="440">
        <v>397</v>
      </c>
      <c r="G4" s="440">
        <v>6935</v>
      </c>
      <c r="H4" s="441">
        <v>34675</v>
      </c>
      <c r="I4" s="442">
        <v>5</v>
      </c>
      <c r="J4" s="441">
        <v>1522</v>
      </c>
      <c r="K4" s="443">
        <v>0.18</v>
      </c>
      <c r="L4" s="440">
        <v>7693</v>
      </c>
      <c r="M4" s="443">
        <v>0.91</v>
      </c>
      <c r="N4" s="441">
        <v>5949</v>
      </c>
      <c r="O4" s="443">
        <v>0.86</v>
      </c>
      <c r="P4" s="441">
        <v>35104</v>
      </c>
      <c r="Q4" s="443">
        <v>1.01</v>
      </c>
      <c r="R4" s="442">
        <v>5.9</v>
      </c>
      <c r="S4" s="441">
        <v>1744</v>
      </c>
      <c r="T4" s="443">
        <v>0.23</v>
      </c>
      <c r="U4" s="441">
        <v>1291</v>
      </c>
      <c r="V4" s="441">
        <v>6865</v>
      </c>
      <c r="W4" s="447">
        <v>24027</v>
      </c>
      <c r="X4" s="447" t="s">
        <v>367</v>
      </c>
      <c r="Y4" s="439" t="s">
        <v>368</v>
      </c>
      <c r="Z4" s="446"/>
      <c r="AA4" s="440">
        <v>1000</v>
      </c>
      <c r="AB4" s="440">
        <v>1624564</v>
      </c>
      <c r="AC4" s="440">
        <v>45</v>
      </c>
    </row>
    <row r="5" spans="1:29">
      <c r="A5" s="438">
        <v>44411</v>
      </c>
      <c r="B5" s="439" t="s">
        <v>46</v>
      </c>
      <c r="C5" s="440">
        <v>61000</v>
      </c>
      <c r="D5" s="440">
        <v>6894</v>
      </c>
      <c r="E5" s="440">
        <v>6570</v>
      </c>
      <c r="F5" s="440">
        <v>324</v>
      </c>
      <c r="G5" s="440">
        <v>5515</v>
      </c>
      <c r="H5" s="441">
        <v>30333</v>
      </c>
      <c r="I5" s="442">
        <v>5.5</v>
      </c>
      <c r="J5" s="441">
        <v>1379</v>
      </c>
      <c r="K5" s="443">
        <v>0.2</v>
      </c>
      <c r="L5" s="440">
        <v>6058</v>
      </c>
      <c r="M5" s="443">
        <v>0.88</v>
      </c>
      <c r="N5" s="441">
        <v>4659</v>
      </c>
      <c r="O5" s="443">
        <v>0.84</v>
      </c>
      <c r="P5" s="441">
        <v>26672</v>
      </c>
      <c r="Q5" s="443">
        <v>0.88</v>
      </c>
      <c r="R5" s="442">
        <v>5.7</v>
      </c>
      <c r="S5" s="441">
        <v>1399</v>
      </c>
      <c r="T5" s="443">
        <v>0.23</v>
      </c>
      <c r="U5" s="441">
        <v>0</v>
      </c>
      <c r="V5" s="441">
        <v>0</v>
      </c>
      <c r="W5" s="447">
        <v>33443</v>
      </c>
      <c r="X5" s="444"/>
      <c r="Y5" s="439" t="s">
        <v>368</v>
      </c>
      <c r="Z5" s="446"/>
      <c r="AA5" s="440">
        <v>1000</v>
      </c>
      <c r="AB5" s="440">
        <v>1653129</v>
      </c>
      <c r="AC5" s="440">
        <v>46</v>
      </c>
    </row>
    <row r="6" spans="1:29">
      <c r="A6" s="438">
        <v>44412</v>
      </c>
      <c r="B6" s="439" t="s">
        <v>49</v>
      </c>
      <c r="C6" s="441">
        <v>61000</v>
      </c>
      <c r="D6" s="440">
        <v>7011</v>
      </c>
      <c r="E6" s="440">
        <v>6682</v>
      </c>
      <c r="F6" s="440">
        <v>329</v>
      </c>
      <c r="G6" s="440">
        <v>5609</v>
      </c>
      <c r="H6" s="441">
        <v>30848</v>
      </c>
      <c r="I6" s="442">
        <v>5.5</v>
      </c>
      <c r="J6" s="441">
        <v>1402</v>
      </c>
      <c r="K6" s="443">
        <v>0.2</v>
      </c>
      <c r="L6" s="440">
        <v>7430</v>
      </c>
      <c r="M6" s="443">
        <v>1.06</v>
      </c>
      <c r="N6" s="441">
        <v>5619</v>
      </c>
      <c r="O6" s="443">
        <v>1</v>
      </c>
      <c r="P6" s="441">
        <v>31181</v>
      </c>
      <c r="Q6" s="443">
        <v>1.01</v>
      </c>
      <c r="R6" s="442">
        <v>5.5</v>
      </c>
      <c r="S6" s="441">
        <v>1811</v>
      </c>
      <c r="T6" s="443">
        <v>0.24</v>
      </c>
      <c r="U6" s="441">
        <v>511</v>
      </c>
      <c r="V6" s="441">
        <v>2720</v>
      </c>
      <c r="W6" s="447">
        <v>24719</v>
      </c>
      <c r="X6" s="444"/>
      <c r="Y6" s="448" t="s">
        <v>369</v>
      </c>
      <c r="Z6" s="446"/>
      <c r="AA6" s="440">
        <v>1000</v>
      </c>
      <c r="AB6" s="440">
        <v>1681159</v>
      </c>
      <c r="AC6" s="440">
        <v>47</v>
      </c>
    </row>
    <row r="7" spans="1:29">
      <c r="A7" s="438">
        <v>44413</v>
      </c>
      <c r="B7" s="439" t="s">
        <v>51</v>
      </c>
      <c r="C7" s="440">
        <v>61000</v>
      </c>
      <c r="D7" s="440">
        <v>6426</v>
      </c>
      <c r="E7" s="440">
        <v>6125</v>
      </c>
      <c r="F7" s="440">
        <v>302</v>
      </c>
      <c r="G7" s="440">
        <v>5141</v>
      </c>
      <c r="H7" s="441">
        <v>28276</v>
      </c>
      <c r="I7" s="442">
        <v>5.5</v>
      </c>
      <c r="J7" s="441">
        <v>1285</v>
      </c>
      <c r="K7" s="443">
        <v>0.2</v>
      </c>
      <c r="L7" s="440">
        <v>7261</v>
      </c>
      <c r="M7" s="443">
        <v>1.1299999999999999</v>
      </c>
      <c r="N7" s="441">
        <v>5924</v>
      </c>
      <c r="O7" s="443">
        <v>1.1499999999999999</v>
      </c>
      <c r="P7" s="441">
        <v>27689</v>
      </c>
      <c r="Q7" s="443">
        <v>0.98</v>
      </c>
      <c r="R7" s="442">
        <v>4.7</v>
      </c>
      <c r="S7" s="441">
        <v>1337</v>
      </c>
      <c r="T7" s="443">
        <v>0.18</v>
      </c>
      <c r="U7" s="441">
        <v>22</v>
      </c>
      <c r="V7" s="441">
        <v>118</v>
      </c>
      <c r="W7" s="447">
        <v>26969</v>
      </c>
      <c r="X7" s="449" t="s">
        <v>370</v>
      </c>
      <c r="Y7" s="448" t="s">
        <v>369</v>
      </c>
      <c r="Z7" s="446"/>
      <c r="AA7" s="440">
        <v>1000</v>
      </c>
      <c r="AB7" s="440">
        <v>1711855</v>
      </c>
      <c r="AC7" s="440">
        <v>48</v>
      </c>
    </row>
    <row r="8" spans="1:29">
      <c r="A8" s="438">
        <v>44414</v>
      </c>
      <c r="B8" s="439" t="s">
        <v>29</v>
      </c>
      <c r="C8" s="440">
        <v>61000</v>
      </c>
      <c r="D8" s="440">
        <v>6365</v>
      </c>
      <c r="E8" s="440">
        <v>6066</v>
      </c>
      <c r="F8" s="440">
        <v>299</v>
      </c>
      <c r="G8" s="440">
        <v>5092</v>
      </c>
      <c r="H8" s="441">
        <v>28006</v>
      </c>
      <c r="I8" s="442">
        <v>5.5</v>
      </c>
      <c r="J8" s="441">
        <v>1273</v>
      </c>
      <c r="K8" s="443">
        <v>0.2</v>
      </c>
      <c r="L8" s="440">
        <v>5750</v>
      </c>
      <c r="M8" s="443">
        <v>0.9</v>
      </c>
      <c r="N8" s="441">
        <v>4392</v>
      </c>
      <c r="O8" s="443">
        <v>0.86</v>
      </c>
      <c r="P8" s="441">
        <v>26369</v>
      </c>
      <c r="Q8" s="443">
        <v>0.94</v>
      </c>
      <c r="R8" s="442">
        <v>6</v>
      </c>
      <c r="S8" s="441">
        <v>1358</v>
      </c>
      <c r="T8" s="443">
        <v>0.24</v>
      </c>
      <c r="U8" s="450">
        <v>440</v>
      </c>
      <c r="V8" s="450">
        <v>2341</v>
      </c>
      <c r="W8" s="451">
        <v>20981</v>
      </c>
      <c r="X8" s="445"/>
      <c r="Y8" s="446"/>
      <c r="Z8" s="446"/>
      <c r="AA8" s="440">
        <v>1000</v>
      </c>
      <c r="AB8" s="440">
        <v>1742830</v>
      </c>
      <c r="AC8" s="440">
        <v>54</v>
      </c>
    </row>
    <row r="9" spans="1:29">
      <c r="A9" s="438">
        <v>44415</v>
      </c>
      <c r="B9" s="439" t="s">
        <v>33</v>
      </c>
      <c r="C9" s="440">
        <v>37000</v>
      </c>
      <c r="D9" s="440">
        <v>7595</v>
      </c>
      <c r="E9" s="440">
        <v>7239</v>
      </c>
      <c r="F9" s="440">
        <v>357</v>
      </c>
      <c r="G9" s="440">
        <v>6076</v>
      </c>
      <c r="H9" s="440">
        <v>33420</v>
      </c>
      <c r="I9" s="452">
        <v>5.5</v>
      </c>
      <c r="J9" s="441">
        <v>1519</v>
      </c>
      <c r="K9" s="443">
        <v>0.2</v>
      </c>
      <c r="L9" s="440">
        <v>7298</v>
      </c>
      <c r="M9" s="453">
        <v>0.96</v>
      </c>
      <c r="N9" s="440">
        <v>5449</v>
      </c>
      <c r="O9" s="453">
        <v>0.9</v>
      </c>
      <c r="P9" s="440">
        <v>32101</v>
      </c>
      <c r="Q9" s="453">
        <v>0.96</v>
      </c>
      <c r="R9" s="452">
        <v>5.9</v>
      </c>
      <c r="S9" s="440">
        <v>1849</v>
      </c>
      <c r="T9" s="443">
        <v>0.25</v>
      </c>
      <c r="U9" s="441">
        <v>1231</v>
      </c>
      <c r="V9" s="441">
        <v>6549</v>
      </c>
      <c r="W9" s="447">
        <v>24041</v>
      </c>
      <c r="X9" s="449" t="s">
        <v>371</v>
      </c>
      <c r="Y9" s="446"/>
      <c r="Z9" s="446"/>
      <c r="AA9" s="440">
        <v>0</v>
      </c>
      <c r="AB9" s="440">
        <v>1745195</v>
      </c>
      <c r="AC9" s="440">
        <v>54</v>
      </c>
    </row>
    <row r="10" spans="1:29">
      <c r="A10" s="454">
        <v>44416</v>
      </c>
      <c r="B10" s="455" t="s">
        <v>37</v>
      </c>
      <c r="C10" s="456">
        <v>0</v>
      </c>
      <c r="D10" s="456">
        <v>41581</v>
      </c>
      <c r="E10" s="456">
        <v>39628</v>
      </c>
      <c r="F10" s="456">
        <v>1953</v>
      </c>
      <c r="G10" s="456">
        <v>34097</v>
      </c>
      <c r="H10" s="456">
        <v>136386</v>
      </c>
      <c r="I10" s="457">
        <v>4</v>
      </c>
      <c r="J10" s="456">
        <v>7485</v>
      </c>
      <c r="K10" s="458">
        <v>0.18</v>
      </c>
      <c r="L10" s="456">
        <v>33770</v>
      </c>
      <c r="M10" s="458">
        <v>0.81</v>
      </c>
      <c r="N10" s="456">
        <v>25698</v>
      </c>
      <c r="O10" s="458">
        <v>0.75</v>
      </c>
      <c r="P10" s="456">
        <v>125398</v>
      </c>
      <c r="Q10" s="458">
        <v>0.92</v>
      </c>
      <c r="R10" s="457">
        <v>4.9000000000000004</v>
      </c>
      <c r="S10" s="456">
        <v>8072</v>
      </c>
      <c r="T10" s="458">
        <v>0.24</v>
      </c>
      <c r="U10" s="441">
        <v>9484</v>
      </c>
      <c r="V10" s="441">
        <v>50442</v>
      </c>
      <c r="W10" s="447">
        <v>66457</v>
      </c>
      <c r="X10" s="444"/>
      <c r="Y10" s="445"/>
      <c r="Z10" s="451" t="s">
        <v>372</v>
      </c>
      <c r="AA10" s="440">
        <v>0</v>
      </c>
      <c r="AB10" s="440">
        <v>1574546</v>
      </c>
      <c r="AC10" s="440">
        <v>43</v>
      </c>
    </row>
    <row r="11" spans="1:29">
      <c r="A11" s="438">
        <v>44417</v>
      </c>
      <c r="B11" s="439" t="s">
        <v>41</v>
      </c>
      <c r="C11" s="440">
        <v>61000</v>
      </c>
      <c r="D11" s="440">
        <v>9605</v>
      </c>
      <c r="E11" s="440">
        <v>9154</v>
      </c>
      <c r="F11" s="440">
        <v>451</v>
      </c>
      <c r="G11" s="440">
        <v>7876</v>
      </c>
      <c r="H11" s="441">
        <v>35443</v>
      </c>
      <c r="I11" s="442">
        <v>4.5</v>
      </c>
      <c r="J11" s="441">
        <v>1729</v>
      </c>
      <c r="K11" s="443">
        <v>0.18</v>
      </c>
      <c r="L11" s="440">
        <v>9800</v>
      </c>
      <c r="M11" s="443">
        <v>1.02</v>
      </c>
      <c r="N11" s="441">
        <v>7870</v>
      </c>
      <c r="O11" s="443">
        <v>1</v>
      </c>
      <c r="P11" s="441">
        <v>48194</v>
      </c>
      <c r="Q11" s="459">
        <v>1.36</v>
      </c>
      <c r="R11" s="442">
        <v>6.1</v>
      </c>
      <c r="S11" s="441">
        <v>1930</v>
      </c>
      <c r="T11" s="443">
        <v>0.2</v>
      </c>
      <c r="U11" s="441">
        <v>9167</v>
      </c>
      <c r="V11" s="441">
        <v>48757</v>
      </c>
      <c r="W11" s="447">
        <v>44096</v>
      </c>
      <c r="X11" s="460"/>
      <c r="Y11" s="439" t="s">
        <v>373</v>
      </c>
      <c r="Z11" s="439" t="s">
        <v>374</v>
      </c>
      <c r="AA11" s="440">
        <v>1000</v>
      </c>
      <c r="AB11" s="440">
        <v>1595127</v>
      </c>
      <c r="AC11" s="440">
        <v>43</v>
      </c>
    </row>
    <row r="12" spans="1:29">
      <c r="A12" s="438">
        <v>44418</v>
      </c>
      <c r="B12" s="439" t="s">
        <v>46</v>
      </c>
      <c r="C12" s="440">
        <v>61000</v>
      </c>
      <c r="D12" s="440">
        <v>14365</v>
      </c>
      <c r="E12" s="440">
        <v>13976</v>
      </c>
      <c r="F12" s="440">
        <v>389</v>
      </c>
      <c r="G12" s="440">
        <v>11779</v>
      </c>
      <c r="H12" s="441">
        <v>53006</v>
      </c>
      <c r="I12" s="442">
        <v>4.5</v>
      </c>
      <c r="J12" s="441">
        <v>2586</v>
      </c>
      <c r="K12" s="443">
        <v>0.18</v>
      </c>
      <c r="L12" s="440">
        <v>9477</v>
      </c>
      <c r="M12" s="443">
        <v>0.66</v>
      </c>
      <c r="N12" s="441">
        <v>7704</v>
      </c>
      <c r="O12" s="443">
        <v>0.65</v>
      </c>
      <c r="P12" s="441">
        <v>42903</v>
      </c>
      <c r="Q12" s="443">
        <v>0.81</v>
      </c>
      <c r="R12" s="442">
        <v>5.6</v>
      </c>
      <c r="S12" s="441">
        <v>1773</v>
      </c>
      <c r="T12" s="443">
        <v>0.19</v>
      </c>
      <c r="U12" s="441">
        <v>9725</v>
      </c>
      <c r="V12" s="441">
        <v>51723</v>
      </c>
      <c r="W12" s="447">
        <v>43680</v>
      </c>
      <c r="X12" s="444"/>
      <c r="Y12" s="439" t="s">
        <v>373</v>
      </c>
      <c r="Z12" s="439" t="s">
        <v>375</v>
      </c>
      <c r="AA12" s="440">
        <v>1000</v>
      </c>
      <c r="AB12" s="440">
        <v>1596174</v>
      </c>
      <c r="AC12" s="440">
        <v>42</v>
      </c>
    </row>
    <row r="13" spans="1:29">
      <c r="A13" s="438">
        <v>44419</v>
      </c>
      <c r="B13" s="439" t="s">
        <v>49</v>
      </c>
      <c r="C13" s="440">
        <v>61000</v>
      </c>
      <c r="D13" s="440">
        <v>13500</v>
      </c>
      <c r="E13" s="440">
        <v>13152</v>
      </c>
      <c r="F13" s="440">
        <v>348</v>
      </c>
      <c r="G13" s="440">
        <v>11070</v>
      </c>
      <c r="H13" s="441">
        <v>49816</v>
      </c>
      <c r="I13" s="442">
        <v>4.5</v>
      </c>
      <c r="J13" s="441">
        <v>2430</v>
      </c>
      <c r="K13" s="443">
        <v>0.18</v>
      </c>
      <c r="L13" s="440">
        <v>10777</v>
      </c>
      <c r="M13" s="443">
        <v>0.8</v>
      </c>
      <c r="N13" s="441">
        <v>8544</v>
      </c>
      <c r="O13" s="443">
        <v>0.77</v>
      </c>
      <c r="P13" s="441">
        <v>47620</v>
      </c>
      <c r="Q13" s="443">
        <v>0.96</v>
      </c>
      <c r="R13" s="442">
        <v>5.6</v>
      </c>
      <c r="S13" s="441">
        <v>2233</v>
      </c>
      <c r="T13" s="443">
        <v>0.21</v>
      </c>
      <c r="U13" s="441">
        <v>9755</v>
      </c>
      <c r="V13" s="441">
        <v>51881</v>
      </c>
      <c r="W13" s="447">
        <v>43680</v>
      </c>
      <c r="X13" s="444"/>
      <c r="Y13" s="439" t="s">
        <v>376</v>
      </c>
      <c r="Z13" s="439" t="s">
        <v>377</v>
      </c>
      <c r="AA13" s="440">
        <v>1000</v>
      </c>
      <c r="AB13" s="440">
        <v>1600769</v>
      </c>
      <c r="AC13" s="440">
        <v>41</v>
      </c>
    </row>
    <row r="14" spans="1:29">
      <c r="A14" s="438">
        <v>44420</v>
      </c>
      <c r="B14" s="439" t="s">
        <v>51</v>
      </c>
      <c r="C14" s="440">
        <v>61000</v>
      </c>
      <c r="D14" s="440">
        <v>6876</v>
      </c>
      <c r="E14" s="440">
        <v>6553</v>
      </c>
      <c r="F14" s="440">
        <v>323</v>
      </c>
      <c r="G14" s="440">
        <v>5501</v>
      </c>
      <c r="H14" s="441">
        <v>27504</v>
      </c>
      <c r="I14" s="442">
        <v>5</v>
      </c>
      <c r="J14" s="441">
        <v>1375</v>
      </c>
      <c r="K14" s="443">
        <v>0.2</v>
      </c>
      <c r="L14" s="440">
        <v>5826</v>
      </c>
      <c r="M14" s="443">
        <v>0.85</v>
      </c>
      <c r="N14" s="441">
        <v>4596</v>
      </c>
      <c r="O14" s="443">
        <v>0.84</v>
      </c>
      <c r="P14" s="441">
        <v>29505</v>
      </c>
      <c r="Q14" s="443">
        <v>1.07</v>
      </c>
      <c r="R14" s="442">
        <v>6.4</v>
      </c>
      <c r="S14" s="441">
        <v>1230</v>
      </c>
      <c r="T14" s="443">
        <v>0.21</v>
      </c>
      <c r="U14" s="441">
        <v>6327</v>
      </c>
      <c r="V14" s="441">
        <v>33652</v>
      </c>
      <c r="W14" s="447">
        <v>42432</v>
      </c>
      <c r="X14" s="444"/>
      <c r="Y14" s="439" t="s">
        <v>376</v>
      </c>
      <c r="Z14" s="451" t="s">
        <v>378</v>
      </c>
      <c r="AA14" s="440">
        <v>1000</v>
      </c>
      <c r="AB14" s="440">
        <v>1634703</v>
      </c>
      <c r="AC14" s="440">
        <v>42</v>
      </c>
    </row>
    <row r="15" spans="1:29">
      <c r="A15" s="438">
        <v>44421</v>
      </c>
      <c r="B15" s="439" t="s">
        <v>29</v>
      </c>
      <c r="C15" s="440">
        <v>61000</v>
      </c>
      <c r="D15" s="440">
        <v>5857</v>
      </c>
      <c r="E15" s="440">
        <v>5582</v>
      </c>
      <c r="F15" s="440">
        <v>275</v>
      </c>
      <c r="G15" s="440">
        <v>4686</v>
      </c>
      <c r="H15" s="441">
        <v>25771</v>
      </c>
      <c r="I15" s="442">
        <v>5.5</v>
      </c>
      <c r="J15" s="441">
        <v>1171</v>
      </c>
      <c r="K15" s="443">
        <v>0.2</v>
      </c>
      <c r="L15" s="440">
        <v>5904</v>
      </c>
      <c r="M15" s="443">
        <v>1.01</v>
      </c>
      <c r="N15" s="441">
        <v>4593</v>
      </c>
      <c r="O15" s="443">
        <v>0.98</v>
      </c>
      <c r="P15" s="441">
        <v>25968</v>
      </c>
      <c r="Q15" s="443">
        <v>1.01</v>
      </c>
      <c r="R15" s="442">
        <v>5.7</v>
      </c>
      <c r="S15" s="441">
        <v>1311</v>
      </c>
      <c r="T15" s="443">
        <v>0.22</v>
      </c>
      <c r="U15" s="441">
        <v>6172</v>
      </c>
      <c r="V15" s="441">
        <v>32827</v>
      </c>
      <c r="W15" s="447">
        <v>23504</v>
      </c>
      <c r="X15" s="444"/>
      <c r="Y15" s="439" t="s">
        <v>379</v>
      </c>
      <c r="Z15" s="445"/>
      <c r="AA15" s="440">
        <v>1000</v>
      </c>
      <c r="AB15" s="440">
        <v>1670665</v>
      </c>
      <c r="AC15" s="440">
        <v>43</v>
      </c>
    </row>
    <row r="16" spans="1:29">
      <c r="A16" s="438">
        <v>44422</v>
      </c>
      <c r="B16" s="439" t="s">
        <v>33</v>
      </c>
      <c r="C16" s="440">
        <v>37000</v>
      </c>
      <c r="D16" s="440">
        <v>7018</v>
      </c>
      <c r="E16" s="440">
        <v>6688</v>
      </c>
      <c r="F16" s="440">
        <v>330</v>
      </c>
      <c r="G16" s="440">
        <v>5614</v>
      </c>
      <c r="H16" s="441">
        <v>30878</v>
      </c>
      <c r="I16" s="442">
        <v>5.5</v>
      </c>
      <c r="J16" s="441">
        <v>1404</v>
      </c>
      <c r="K16" s="443">
        <v>0.2</v>
      </c>
      <c r="L16" s="440">
        <v>6117</v>
      </c>
      <c r="M16" s="443">
        <v>0.87</v>
      </c>
      <c r="N16" s="441">
        <v>4637</v>
      </c>
      <c r="O16" s="443">
        <v>0.83</v>
      </c>
      <c r="P16" s="441">
        <v>28008</v>
      </c>
      <c r="Q16" s="443">
        <v>0.91</v>
      </c>
      <c r="R16" s="442">
        <v>6</v>
      </c>
      <c r="S16" s="441">
        <v>1480</v>
      </c>
      <c r="T16" s="443">
        <v>0.24</v>
      </c>
      <c r="U16" s="441">
        <v>7683</v>
      </c>
      <c r="V16" s="441">
        <v>40863</v>
      </c>
      <c r="W16" s="447">
        <v>19136</v>
      </c>
      <c r="X16" s="444"/>
      <c r="Y16" s="439" t="s">
        <v>379</v>
      </c>
      <c r="Z16" s="445"/>
      <c r="AA16" s="440">
        <v>0</v>
      </c>
      <c r="AB16" s="440">
        <v>1678865</v>
      </c>
      <c r="AC16" s="440">
        <v>43</v>
      </c>
    </row>
    <row r="17" spans="1:29">
      <c r="A17" s="438">
        <v>44423</v>
      </c>
      <c r="B17" s="451" t="s">
        <v>37</v>
      </c>
      <c r="C17" s="440">
        <v>0</v>
      </c>
      <c r="D17" s="440">
        <v>7175</v>
      </c>
      <c r="E17" s="440">
        <v>6838</v>
      </c>
      <c r="F17" s="440">
        <v>337</v>
      </c>
      <c r="G17" s="440">
        <v>5740</v>
      </c>
      <c r="H17" s="441">
        <v>31570</v>
      </c>
      <c r="I17" s="442">
        <v>5.5</v>
      </c>
      <c r="J17" s="441">
        <v>1435</v>
      </c>
      <c r="K17" s="443">
        <v>0.2</v>
      </c>
      <c r="L17" s="440">
        <v>6298</v>
      </c>
      <c r="M17" s="443">
        <v>0.88</v>
      </c>
      <c r="N17" s="441">
        <v>4883</v>
      </c>
      <c r="O17" s="443">
        <v>0.85</v>
      </c>
      <c r="P17" s="441">
        <v>29297</v>
      </c>
      <c r="Q17" s="443">
        <v>0.93</v>
      </c>
      <c r="R17" s="442">
        <v>6</v>
      </c>
      <c r="S17" s="441">
        <v>1415</v>
      </c>
      <c r="T17" s="443">
        <v>0.22</v>
      </c>
      <c r="U17" s="441">
        <v>7627</v>
      </c>
      <c r="V17" s="441">
        <v>40565</v>
      </c>
      <c r="W17" s="447">
        <v>28080</v>
      </c>
      <c r="X17" s="444"/>
      <c r="Y17" s="451" t="s">
        <v>379</v>
      </c>
      <c r="Z17" s="445"/>
      <c r="AA17" s="440">
        <v>0</v>
      </c>
      <c r="AB17" s="440">
        <v>1648127</v>
      </c>
      <c r="AC17" s="440">
        <v>42</v>
      </c>
    </row>
    <row r="18" spans="1:29">
      <c r="A18" s="438">
        <v>44424</v>
      </c>
      <c r="B18" s="439" t="s">
        <v>41</v>
      </c>
      <c r="C18" s="440">
        <v>61000</v>
      </c>
      <c r="D18" s="440">
        <v>7710</v>
      </c>
      <c r="E18" s="440">
        <v>7348</v>
      </c>
      <c r="F18" s="440">
        <v>362</v>
      </c>
      <c r="G18" s="440">
        <v>6168</v>
      </c>
      <c r="H18" s="441">
        <v>33925</v>
      </c>
      <c r="I18" s="442">
        <v>5.5</v>
      </c>
      <c r="J18" s="441">
        <v>1542</v>
      </c>
      <c r="K18" s="443">
        <v>0.2</v>
      </c>
      <c r="L18" s="440">
        <v>7245</v>
      </c>
      <c r="M18" s="443">
        <v>0.94</v>
      </c>
      <c r="N18" s="441">
        <v>5911</v>
      </c>
      <c r="O18" s="443">
        <v>0.96</v>
      </c>
      <c r="P18" s="441">
        <v>33668</v>
      </c>
      <c r="Q18" s="443">
        <v>0.99</v>
      </c>
      <c r="R18" s="442">
        <v>5.7</v>
      </c>
      <c r="S18" s="441">
        <v>1334</v>
      </c>
      <c r="T18" s="443">
        <v>0.18</v>
      </c>
      <c r="U18" s="441">
        <v>4949</v>
      </c>
      <c r="V18" s="441">
        <v>26323</v>
      </c>
      <c r="W18" s="447">
        <v>44096</v>
      </c>
      <c r="X18" s="460"/>
      <c r="Y18" s="448" t="s">
        <v>380</v>
      </c>
      <c r="Z18" s="445"/>
      <c r="AA18" s="440">
        <v>1000</v>
      </c>
      <c r="AB18" s="440">
        <v>1675193</v>
      </c>
      <c r="AC18" s="440">
        <v>42</v>
      </c>
    </row>
    <row r="19" spans="1:29">
      <c r="A19" s="438">
        <v>44425</v>
      </c>
      <c r="B19" s="439" t="s">
        <v>46</v>
      </c>
      <c r="C19" s="440">
        <v>61000</v>
      </c>
      <c r="D19" s="440">
        <v>7135</v>
      </c>
      <c r="E19" s="440">
        <v>6800</v>
      </c>
      <c r="F19" s="440">
        <v>335</v>
      </c>
      <c r="G19" s="440">
        <v>5708</v>
      </c>
      <c r="H19" s="441">
        <v>31395</v>
      </c>
      <c r="I19" s="442">
        <v>5.5</v>
      </c>
      <c r="J19" s="441">
        <v>1427</v>
      </c>
      <c r="K19" s="443">
        <v>0.2</v>
      </c>
      <c r="L19" s="440">
        <v>9187</v>
      </c>
      <c r="M19" s="443">
        <v>1.29</v>
      </c>
      <c r="N19" s="441">
        <v>7894</v>
      </c>
      <c r="O19" s="443">
        <v>1.38</v>
      </c>
      <c r="P19" s="441">
        <v>32060</v>
      </c>
      <c r="Q19" s="443">
        <v>1.02</v>
      </c>
      <c r="R19" s="442">
        <v>4.0999999999999996</v>
      </c>
      <c r="S19" s="441">
        <v>1293</v>
      </c>
      <c r="T19" s="443">
        <v>0.14000000000000001</v>
      </c>
      <c r="U19" s="441">
        <v>1931</v>
      </c>
      <c r="V19" s="441">
        <v>10270</v>
      </c>
      <c r="W19" s="447">
        <v>43680</v>
      </c>
      <c r="X19" s="444"/>
      <c r="Y19" s="448" t="s">
        <v>380</v>
      </c>
      <c r="Z19" s="445"/>
      <c r="AA19" s="440">
        <v>1000</v>
      </c>
      <c r="AB19" s="440">
        <v>1703757</v>
      </c>
      <c r="AC19" s="440">
        <v>46</v>
      </c>
    </row>
    <row r="20" spans="1:29">
      <c r="A20" s="454">
        <v>44426</v>
      </c>
      <c r="B20" s="455" t="s">
        <v>49</v>
      </c>
      <c r="C20" s="456">
        <v>61000</v>
      </c>
      <c r="D20" s="456">
        <v>33715</v>
      </c>
      <c r="E20" s="456">
        <v>32131</v>
      </c>
      <c r="F20" s="456">
        <v>1584</v>
      </c>
      <c r="G20" s="456">
        <v>26972</v>
      </c>
      <c r="H20" s="456">
        <v>107887</v>
      </c>
      <c r="I20" s="457">
        <v>4</v>
      </c>
      <c r="J20" s="456">
        <v>6743</v>
      </c>
      <c r="K20" s="458">
        <v>0.2</v>
      </c>
      <c r="L20" s="456">
        <v>27092</v>
      </c>
      <c r="M20" s="458">
        <v>0.8</v>
      </c>
      <c r="N20" s="456">
        <v>21601</v>
      </c>
      <c r="O20" s="458">
        <v>0.8</v>
      </c>
      <c r="P20" s="456">
        <v>100325</v>
      </c>
      <c r="Q20" s="458">
        <v>0.93</v>
      </c>
      <c r="R20" s="457">
        <v>4.5999999999999996</v>
      </c>
      <c r="S20" s="456">
        <v>5491</v>
      </c>
      <c r="T20" s="458">
        <v>0.2</v>
      </c>
      <c r="U20" s="456">
        <v>11569</v>
      </c>
      <c r="V20" s="456">
        <v>61530</v>
      </c>
      <c r="W20" s="461">
        <v>43680</v>
      </c>
      <c r="X20" s="444"/>
      <c r="Y20" s="439" t="s">
        <v>381</v>
      </c>
      <c r="Z20" s="451" t="s">
        <v>382</v>
      </c>
      <c r="AA20" s="440">
        <v>1000</v>
      </c>
      <c r="AB20" s="440">
        <v>1644771</v>
      </c>
      <c r="AC20" s="440">
        <v>41</v>
      </c>
    </row>
    <row r="21" spans="1:29">
      <c r="A21" s="438">
        <v>44427</v>
      </c>
      <c r="B21" s="439" t="s">
        <v>51</v>
      </c>
      <c r="C21" s="440">
        <v>61000</v>
      </c>
      <c r="D21" s="462">
        <v>6189</v>
      </c>
      <c r="E21" s="462">
        <v>5898</v>
      </c>
      <c r="F21" s="462">
        <v>291</v>
      </c>
      <c r="G21" s="462">
        <v>4951</v>
      </c>
      <c r="H21" s="441">
        <v>27230</v>
      </c>
      <c r="I21" s="442">
        <v>5.5</v>
      </c>
      <c r="J21" s="441">
        <v>1238</v>
      </c>
      <c r="K21" s="443">
        <v>0.2</v>
      </c>
      <c r="L21" s="444"/>
      <c r="M21" s="463"/>
      <c r="N21" s="464"/>
      <c r="O21" s="463"/>
      <c r="P21" s="464"/>
      <c r="Q21" s="463"/>
      <c r="R21" s="465"/>
      <c r="S21" s="464"/>
      <c r="T21" s="463"/>
      <c r="U21" s="440">
        <v>8096</v>
      </c>
      <c r="V21" s="440">
        <v>43061</v>
      </c>
      <c r="W21" s="466">
        <v>42432</v>
      </c>
      <c r="X21" s="445"/>
      <c r="Y21" s="448" t="s">
        <v>381</v>
      </c>
      <c r="Z21" s="445"/>
      <c r="AA21" s="440">
        <v>1000</v>
      </c>
      <c r="AB21" s="440">
        <v>1678080</v>
      </c>
      <c r="AC21" s="440">
        <v>42</v>
      </c>
    </row>
    <row r="22" spans="1:29">
      <c r="A22" s="438">
        <v>44428</v>
      </c>
      <c r="B22" s="439" t="s">
        <v>29</v>
      </c>
      <c r="C22" s="440">
        <v>61000</v>
      </c>
      <c r="D22" s="462">
        <v>6623</v>
      </c>
      <c r="E22" s="462">
        <v>6312</v>
      </c>
      <c r="F22" s="462">
        <v>311</v>
      </c>
      <c r="G22" s="462">
        <v>5298</v>
      </c>
      <c r="H22" s="441">
        <v>29142</v>
      </c>
      <c r="I22" s="442">
        <v>5.5</v>
      </c>
      <c r="J22" s="441">
        <v>1325</v>
      </c>
      <c r="K22" s="443">
        <v>0.2</v>
      </c>
      <c r="L22" s="444"/>
      <c r="M22" s="463"/>
      <c r="N22" s="464"/>
      <c r="O22" s="463"/>
      <c r="P22" s="464"/>
      <c r="Q22" s="463"/>
      <c r="R22" s="465"/>
      <c r="S22" s="464"/>
      <c r="T22" s="463"/>
      <c r="U22" s="440">
        <v>8499</v>
      </c>
      <c r="V22" s="440">
        <v>45202</v>
      </c>
      <c r="W22" s="466">
        <v>23504</v>
      </c>
      <c r="X22" s="451" t="s">
        <v>383</v>
      </c>
      <c r="Y22" s="448" t="s">
        <v>384</v>
      </c>
      <c r="Z22" s="445"/>
      <c r="AA22" s="440">
        <v>1000</v>
      </c>
      <c r="AB22" s="440">
        <v>1709607</v>
      </c>
      <c r="AC22" s="440">
        <v>43</v>
      </c>
    </row>
    <row r="23" spans="1:29">
      <c r="A23" s="438">
        <v>44429</v>
      </c>
      <c r="B23" s="439" t="s">
        <v>33</v>
      </c>
      <c r="C23" s="440">
        <v>37000</v>
      </c>
      <c r="D23" s="462">
        <v>7166</v>
      </c>
      <c r="E23" s="462">
        <v>6829</v>
      </c>
      <c r="F23" s="462">
        <v>337</v>
      </c>
      <c r="G23" s="462">
        <v>5732</v>
      </c>
      <c r="H23" s="441">
        <v>31529</v>
      </c>
      <c r="I23" s="442">
        <v>5.5</v>
      </c>
      <c r="J23" s="441">
        <v>1433</v>
      </c>
      <c r="K23" s="443">
        <v>0.2</v>
      </c>
      <c r="L23" s="444"/>
      <c r="M23" s="463"/>
      <c r="N23" s="464"/>
      <c r="O23" s="463"/>
      <c r="P23" s="464"/>
      <c r="Q23" s="463"/>
      <c r="R23" s="465"/>
      <c r="S23" s="464"/>
      <c r="T23" s="463"/>
      <c r="U23" s="440">
        <v>10118</v>
      </c>
      <c r="V23" s="440">
        <v>53811</v>
      </c>
      <c r="W23" s="466">
        <v>19136</v>
      </c>
      <c r="X23" s="445"/>
      <c r="Y23" s="467" t="s">
        <v>384</v>
      </c>
      <c r="Z23" s="445"/>
      <c r="AA23" s="440">
        <v>0</v>
      </c>
      <c r="AB23" s="440">
        <v>1715047</v>
      </c>
      <c r="AC23" s="440">
        <v>43</v>
      </c>
    </row>
    <row r="24" spans="1:29">
      <c r="A24" s="438">
        <v>44430</v>
      </c>
      <c r="B24" s="451" t="s">
        <v>37</v>
      </c>
      <c r="C24" s="440">
        <v>0</v>
      </c>
      <c r="D24" s="441">
        <v>7175</v>
      </c>
      <c r="E24" s="441">
        <v>6838</v>
      </c>
      <c r="F24" s="441">
        <v>337</v>
      </c>
      <c r="G24" s="441">
        <v>5740</v>
      </c>
      <c r="H24" s="441">
        <v>31570</v>
      </c>
      <c r="I24" s="442">
        <v>5.5</v>
      </c>
      <c r="J24" s="441">
        <v>1435</v>
      </c>
      <c r="K24" s="443">
        <v>0.2</v>
      </c>
      <c r="L24" s="444"/>
      <c r="M24" s="463"/>
      <c r="N24" s="464"/>
      <c r="O24" s="463"/>
      <c r="P24" s="464"/>
      <c r="Q24" s="463"/>
      <c r="R24" s="465"/>
      <c r="S24" s="464"/>
      <c r="T24" s="463"/>
      <c r="U24" s="468">
        <v>10062</v>
      </c>
      <c r="V24" s="469">
        <v>53512</v>
      </c>
      <c r="W24" s="470">
        <v>28080</v>
      </c>
      <c r="X24" s="471"/>
      <c r="Y24" s="467" t="s">
        <v>384</v>
      </c>
      <c r="Z24" s="445"/>
      <c r="AA24" s="440">
        <v>0</v>
      </c>
      <c r="AB24" s="440">
        <v>1684309</v>
      </c>
      <c r="AC24" s="440">
        <v>42</v>
      </c>
    </row>
    <row r="25" spans="1:29">
      <c r="A25" s="438">
        <v>44431</v>
      </c>
      <c r="B25" s="439" t="s">
        <v>41</v>
      </c>
      <c r="C25" s="440">
        <v>65000</v>
      </c>
      <c r="D25" s="440">
        <v>7710</v>
      </c>
      <c r="E25" s="440">
        <v>7348</v>
      </c>
      <c r="F25" s="440">
        <v>362</v>
      </c>
      <c r="G25" s="440">
        <v>6168</v>
      </c>
      <c r="H25" s="441">
        <v>33925</v>
      </c>
      <c r="I25" s="442">
        <v>5.5</v>
      </c>
      <c r="J25" s="441">
        <v>1542</v>
      </c>
      <c r="K25" s="443">
        <v>0.2</v>
      </c>
      <c r="L25" s="472"/>
      <c r="M25" s="463"/>
      <c r="N25" s="464"/>
      <c r="O25" s="463"/>
      <c r="P25" s="464"/>
      <c r="Q25" s="463"/>
      <c r="R25" s="465"/>
      <c r="S25" s="464"/>
      <c r="T25" s="463"/>
      <c r="U25" s="468">
        <v>7384</v>
      </c>
      <c r="V25" s="469">
        <v>39270</v>
      </c>
      <c r="W25" s="470">
        <v>44096</v>
      </c>
      <c r="X25" s="471"/>
      <c r="Y25" s="473" t="s">
        <v>385</v>
      </c>
      <c r="Z25" s="445"/>
      <c r="AA25" s="440">
        <v>1000</v>
      </c>
      <c r="AB25" s="440">
        <v>1720374</v>
      </c>
      <c r="AC25" s="440">
        <v>42</v>
      </c>
    </row>
    <row r="26" spans="1:29">
      <c r="A26" s="438">
        <v>44432</v>
      </c>
      <c r="B26" s="439" t="s">
        <v>46</v>
      </c>
      <c r="C26" s="440">
        <v>65000</v>
      </c>
      <c r="D26" s="440">
        <v>7345</v>
      </c>
      <c r="E26" s="440">
        <v>7000</v>
      </c>
      <c r="F26" s="440">
        <v>345</v>
      </c>
      <c r="G26" s="440">
        <v>5876</v>
      </c>
      <c r="H26" s="441">
        <v>32318</v>
      </c>
      <c r="I26" s="442">
        <v>5.5</v>
      </c>
      <c r="J26" s="441">
        <v>1469</v>
      </c>
      <c r="K26" s="443">
        <v>0.2</v>
      </c>
      <c r="L26" s="472"/>
      <c r="M26" s="463"/>
      <c r="N26" s="464"/>
      <c r="O26" s="463"/>
      <c r="P26" s="464"/>
      <c r="Q26" s="463"/>
      <c r="R26" s="465"/>
      <c r="S26" s="464"/>
      <c r="T26" s="463"/>
      <c r="U26" s="468">
        <v>4518</v>
      </c>
      <c r="V26" s="469">
        <v>24030</v>
      </c>
      <c r="W26" s="470">
        <v>43680</v>
      </c>
      <c r="X26" s="471"/>
      <c r="Y26" s="473" t="s">
        <v>385</v>
      </c>
      <c r="Z26" s="445"/>
      <c r="AA26" s="440">
        <v>1000</v>
      </c>
      <c r="AB26" s="440">
        <v>1757938</v>
      </c>
      <c r="AC26" s="440">
        <v>44</v>
      </c>
    </row>
    <row r="27" spans="1:29">
      <c r="A27" s="454">
        <v>44433</v>
      </c>
      <c r="B27" s="455" t="s">
        <v>49</v>
      </c>
      <c r="C27" s="456">
        <v>65000</v>
      </c>
      <c r="D27" s="456">
        <v>19754</v>
      </c>
      <c r="E27" s="456">
        <v>18826</v>
      </c>
      <c r="F27" s="456">
        <v>928</v>
      </c>
      <c r="G27" s="456">
        <v>15803</v>
      </c>
      <c r="H27" s="456">
        <v>63212</v>
      </c>
      <c r="I27" s="457">
        <v>4</v>
      </c>
      <c r="J27" s="441">
        <v>3951</v>
      </c>
      <c r="K27" s="443">
        <v>0.2</v>
      </c>
      <c r="L27" s="474"/>
      <c r="M27" s="463"/>
      <c r="N27" s="474"/>
      <c r="O27" s="463"/>
      <c r="P27" s="474"/>
      <c r="Q27" s="463"/>
      <c r="R27" s="475"/>
      <c r="S27" s="464"/>
      <c r="T27" s="463"/>
      <c r="U27" s="440">
        <v>6764</v>
      </c>
      <c r="V27" s="440">
        <v>35977</v>
      </c>
      <c r="W27" s="476">
        <v>43680</v>
      </c>
      <c r="X27" s="445"/>
      <c r="Y27" s="477"/>
      <c r="Z27" s="451" t="s">
        <v>386</v>
      </c>
      <c r="AA27" s="440">
        <v>1000</v>
      </c>
      <c r="AB27" s="440">
        <v>1760941</v>
      </c>
      <c r="AC27" s="440">
        <v>43</v>
      </c>
    </row>
    <row r="28" spans="1:29">
      <c r="A28" s="438">
        <v>44434</v>
      </c>
      <c r="B28" s="439" t="s">
        <v>51</v>
      </c>
      <c r="C28" s="440">
        <v>65000</v>
      </c>
      <c r="D28" s="441">
        <v>6189</v>
      </c>
      <c r="E28" s="441">
        <v>5898</v>
      </c>
      <c r="F28" s="441">
        <v>291</v>
      </c>
      <c r="G28" s="441">
        <v>4951</v>
      </c>
      <c r="H28" s="441">
        <v>27230</v>
      </c>
      <c r="I28" s="442">
        <v>5.5</v>
      </c>
      <c r="J28" s="441">
        <v>1238</v>
      </c>
      <c r="K28" s="443">
        <v>0.2</v>
      </c>
      <c r="L28" s="444"/>
      <c r="M28" s="463"/>
      <c r="N28" s="464"/>
      <c r="O28" s="463"/>
      <c r="P28" s="464"/>
      <c r="Q28" s="463"/>
      <c r="R28" s="465"/>
      <c r="S28" s="464"/>
      <c r="T28" s="463"/>
      <c r="U28" s="440">
        <v>3292</v>
      </c>
      <c r="V28" s="440">
        <v>17508</v>
      </c>
      <c r="W28" s="476">
        <v>42432</v>
      </c>
      <c r="X28" s="445"/>
      <c r="Y28" s="445"/>
      <c r="Z28" s="445"/>
      <c r="AA28" s="440">
        <v>1000</v>
      </c>
      <c r="AB28" s="440">
        <v>1803250</v>
      </c>
      <c r="AC28" s="440">
        <v>44</v>
      </c>
    </row>
    <row r="29" spans="1:29">
      <c r="A29" s="438">
        <v>44435</v>
      </c>
      <c r="B29" s="439" t="s">
        <v>29</v>
      </c>
      <c r="C29" s="440">
        <v>65000</v>
      </c>
      <c r="D29" s="441">
        <v>6098</v>
      </c>
      <c r="E29" s="441">
        <v>5812</v>
      </c>
      <c r="F29" s="441">
        <v>286</v>
      </c>
      <c r="G29" s="441">
        <v>4879</v>
      </c>
      <c r="H29" s="441">
        <v>26833</v>
      </c>
      <c r="I29" s="442">
        <v>5.5</v>
      </c>
      <c r="J29" s="441">
        <v>1220</v>
      </c>
      <c r="K29" s="443">
        <v>0.2</v>
      </c>
      <c r="L29" s="444"/>
      <c r="M29" s="463"/>
      <c r="N29" s="464"/>
      <c r="O29" s="463"/>
      <c r="P29" s="464"/>
      <c r="Q29" s="463"/>
      <c r="R29" s="465"/>
      <c r="S29" s="464"/>
      <c r="T29" s="463"/>
      <c r="U29" s="440">
        <v>3312</v>
      </c>
      <c r="V29" s="440">
        <v>17617</v>
      </c>
      <c r="W29" s="476">
        <v>23504</v>
      </c>
      <c r="X29" s="445"/>
      <c r="Y29" s="445"/>
      <c r="Z29" s="445"/>
      <c r="AA29" s="440">
        <v>1000</v>
      </c>
      <c r="AB29" s="450">
        <v>1845930</v>
      </c>
      <c r="AC29" s="450">
        <v>45</v>
      </c>
    </row>
    <row r="30" spans="1:29">
      <c r="A30" s="438">
        <v>44436</v>
      </c>
      <c r="B30" s="439" t="s">
        <v>33</v>
      </c>
      <c r="C30" s="440">
        <v>37000</v>
      </c>
      <c r="D30" s="441">
        <v>7375</v>
      </c>
      <c r="E30" s="441">
        <v>7029</v>
      </c>
      <c r="F30" s="441">
        <v>346</v>
      </c>
      <c r="G30" s="441">
        <v>5900</v>
      </c>
      <c r="H30" s="441">
        <v>32452</v>
      </c>
      <c r="I30" s="442">
        <v>5.5</v>
      </c>
      <c r="J30" s="441">
        <v>1475</v>
      </c>
      <c r="K30" s="443">
        <v>0.2</v>
      </c>
      <c r="L30" s="444"/>
      <c r="M30" s="463"/>
      <c r="N30" s="464"/>
      <c r="O30" s="463"/>
      <c r="P30" s="464"/>
      <c r="Q30" s="463"/>
      <c r="R30" s="465"/>
      <c r="S30" s="464"/>
      <c r="T30" s="463"/>
      <c r="U30" s="440">
        <v>5084</v>
      </c>
      <c r="V30" s="440">
        <v>27039</v>
      </c>
      <c r="W30" s="476">
        <v>19136</v>
      </c>
      <c r="X30" s="445"/>
      <c r="Y30" s="478"/>
      <c r="Z30" s="445"/>
      <c r="AA30" s="440">
        <v>0</v>
      </c>
      <c r="AB30" s="440">
        <v>1851370</v>
      </c>
      <c r="AC30" s="440">
        <v>45</v>
      </c>
    </row>
    <row r="31" spans="1:29">
      <c r="A31" s="438">
        <v>44437</v>
      </c>
      <c r="B31" s="451" t="s">
        <v>37</v>
      </c>
      <c r="C31" s="440">
        <v>0</v>
      </c>
      <c r="D31" s="441">
        <v>7175</v>
      </c>
      <c r="E31" s="441">
        <v>6838</v>
      </c>
      <c r="F31" s="441">
        <v>337</v>
      </c>
      <c r="G31" s="441">
        <v>5740</v>
      </c>
      <c r="H31" s="441">
        <v>31570</v>
      </c>
      <c r="I31" s="442">
        <v>5.5</v>
      </c>
      <c r="J31" s="441">
        <v>1435</v>
      </c>
      <c r="K31" s="443">
        <v>0.2</v>
      </c>
      <c r="L31" s="444"/>
      <c r="M31" s="463"/>
      <c r="N31" s="464"/>
      <c r="O31" s="463"/>
      <c r="P31" s="464"/>
      <c r="Q31" s="463"/>
      <c r="R31" s="465"/>
      <c r="S31" s="464"/>
      <c r="T31" s="463"/>
      <c r="U31" s="440">
        <v>5028</v>
      </c>
      <c r="V31" s="440">
        <v>26740</v>
      </c>
      <c r="W31" s="476">
        <v>28080</v>
      </c>
      <c r="X31" s="445"/>
      <c r="Y31" s="478"/>
      <c r="Z31" s="445"/>
      <c r="AA31" s="440">
        <v>0</v>
      </c>
      <c r="AB31" s="440">
        <v>1820632</v>
      </c>
      <c r="AC31" s="440">
        <v>44</v>
      </c>
    </row>
    <row r="32" spans="1:29">
      <c r="A32" s="438">
        <v>44438</v>
      </c>
      <c r="B32" s="439" t="s">
        <v>41</v>
      </c>
      <c r="C32" s="440">
        <v>65000</v>
      </c>
      <c r="D32" s="441">
        <v>7710</v>
      </c>
      <c r="E32" s="441">
        <v>7348</v>
      </c>
      <c r="F32" s="441">
        <v>362</v>
      </c>
      <c r="G32" s="441">
        <v>6168</v>
      </c>
      <c r="H32" s="441">
        <v>33925</v>
      </c>
      <c r="I32" s="442">
        <v>5.5</v>
      </c>
      <c r="J32" s="441">
        <v>1542</v>
      </c>
      <c r="K32" s="443">
        <v>0.2</v>
      </c>
      <c r="L32" s="444"/>
      <c r="M32" s="463"/>
      <c r="N32" s="464"/>
      <c r="O32" s="463"/>
      <c r="P32" s="464"/>
      <c r="Q32" s="463"/>
      <c r="R32" s="465"/>
      <c r="S32" s="464"/>
      <c r="T32" s="463"/>
      <c r="U32" s="440">
        <v>2350</v>
      </c>
      <c r="V32" s="440">
        <v>12498</v>
      </c>
      <c r="W32" s="440">
        <v>44096</v>
      </c>
      <c r="X32" s="444"/>
      <c r="Y32" s="479"/>
      <c r="Z32" s="444"/>
      <c r="AA32" s="440">
        <v>1000</v>
      </c>
      <c r="AB32" s="440">
        <v>1856697</v>
      </c>
      <c r="AC32" s="440">
        <v>45</v>
      </c>
    </row>
    <row r="33" spans="1:29">
      <c r="A33" s="438">
        <v>44439</v>
      </c>
      <c r="B33" s="451" t="s">
        <v>46</v>
      </c>
      <c r="C33" s="440">
        <v>65000</v>
      </c>
      <c r="D33" s="441">
        <v>7345</v>
      </c>
      <c r="E33" s="441">
        <v>7000</v>
      </c>
      <c r="F33" s="441">
        <v>345</v>
      </c>
      <c r="G33" s="441">
        <v>5876</v>
      </c>
      <c r="H33" s="441">
        <v>32318</v>
      </c>
      <c r="I33" s="442">
        <v>5.5</v>
      </c>
      <c r="J33" s="441">
        <v>1469</v>
      </c>
      <c r="K33" s="443">
        <v>0.2</v>
      </c>
      <c r="L33" s="444"/>
      <c r="M33" s="463"/>
      <c r="N33" s="464"/>
      <c r="O33" s="463"/>
      <c r="P33" s="464"/>
      <c r="Q33" s="463"/>
      <c r="R33" s="465"/>
      <c r="S33" s="464"/>
      <c r="T33" s="463"/>
      <c r="U33" s="440">
        <v>0</v>
      </c>
      <c r="V33" s="440">
        <v>0</v>
      </c>
      <c r="W33" s="440">
        <v>43680</v>
      </c>
      <c r="X33" s="444"/>
      <c r="Y33" s="480"/>
      <c r="Z33" s="444"/>
      <c r="AA33" s="440">
        <v>1000</v>
      </c>
      <c r="AB33" s="440">
        <v>1894262</v>
      </c>
      <c r="AC33" s="440">
        <v>46</v>
      </c>
    </row>
    <row r="34" spans="1:29"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</row>
    <row r="35" spans="1:29">
      <c r="F35" s="64"/>
    </row>
    <row r="37" spans="1:29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</row>
  </sheetData>
  <mergeCells count="3">
    <mergeCell ref="A1:B1"/>
    <mergeCell ref="C1:F1"/>
    <mergeCell ref="A2:B2"/>
  </mergeCells>
  <phoneticPr fontId="6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U34"/>
  <sheetViews>
    <sheetView workbookViewId="0"/>
  </sheetViews>
  <sheetFormatPr baseColWidth="10" defaultColWidth="12.6640625" defaultRowHeight="15.75" customHeight="1"/>
  <cols>
    <col min="1" max="2" width="4.5" customWidth="1"/>
    <col min="3" max="5" width="9.6640625" customWidth="1"/>
    <col min="6" max="6" width="9.83203125" customWidth="1"/>
    <col min="7" max="7" width="20.1640625" customWidth="1"/>
    <col min="8" max="8" width="19.33203125" customWidth="1"/>
    <col min="9" max="9" width="14.83203125" customWidth="1"/>
    <col min="10" max="11" width="10.1640625" customWidth="1"/>
  </cols>
  <sheetData>
    <row r="1" spans="1:11">
      <c r="A1" s="425"/>
      <c r="B1" s="481"/>
      <c r="C1" s="482" t="s">
        <v>11</v>
      </c>
      <c r="D1" s="426"/>
      <c r="E1" s="426"/>
      <c r="F1" s="426"/>
      <c r="G1" s="426"/>
      <c r="H1" s="426"/>
      <c r="I1" s="426"/>
      <c r="J1" s="426"/>
      <c r="K1" s="426"/>
    </row>
    <row r="2" spans="1:11">
      <c r="A2" s="853" t="s">
        <v>10</v>
      </c>
      <c r="B2" s="842"/>
      <c r="C2" s="431" t="s">
        <v>63</v>
      </c>
      <c r="D2" s="436" t="s">
        <v>359</v>
      </c>
      <c r="E2" s="435" t="s">
        <v>353</v>
      </c>
      <c r="F2" s="436" t="s">
        <v>305</v>
      </c>
      <c r="G2" s="435" t="s">
        <v>354</v>
      </c>
      <c r="H2" s="436" t="s">
        <v>355</v>
      </c>
      <c r="I2" s="437" t="s">
        <v>356</v>
      </c>
      <c r="J2" s="436" t="s">
        <v>357</v>
      </c>
      <c r="K2" s="436" t="s">
        <v>358</v>
      </c>
    </row>
    <row r="3" spans="1:11">
      <c r="A3" s="454">
        <v>44440</v>
      </c>
      <c r="B3" s="455" t="s">
        <v>49</v>
      </c>
      <c r="C3" s="440">
        <v>70000</v>
      </c>
      <c r="D3" s="456">
        <v>20448</v>
      </c>
      <c r="E3" s="456">
        <v>19393</v>
      </c>
      <c r="F3" s="456">
        <v>1055</v>
      </c>
      <c r="G3" s="456">
        <v>16358</v>
      </c>
      <c r="H3" s="456">
        <v>81791</v>
      </c>
      <c r="I3" s="457">
        <v>5</v>
      </c>
      <c r="J3" s="441">
        <v>4090</v>
      </c>
      <c r="K3" s="443">
        <v>0.2</v>
      </c>
    </row>
    <row r="4" spans="1:11">
      <c r="A4" s="438">
        <v>44441</v>
      </c>
      <c r="B4" s="439" t="s">
        <v>51</v>
      </c>
      <c r="C4" s="440">
        <v>70000</v>
      </c>
      <c r="D4" s="440">
        <v>5749</v>
      </c>
      <c r="E4" s="440">
        <v>5452</v>
      </c>
      <c r="F4" s="440">
        <v>297</v>
      </c>
      <c r="G4" s="440">
        <v>4369</v>
      </c>
      <c r="H4" s="441">
        <v>24029</v>
      </c>
      <c r="I4" s="442">
        <v>5.5</v>
      </c>
      <c r="J4" s="441">
        <v>1380</v>
      </c>
      <c r="K4" s="443">
        <v>0.24</v>
      </c>
    </row>
    <row r="5" spans="1:11">
      <c r="A5" s="438">
        <v>44442</v>
      </c>
      <c r="B5" s="439" t="s">
        <v>29</v>
      </c>
      <c r="C5" s="440">
        <v>70000</v>
      </c>
      <c r="D5" s="440">
        <v>5643</v>
      </c>
      <c r="E5" s="440">
        <v>5352</v>
      </c>
      <c r="F5" s="440">
        <v>291</v>
      </c>
      <c r="G5" s="440">
        <v>4514</v>
      </c>
      <c r="H5" s="441">
        <v>24830</v>
      </c>
      <c r="I5" s="442">
        <v>5.5</v>
      </c>
      <c r="J5" s="441">
        <v>1129</v>
      </c>
      <c r="K5" s="443">
        <v>0.2</v>
      </c>
    </row>
    <row r="6" spans="1:11">
      <c r="A6" s="438">
        <v>44443</v>
      </c>
      <c r="B6" s="439" t="s">
        <v>33</v>
      </c>
      <c r="C6" s="441">
        <v>46000</v>
      </c>
      <c r="D6" s="440">
        <v>6509</v>
      </c>
      <c r="E6" s="440">
        <v>6173</v>
      </c>
      <c r="F6" s="440">
        <v>336</v>
      </c>
      <c r="G6" s="440">
        <v>5207</v>
      </c>
      <c r="H6" s="441">
        <v>28639</v>
      </c>
      <c r="I6" s="442">
        <v>5.5</v>
      </c>
      <c r="J6" s="441">
        <v>1302</v>
      </c>
      <c r="K6" s="443">
        <v>0.2</v>
      </c>
    </row>
    <row r="7" spans="1:11">
      <c r="A7" s="438">
        <v>44444</v>
      </c>
      <c r="B7" s="451" t="s">
        <v>37</v>
      </c>
      <c r="C7" s="440">
        <v>0</v>
      </c>
      <c r="D7" s="440">
        <v>6749</v>
      </c>
      <c r="E7" s="440">
        <v>6401</v>
      </c>
      <c r="F7" s="440">
        <v>348</v>
      </c>
      <c r="G7" s="440">
        <v>5399</v>
      </c>
      <c r="H7" s="441">
        <v>29696</v>
      </c>
      <c r="I7" s="442">
        <v>5.5</v>
      </c>
      <c r="J7" s="441">
        <v>1350</v>
      </c>
      <c r="K7" s="443">
        <v>0.2</v>
      </c>
    </row>
    <row r="8" spans="1:11">
      <c r="A8" s="483">
        <v>44445</v>
      </c>
      <c r="B8" s="466" t="s">
        <v>41</v>
      </c>
      <c r="C8" s="440">
        <v>69000</v>
      </c>
      <c r="D8" s="440">
        <v>7369</v>
      </c>
      <c r="E8" s="440">
        <v>6989</v>
      </c>
      <c r="F8" s="440">
        <v>380</v>
      </c>
      <c r="G8" s="440">
        <v>5895</v>
      </c>
      <c r="H8" s="440">
        <v>32424</v>
      </c>
      <c r="I8" s="452">
        <v>5.5</v>
      </c>
      <c r="J8" s="440">
        <v>1474</v>
      </c>
      <c r="K8" s="453">
        <v>0.2</v>
      </c>
    </row>
    <row r="9" spans="1:11">
      <c r="A9" s="483">
        <v>44446</v>
      </c>
      <c r="B9" s="451" t="s">
        <v>46</v>
      </c>
      <c r="C9" s="440">
        <v>69000</v>
      </c>
      <c r="D9" s="440">
        <v>6932</v>
      </c>
      <c r="E9" s="440">
        <v>6574</v>
      </c>
      <c r="F9" s="440">
        <v>358</v>
      </c>
      <c r="G9" s="440">
        <v>5545</v>
      </c>
      <c r="H9" s="440">
        <v>30499</v>
      </c>
      <c r="I9" s="452">
        <v>5.5</v>
      </c>
      <c r="J9" s="440">
        <v>1386</v>
      </c>
      <c r="K9" s="453">
        <v>0.2</v>
      </c>
    </row>
    <row r="10" spans="1:11">
      <c r="A10" s="483">
        <v>44447</v>
      </c>
      <c r="B10" s="451" t="s">
        <v>49</v>
      </c>
      <c r="C10" s="440">
        <v>69000</v>
      </c>
      <c r="D10" s="440">
        <v>7069</v>
      </c>
      <c r="E10" s="440">
        <v>6704</v>
      </c>
      <c r="F10" s="440">
        <v>365</v>
      </c>
      <c r="G10" s="440">
        <v>5655</v>
      </c>
      <c r="H10" s="440">
        <v>31102</v>
      </c>
      <c r="I10" s="452">
        <v>5.5</v>
      </c>
      <c r="J10" s="440">
        <v>1414</v>
      </c>
      <c r="K10" s="453">
        <v>0.2</v>
      </c>
    </row>
    <row r="11" spans="1:11">
      <c r="A11" s="454">
        <v>44448</v>
      </c>
      <c r="B11" s="455" t="s">
        <v>51</v>
      </c>
      <c r="C11" s="456">
        <v>34000</v>
      </c>
      <c r="D11" s="456">
        <v>79905</v>
      </c>
      <c r="E11" s="456">
        <v>75783</v>
      </c>
      <c r="F11" s="456">
        <v>4122</v>
      </c>
      <c r="G11" s="456">
        <v>63924</v>
      </c>
      <c r="H11" s="456">
        <v>306835</v>
      </c>
      <c r="I11" s="457">
        <v>4.8</v>
      </c>
      <c r="J11" s="456">
        <v>15981</v>
      </c>
      <c r="K11" s="458">
        <v>0.2</v>
      </c>
    </row>
    <row r="12" spans="1:11">
      <c r="A12" s="483">
        <v>44449</v>
      </c>
      <c r="B12" s="451" t="s">
        <v>29</v>
      </c>
      <c r="C12" s="440">
        <v>34000</v>
      </c>
      <c r="D12" s="440">
        <v>5643</v>
      </c>
      <c r="E12" s="440">
        <v>5352</v>
      </c>
      <c r="F12" s="440">
        <v>291</v>
      </c>
      <c r="G12" s="440">
        <v>4514</v>
      </c>
      <c r="H12" s="440">
        <v>24830</v>
      </c>
      <c r="I12" s="452">
        <v>5.5</v>
      </c>
      <c r="J12" s="440">
        <v>1129</v>
      </c>
      <c r="K12" s="453">
        <v>0.2</v>
      </c>
    </row>
    <row r="13" spans="1:11">
      <c r="A13" s="483">
        <v>44450</v>
      </c>
      <c r="B13" s="451" t="s">
        <v>33</v>
      </c>
      <c r="C13" s="440">
        <v>41000</v>
      </c>
      <c r="D13" s="440">
        <v>6509</v>
      </c>
      <c r="E13" s="440">
        <v>6173</v>
      </c>
      <c r="F13" s="440">
        <v>336</v>
      </c>
      <c r="G13" s="440">
        <v>5207</v>
      </c>
      <c r="H13" s="440">
        <v>28639</v>
      </c>
      <c r="I13" s="452">
        <v>5.5</v>
      </c>
      <c r="J13" s="440">
        <v>1302</v>
      </c>
      <c r="K13" s="453">
        <v>0.2</v>
      </c>
    </row>
    <row r="14" spans="1:11">
      <c r="A14" s="483">
        <v>44451</v>
      </c>
      <c r="B14" s="466" t="s">
        <v>37</v>
      </c>
      <c r="C14" s="440">
        <v>0</v>
      </c>
      <c r="D14" s="440">
        <v>6749</v>
      </c>
      <c r="E14" s="440">
        <v>6401</v>
      </c>
      <c r="F14" s="440">
        <v>348</v>
      </c>
      <c r="G14" s="440">
        <v>5399</v>
      </c>
      <c r="H14" s="440">
        <v>29696</v>
      </c>
      <c r="I14" s="452">
        <v>5.5</v>
      </c>
      <c r="J14" s="440">
        <v>1350</v>
      </c>
      <c r="K14" s="453">
        <v>0.2</v>
      </c>
    </row>
    <row r="15" spans="1:11">
      <c r="A15" s="483">
        <v>44452</v>
      </c>
      <c r="B15" s="466" t="s">
        <v>41</v>
      </c>
      <c r="C15" s="440">
        <v>61000</v>
      </c>
      <c r="D15" s="440">
        <v>7168</v>
      </c>
      <c r="E15" s="440">
        <v>6798</v>
      </c>
      <c r="F15" s="440">
        <v>370</v>
      </c>
      <c r="G15" s="440">
        <v>5734</v>
      </c>
      <c r="H15" s="440">
        <v>31538</v>
      </c>
      <c r="I15" s="452">
        <v>5.5</v>
      </c>
      <c r="J15" s="440">
        <v>1434</v>
      </c>
      <c r="K15" s="453">
        <v>0.2</v>
      </c>
    </row>
    <row r="16" spans="1:11">
      <c r="A16" s="483">
        <v>44453</v>
      </c>
      <c r="B16" s="451" t="s">
        <v>46</v>
      </c>
      <c r="C16" s="440">
        <v>61000</v>
      </c>
      <c r="D16" s="440">
        <v>6932</v>
      </c>
      <c r="E16" s="440">
        <v>6574</v>
      </c>
      <c r="F16" s="440">
        <v>358</v>
      </c>
      <c r="G16" s="440">
        <v>5545</v>
      </c>
      <c r="H16" s="440">
        <v>30499</v>
      </c>
      <c r="I16" s="452">
        <v>5.5</v>
      </c>
      <c r="J16" s="440">
        <v>1386</v>
      </c>
      <c r="K16" s="453">
        <v>0.2</v>
      </c>
    </row>
    <row r="17" spans="1:20">
      <c r="A17" s="483">
        <v>44454</v>
      </c>
      <c r="B17" s="451" t="s">
        <v>49</v>
      </c>
      <c r="C17" s="440">
        <v>61000</v>
      </c>
      <c r="D17" s="440">
        <v>7280</v>
      </c>
      <c r="E17" s="440">
        <v>6904</v>
      </c>
      <c r="F17" s="440">
        <v>376</v>
      </c>
      <c r="G17" s="440">
        <v>5605</v>
      </c>
      <c r="H17" s="440">
        <v>30829</v>
      </c>
      <c r="I17" s="452">
        <v>5.5</v>
      </c>
      <c r="J17" s="440">
        <v>1674</v>
      </c>
      <c r="K17" s="453">
        <v>0.23</v>
      </c>
    </row>
    <row r="18" spans="1:20">
      <c r="A18" s="483">
        <v>44455</v>
      </c>
      <c r="B18" s="451" t="s">
        <v>51</v>
      </c>
      <c r="C18" s="440">
        <v>61000</v>
      </c>
      <c r="D18" s="440">
        <v>5801</v>
      </c>
      <c r="E18" s="440">
        <v>5502</v>
      </c>
      <c r="F18" s="440">
        <v>299</v>
      </c>
      <c r="G18" s="440">
        <v>4641</v>
      </c>
      <c r="H18" s="440">
        <v>25526</v>
      </c>
      <c r="I18" s="452">
        <v>5.5</v>
      </c>
      <c r="J18" s="440">
        <v>1160</v>
      </c>
      <c r="K18" s="453">
        <v>0.2</v>
      </c>
    </row>
    <row r="19" spans="1:20">
      <c r="A19" s="483">
        <v>44456</v>
      </c>
      <c r="B19" s="451" t="s">
        <v>29</v>
      </c>
      <c r="C19" s="440">
        <v>61000</v>
      </c>
      <c r="D19" s="440">
        <v>5696</v>
      </c>
      <c r="E19" s="440">
        <v>5402</v>
      </c>
      <c r="F19" s="440">
        <v>294</v>
      </c>
      <c r="G19" s="440">
        <v>4557</v>
      </c>
      <c r="H19" s="440">
        <v>25062</v>
      </c>
      <c r="I19" s="452">
        <v>5.5</v>
      </c>
      <c r="J19" s="440">
        <v>1139</v>
      </c>
      <c r="K19" s="453">
        <v>0.2</v>
      </c>
    </row>
    <row r="20" spans="1:20">
      <c r="A20" s="454">
        <v>44457</v>
      </c>
      <c r="B20" s="455" t="s">
        <v>33</v>
      </c>
      <c r="C20" s="456">
        <v>37000</v>
      </c>
      <c r="D20" s="456">
        <v>34415</v>
      </c>
      <c r="E20" s="456">
        <v>32640</v>
      </c>
      <c r="F20" s="456">
        <v>1775</v>
      </c>
      <c r="G20" s="456">
        <v>27532</v>
      </c>
      <c r="H20" s="456">
        <v>110129</v>
      </c>
      <c r="I20" s="457">
        <v>4</v>
      </c>
      <c r="J20" s="456">
        <v>6883</v>
      </c>
      <c r="K20" s="458">
        <v>0.2</v>
      </c>
    </row>
    <row r="21" spans="1:20">
      <c r="A21" s="483">
        <v>44458</v>
      </c>
      <c r="B21" s="466" t="s">
        <v>37</v>
      </c>
      <c r="C21" s="440">
        <v>0</v>
      </c>
      <c r="D21" s="440">
        <v>6802</v>
      </c>
      <c r="E21" s="440">
        <v>6451</v>
      </c>
      <c r="F21" s="440">
        <v>351</v>
      </c>
      <c r="G21" s="440">
        <v>5442</v>
      </c>
      <c r="H21" s="440">
        <v>24487</v>
      </c>
      <c r="I21" s="452">
        <v>4.5</v>
      </c>
      <c r="J21" s="440">
        <v>1360</v>
      </c>
      <c r="K21" s="453">
        <v>0.2</v>
      </c>
    </row>
    <row r="22" spans="1:20">
      <c r="A22" s="483">
        <v>44459</v>
      </c>
      <c r="B22" s="466" t="s">
        <v>41</v>
      </c>
      <c r="C22" s="484">
        <v>0</v>
      </c>
      <c r="D22" s="440">
        <v>7168</v>
      </c>
      <c r="E22" s="440">
        <v>6798</v>
      </c>
      <c r="F22" s="440">
        <v>370</v>
      </c>
      <c r="G22" s="440">
        <v>5734</v>
      </c>
      <c r="H22" s="440">
        <v>25804</v>
      </c>
      <c r="I22" s="452">
        <v>4.5</v>
      </c>
      <c r="J22" s="440">
        <v>1434</v>
      </c>
      <c r="K22" s="453">
        <v>0.2</v>
      </c>
    </row>
    <row r="23" spans="1:20">
      <c r="A23" s="483">
        <v>44460</v>
      </c>
      <c r="B23" s="451" t="s">
        <v>46</v>
      </c>
      <c r="C23" s="484">
        <v>0</v>
      </c>
      <c r="D23" s="440">
        <v>6932</v>
      </c>
      <c r="E23" s="440">
        <v>6574</v>
      </c>
      <c r="F23" s="440">
        <v>358</v>
      </c>
      <c r="G23" s="440">
        <v>5545</v>
      </c>
      <c r="H23" s="440">
        <v>24954</v>
      </c>
      <c r="I23" s="452">
        <v>4.5</v>
      </c>
      <c r="J23" s="440">
        <v>1386</v>
      </c>
      <c r="K23" s="453">
        <v>0.2</v>
      </c>
    </row>
    <row r="24" spans="1:20">
      <c r="A24" s="483">
        <v>44461</v>
      </c>
      <c r="B24" s="451" t="s">
        <v>49</v>
      </c>
      <c r="C24" s="440">
        <v>61000</v>
      </c>
      <c r="D24" s="440">
        <v>7069</v>
      </c>
      <c r="E24" s="440">
        <v>6704</v>
      </c>
      <c r="F24" s="440">
        <v>365</v>
      </c>
      <c r="G24" s="440">
        <v>5655</v>
      </c>
      <c r="H24" s="440">
        <v>25447</v>
      </c>
      <c r="I24" s="452">
        <v>4.5</v>
      </c>
      <c r="J24" s="440">
        <v>1414</v>
      </c>
      <c r="K24" s="453">
        <v>0.2</v>
      </c>
    </row>
    <row r="25" spans="1:20">
      <c r="A25" s="483">
        <v>44462</v>
      </c>
      <c r="B25" s="451" t="s">
        <v>51</v>
      </c>
      <c r="C25" s="440">
        <v>61000</v>
      </c>
      <c r="D25" s="440">
        <v>5749</v>
      </c>
      <c r="E25" s="440">
        <v>5452</v>
      </c>
      <c r="F25" s="440">
        <v>297</v>
      </c>
      <c r="G25" s="440">
        <v>4599</v>
      </c>
      <c r="H25" s="440">
        <v>20695</v>
      </c>
      <c r="I25" s="452">
        <v>4.5</v>
      </c>
      <c r="J25" s="440">
        <v>1150</v>
      </c>
      <c r="K25" s="453">
        <v>0.2</v>
      </c>
    </row>
    <row r="26" spans="1:20">
      <c r="A26" s="483">
        <v>44463</v>
      </c>
      <c r="B26" s="451" t="s">
        <v>29</v>
      </c>
      <c r="C26" s="440">
        <v>61000</v>
      </c>
      <c r="D26" s="440">
        <v>5643</v>
      </c>
      <c r="E26" s="440">
        <v>5352</v>
      </c>
      <c r="F26" s="440">
        <v>291</v>
      </c>
      <c r="G26" s="440">
        <v>4514</v>
      </c>
      <c r="H26" s="440">
        <v>20315</v>
      </c>
      <c r="I26" s="452">
        <v>4.5</v>
      </c>
      <c r="J26" s="440">
        <v>1129</v>
      </c>
      <c r="K26" s="453">
        <v>0.2</v>
      </c>
    </row>
    <row r="27" spans="1:20">
      <c r="A27" s="454">
        <v>44464</v>
      </c>
      <c r="B27" s="455" t="s">
        <v>33</v>
      </c>
      <c r="C27" s="456">
        <v>37000</v>
      </c>
      <c r="D27" s="456">
        <v>15302</v>
      </c>
      <c r="E27" s="456">
        <v>14513</v>
      </c>
      <c r="F27" s="456">
        <v>789</v>
      </c>
      <c r="G27" s="456">
        <v>12242</v>
      </c>
      <c r="H27" s="456">
        <v>48968</v>
      </c>
      <c r="I27" s="457">
        <v>4</v>
      </c>
      <c r="J27" s="456">
        <v>3060</v>
      </c>
      <c r="K27" s="458">
        <v>0.2</v>
      </c>
    </row>
    <row r="28" spans="1:20">
      <c r="A28" s="483">
        <v>44465</v>
      </c>
      <c r="B28" s="466" t="s">
        <v>37</v>
      </c>
      <c r="C28" s="440">
        <v>0</v>
      </c>
      <c r="D28" s="440">
        <v>6749</v>
      </c>
      <c r="E28" s="440">
        <v>6401</v>
      </c>
      <c r="F28" s="440">
        <v>348</v>
      </c>
      <c r="G28" s="440">
        <v>5399</v>
      </c>
      <c r="H28" s="440">
        <v>24297</v>
      </c>
      <c r="I28" s="452">
        <v>4.5</v>
      </c>
      <c r="J28" s="440">
        <v>1350</v>
      </c>
      <c r="K28" s="453">
        <v>0.2</v>
      </c>
    </row>
    <row r="29" spans="1:20">
      <c r="A29" s="483">
        <v>44466</v>
      </c>
      <c r="B29" s="451" t="s">
        <v>41</v>
      </c>
      <c r="C29" s="440">
        <v>61000</v>
      </c>
      <c r="D29" s="440">
        <v>7848</v>
      </c>
      <c r="E29" s="440">
        <v>7443</v>
      </c>
      <c r="F29" s="440">
        <v>405</v>
      </c>
      <c r="G29" s="440">
        <v>6278</v>
      </c>
      <c r="H29" s="440">
        <v>28252</v>
      </c>
      <c r="I29" s="452">
        <v>4.5</v>
      </c>
      <c r="J29" s="440">
        <v>1570</v>
      </c>
      <c r="K29" s="453">
        <v>0.2</v>
      </c>
    </row>
    <row r="30" spans="1:20">
      <c r="A30" s="483">
        <v>44467</v>
      </c>
      <c r="B30" s="451" t="s">
        <v>46</v>
      </c>
      <c r="C30" s="440">
        <v>61000</v>
      </c>
      <c r="D30" s="440">
        <v>6932</v>
      </c>
      <c r="E30" s="440">
        <v>6574</v>
      </c>
      <c r="F30" s="440">
        <v>358</v>
      </c>
      <c r="G30" s="440">
        <v>5545</v>
      </c>
      <c r="H30" s="440">
        <v>24954</v>
      </c>
      <c r="I30" s="452">
        <v>4.5</v>
      </c>
      <c r="J30" s="440">
        <v>1386</v>
      </c>
      <c r="K30" s="453">
        <v>0.2</v>
      </c>
    </row>
    <row r="31" spans="1:20">
      <c r="A31" s="483">
        <v>44468</v>
      </c>
      <c r="B31" s="449" t="s">
        <v>49</v>
      </c>
      <c r="C31" s="440">
        <v>61000</v>
      </c>
      <c r="D31" s="440">
        <v>7069</v>
      </c>
      <c r="E31" s="440">
        <v>6704</v>
      </c>
      <c r="F31" s="440">
        <v>365</v>
      </c>
      <c r="G31" s="440">
        <v>5655</v>
      </c>
      <c r="H31" s="440">
        <v>27144</v>
      </c>
      <c r="I31" s="452">
        <v>4.8</v>
      </c>
      <c r="J31" s="440">
        <v>1414</v>
      </c>
      <c r="K31" s="453">
        <v>0.2</v>
      </c>
      <c r="L31" s="64"/>
      <c r="M31" s="64"/>
      <c r="N31" s="64"/>
      <c r="O31" s="64"/>
      <c r="P31" s="64"/>
      <c r="Q31" s="64"/>
      <c r="R31" s="64"/>
      <c r="S31" s="64"/>
      <c r="T31" s="64"/>
    </row>
    <row r="32" spans="1:20">
      <c r="A32" s="483">
        <v>44469</v>
      </c>
      <c r="B32" s="466" t="s">
        <v>51</v>
      </c>
      <c r="C32" s="440">
        <v>61000</v>
      </c>
      <c r="D32" s="440">
        <v>5749</v>
      </c>
      <c r="E32" s="440">
        <v>5452</v>
      </c>
      <c r="F32" s="440">
        <v>297</v>
      </c>
      <c r="G32" s="440">
        <v>4599</v>
      </c>
      <c r="H32" s="440">
        <v>20695</v>
      </c>
      <c r="I32" s="452">
        <v>4.5</v>
      </c>
      <c r="J32" s="440">
        <v>1150</v>
      </c>
      <c r="K32" s="453">
        <v>0.2</v>
      </c>
    </row>
    <row r="33" spans="1:21">
      <c r="C33" s="23"/>
      <c r="D33" s="23"/>
    </row>
    <row r="34" spans="1:21">
      <c r="A34" s="64"/>
      <c r="B34" s="64"/>
      <c r="C34" s="23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</row>
  </sheetData>
  <mergeCells count="1">
    <mergeCell ref="A2:B2"/>
  </mergeCells>
  <phoneticPr fontId="6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I37"/>
  <sheetViews>
    <sheetView workbookViewId="0"/>
  </sheetViews>
  <sheetFormatPr baseColWidth="10" defaultColWidth="12.6640625" defaultRowHeight="15.75" customHeight="1"/>
  <cols>
    <col min="1" max="1" width="5.6640625" customWidth="1"/>
    <col min="2" max="2" width="4.5" customWidth="1"/>
    <col min="3" max="4" width="9.6640625" customWidth="1"/>
    <col min="5" max="5" width="9.6640625" hidden="1" customWidth="1"/>
    <col min="6" max="6" width="9.83203125" hidden="1" customWidth="1"/>
    <col min="7" max="7" width="20.1640625" customWidth="1"/>
    <col min="8" max="8" width="24.6640625" customWidth="1"/>
    <col min="9" max="9" width="14.83203125" customWidth="1"/>
    <col min="10" max="12" width="10.1640625" customWidth="1"/>
  </cols>
  <sheetData>
    <row r="1" spans="1:35">
      <c r="A1" s="425"/>
      <c r="B1" s="485"/>
      <c r="C1" s="486" t="s">
        <v>220</v>
      </c>
      <c r="D1" s="487"/>
      <c r="E1" s="487"/>
      <c r="F1" s="488"/>
      <c r="G1" s="489" t="s">
        <v>129</v>
      </c>
      <c r="H1" s="490"/>
      <c r="I1" s="491"/>
      <c r="J1" s="492" t="s">
        <v>303</v>
      </c>
      <c r="K1" s="493"/>
      <c r="L1" s="494"/>
    </row>
    <row r="2" spans="1:35">
      <c r="A2" s="495" t="s">
        <v>10</v>
      </c>
      <c r="B2" s="496"/>
      <c r="C2" s="497" t="s">
        <v>63</v>
      </c>
      <c r="D2" s="498" t="s">
        <v>18</v>
      </c>
      <c r="E2" s="499" t="s">
        <v>353</v>
      </c>
      <c r="F2" s="500" t="s">
        <v>305</v>
      </c>
      <c r="G2" s="501" t="s">
        <v>130</v>
      </c>
      <c r="H2" s="497" t="s">
        <v>186</v>
      </c>
      <c r="I2" s="498" t="s">
        <v>132</v>
      </c>
      <c r="J2" s="501" t="s">
        <v>253</v>
      </c>
      <c r="K2" s="502" t="s">
        <v>365</v>
      </c>
      <c r="L2" s="503" t="s">
        <v>366</v>
      </c>
    </row>
    <row r="3" spans="1:35">
      <c r="A3" s="504">
        <v>44470</v>
      </c>
      <c r="B3" s="505" t="s">
        <v>29</v>
      </c>
      <c r="C3" s="506">
        <v>62000</v>
      </c>
      <c r="D3" s="507">
        <v>7700</v>
      </c>
      <c r="E3" s="508">
        <v>7300</v>
      </c>
      <c r="F3" s="508">
        <v>400</v>
      </c>
      <c r="G3" s="509"/>
      <c r="H3" s="509"/>
      <c r="I3" s="505" t="s">
        <v>387</v>
      </c>
      <c r="J3" s="506">
        <v>1500</v>
      </c>
      <c r="K3" s="506">
        <v>947257</v>
      </c>
      <c r="L3" s="510">
        <v>38</v>
      </c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</row>
    <row r="4" spans="1:35">
      <c r="A4" s="504">
        <v>44471</v>
      </c>
      <c r="B4" s="505" t="s">
        <v>33</v>
      </c>
      <c r="C4" s="506">
        <v>37000</v>
      </c>
      <c r="D4" s="507">
        <v>8500</v>
      </c>
      <c r="E4" s="508">
        <v>8000</v>
      </c>
      <c r="F4" s="508">
        <v>500</v>
      </c>
      <c r="G4" s="509"/>
      <c r="H4" s="509"/>
      <c r="I4" s="505" t="s">
        <v>387</v>
      </c>
      <c r="J4" s="506">
        <v>1500</v>
      </c>
      <c r="K4" s="506">
        <v>963472</v>
      </c>
      <c r="L4" s="510">
        <v>39</v>
      </c>
    </row>
    <row r="5" spans="1:35">
      <c r="A5" s="504">
        <v>44472</v>
      </c>
      <c r="B5" s="505" t="s">
        <v>37</v>
      </c>
      <c r="C5" s="506">
        <v>0</v>
      </c>
      <c r="D5" s="511">
        <v>14000</v>
      </c>
      <c r="E5" s="508">
        <v>13300</v>
      </c>
      <c r="F5" s="508">
        <v>700</v>
      </c>
      <c r="G5" s="505" t="s">
        <v>388</v>
      </c>
      <c r="H5" s="509"/>
      <c r="I5" s="505" t="s">
        <v>389</v>
      </c>
      <c r="J5" s="506">
        <v>0</v>
      </c>
      <c r="K5" s="506">
        <v>967532</v>
      </c>
      <c r="L5" s="510">
        <v>38</v>
      </c>
    </row>
    <row r="6" spans="1:35">
      <c r="A6" s="504">
        <v>44473</v>
      </c>
      <c r="B6" s="505" t="s">
        <v>41</v>
      </c>
      <c r="C6" s="506">
        <v>62000</v>
      </c>
      <c r="D6" s="507">
        <v>11300</v>
      </c>
      <c r="E6" s="512">
        <v>10700</v>
      </c>
      <c r="F6" s="508">
        <v>600</v>
      </c>
      <c r="G6" s="505" t="s">
        <v>388</v>
      </c>
      <c r="H6" s="509"/>
      <c r="I6" s="505" t="s">
        <v>389</v>
      </c>
      <c r="J6" s="506">
        <v>0</v>
      </c>
      <c r="K6" s="506">
        <v>977559</v>
      </c>
      <c r="L6" s="510">
        <v>39</v>
      </c>
    </row>
    <row r="7" spans="1:35">
      <c r="A7" s="504">
        <v>44474</v>
      </c>
      <c r="B7" s="505" t="s">
        <v>46</v>
      </c>
      <c r="C7" s="506">
        <v>68000</v>
      </c>
      <c r="D7" s="511">
        <v>15900</v>
      </c>
      <c r="E7" s="508">
        <v>15100</v>
      </c>
      <c r="F7" s="508">
        <v>800</v>
      </c>
      <c r="G7" s="505" t="s">
        <v>388</v>
      </c>
      <c r="H7" s="509"/>
      <c r="I7" s="505" t="s">
        <v>390</v>
      </c>
      <c r="J7" s="506">
        <v>1500</v>
      </c>
      <c r="K7" s="506">
        <v>977420</v>
      </c>
      <c r="L7" s="510">
        <v>38</v>
      </c>
    </row>
    <row r="8" spans="1:35">
      <c r="A8" s="504">
        <v>44475</v>
      </c>
      <c r="B8" s="505" t="s">
        <v>49</v>
      </c>
      <c r="C8" s="506">
        <v>68000</v>
      </c>
      <c r="D8" s="507">
        <v>13000</v>
      </c>
      <c r="E8" s="508">
        <v>12300</v>
      </c>
      <c r="F8" s="508">
        <v>700</v>
      </c>
      <c r="G8" s="505" t="s">
        <v>388</v>
      </c>
      <c r="H8" s="513"/>
      <c r="I8" s="505" t="s">
        <v>390</v>
      </c>
      <c r="J8" s="506">
        <v>1500</v>
      </c>
      <c r="K8" s="506">
        <v>983690</v>
      </c>
      <c r="L8" s="510">
        <v>38</v>
      </c>
    </row>
    <row r="9" spans="1:35">
      <c r="A9" s="504">
        <v>44476</v>
      </c>
      <c r="B9" s="505" t="s">
        <v>51</v>
      </c>
      <c r="C9" s="506">
        <v>62000</v>
      </c>
      <c r="D9" s="511">
        <v>14600</v>
      </c>
      <c r="E9" s="508">
        <v>13900</v>
      </c>
      <c r="F9" s="508">
        <v>700</v>
      </c>
      <c r="G9" s="505" t="s">
        <v>388</v>
      </c>
      <c r="H9" s="513"/>
      <c r="I9" s="505" t="s">
        <v>390</v>
      </c>
      <c r="J9" s="506">
        <v>1500</v>
      </c>
      <c r="K9" s="506">
        <v>986424</v>
      </c>
      <c r="L9" s="510">
        <v>38</v>
      </c>
    </row>
    <row r="10" spans="1:35">
      <c r="A10" s="504">
        <v>44477</v>
      </c>
      <c r="B10" s="505" t="s">
        <v>29</v>
      </c>
      <c r="C10" s="506">
        <v>62000</v>
      </c>
      <c r="D10" s="511">
        <v>30600</v>
      </c>
      <c r="E10" s="508">
        <v>29100</v>
      </c>
      <c r="F10" s="508">
        <v>1500</v>
      </c>
      <c r="G10" s="505" t="s">
        <v>391</v>
      </c>
      <c r="H10" s="513"/>
      <c r="I10" s="505" t="s">
        <v>392</v>
      </c>
      <c r="J10" s="506">
        <v>1500</v>
      </c>
      <c r="K10" s="506">
        <v>953798</v>
      </c>
      <c r="L10" s="510">
        <v>35</v>
      </c>
    </row>
    <row r="11" spans="1:35">
      <c r="A11" s="504">
        <v>44478</v>
      </c>
      <c r="B11" s="505" t="s">
        <v>33</v>
      </c>
      <c r="C11" s="506">
        <v>0</v>
      </c>
      <c r="D11" s="507">
        <v>12600</v>
      </c>
      <c r="E11" s="508">
        <v>12100</v>
      </c>
      <c r="F11" s="508">
        <v>500</v>
      </c>
      <c r="G11" s="509"/>
      <c r="H11" s="513"/>
      <c r="I11" s="505" t="s">
        <v>392</v>
      </c>
      <c r="J11" s="506">
        <v>1500</v>
      </c>
      <c r="K11" s="506">
        <v>960952</v>
      </c>
      <c r="L11" s="510">
        <v>39</v>
      </c>
    </row>
    <row r="12" spans="1:35">
      <c r="A12" s="504">
        <v>44479</v>
      </c>
      <c r="B12" s="505" t="s">
        <v>37</v>
      </c>
      <c r="C12" s="506">
        <v>0</v>
      </c>
      <c r="D12" s="511">
        <v>28300</v>
      </c>
      <c r="E12" s="508">
        <v>27600</v>
      </c>
      <c r="F12" s="508">
        <v>700</v>
      </c>
      <c r="G12" s="509"/>
      <c r="H12" s="513"/>
      <c r="I12" s="505" t="s">
        <v>392</v>
      </c>
      <c r="J12" s="506">
        <v>0</v>
      </c>
      <c r="K12" s="506">
        <v>933409</v>
      </c>
      <c r="L12" s="510">
        <v>36</v>
      </c>
    </row>
    <row r="13" spans="1:35">
      <c r="A13" s="504">
        <v>44480</v>
      </c>
      <c r="B13" s="505" t="s">
        <v>41</v>
      </c>
      <c r="C13" s="506">
        <v>0</v>
      </c>
      <c r="D13" s="507">
        <v>10300</v>
      </c>
      <c r="E13" s="512">
        <v>9900</v>
      </c>
      <c r="F13" s="508">
        <v>400</v>
      </c>
      <c r="G13" s="509"/>
      <c r="H13" s="513"/>
      <c r="I13" s="514"/>
      <c r="J13" s="506">
        <v>0</v>
      </c>
      <c r="K13" s="506">
        <v>945646</v>
      </c>
      <c r="L13" s="510">
        <v>36</v>
      </c>
    </row>
    <row r="14" spans="1:35">
      <c r="A14" s="504">
        <v>44481</v>
      </c>
      <c r="B14" s="505" t="s">
        <v>46</v>
      </c>
      <c r="C14" s="506">
        <v>62000</v>
      </c>
      <c r="D14" s="507">
        <v>9700</v>
      </c>
      <c r="E14" s="508">
        <v>9200</v>
      </c>
      <c r="F14" s="508">
        <v>500</v>
      </c>
      <c r="G14" s="515"/>
      <c r="H14" s="505" t="s">
        <v>393</v>
      </c>
      <c r="I14" s="514"/>
      <c r="J14" s="506">
        <v>1500</v>
      </c>
      <c r="K14" s="506">
        <v>959209</v>
      </c>
      <c r="L14" s="510">
        <v>37</v>
      </c>
    </row>
    <row r="15" spans="1:35">
      <c r="A15" s="504">
        <v>44482</v>
      </c>
      <c r="B15" s="505" t="s">
        <v>49</v>
      </c>
      <c r="C15" s="506">
        <v>62000</v>
      </c>
      <c r="D15" s="507">
        <v>8600</v>
      </c>
      <c r="E15" s="508">
        <v>8200</v>
      </c>
      <c r="F15" s="508">
        <v>400</v>
      </c>
      <c r="G15" s="515"/>
      <c r="H15" s="505" t="s">
        <v>393</v>
      </c>
      <c r="I15" s="514"/>
      <c r="J15" s="506">
        <v>1500</v>
      </c>
      <c r="K15" s="506">
        <v>975203</v>
      </c>
      <c r="L15" s="510">
        <v>37</v>
      </c>
    </row>
    <row r="16" spans="1:35">
      <c r="A16" s="504">
        <v>44483</v>
      </c>
      <c r="B16" s="505" t="s">
        <v>51</v>
      </c>
      <c r="C16" s="506">
        <v>62000</v>
      </c>
      <c r="D16" s="507">
        <v>9100</v>
      </c>
      <c r="E16" s="508">
        <v>8700</v>
      </c>
      <c r="F16" s="508">
        <v>400</v>
      </c>
      <c r="G16" s="515"/>
      <c r="H16" s="505" t="s">
        <v>381</v>
      </c>
      <c r="I16" s="514"/>
      <c r="J16" s="506">
        <v>1500</v>
      </c>
      <c r="K16" s="506">
        <v>990092</v>
      </c>
      <c r="L16" s="510">
        <v>38</v>
      </c>
    </row>
    <row r="17" spans="1:12">
      <c r="A17" s="504">
        <v>44484</v>
      </c>
      <c r="B17" s="505" t="s">
        <v>29</v>
      </c>
      <c r="C17" s="506">
        <v>62000</v>
      </c>
      <c r="D17" s="507">
        <v>6600</v>
      </c>
      <c r="E17" s="508">
        <v>6300</v>
      </c>
      <c r="F17" s="508">
        <v>300</v>
      </c>
      <c r="G17" s="513"/>
      <c r="H17" s="505" t="s">
        <v>381</v>
      </c>
      <c r="I17" s="515"/>
      <c r="J17" s="506">
        <v>1500</v>
      </c>
      <c r="K17" s="506">
        <v>1010506</v>
      </c>
      <c r="L17" s="510">
        <v>40</v>
      </c>
    </row>
    <row r="18" spans="1:12">
      <c r="A18" s="504">
        <v>44485</v>
      </c>
      <c r="B18" s="505" t="s">
        <v>33</v>
      </c>
      <c r="C18" s="506">
        <v>25000</v>
      </c>
      <c r="D18" s="507">
        <v>8400</v>
      </c>
      <c r="E18" s="508">
        <v>8000</v>
      </c>
      <c r="F18" s="508">
        <v>400</v>
      </c>
      <c r="G18" s="513"/>
      <c r="H18" s="505" t="s">
        <v>394</v>
      </c>
      <c r="I18" s="515"/>
      <c r="J18" s="506">
        <v>1500</v>
      </c>
      <c r="K18" s="506">
        <v>1026942</v>
      </c>
      <c r="L18" s="510">
        <v>41</v>
      </c>
    </row>
    <row r="19" spans="1:12">
      <c r="A19" s="504">
        <v>44486</v>
      </c>
      <c r="B19" s="505" t="s">
        <v>37</v>
      </c>
      <c r="C19" s="506">
        <v>0</v>
      </c>
      <c r="D19" s="511">
        <v>13700</v>
      </c>
      <c r="E19" s="508">
        <v>13000</v>
      </c>
      <c r="F19" s="508">
        <v>700</v>
      </c>
      <c r="G19" s="513"/>
      <c r="H19" s="505" t="s">
        <v>394</v>
      </c>
      <c r="I19" s="514"/>
      <c r="J19" s="506">
        <v>0</v>
      </c>
      <c r="K19" s="506">
        <v>1031665</v>
      </c>
      <c r="L19" s="510">
        <v>40</v>
      </c>
    </row>
    <row r="20" spans="1:12">
      <c r="A20" s="504">
        <v>44487</v>
      </c>
      <c r="B20" s="505" t="s">
        <v>41</v>
      </c>
      <c r="C20" s="506">
        <v>42000</v>
      </c>
      <c r="D20" s="507">
        <v>10600</v>
      </c>
      <c r="E20" s="512">
        <v>10000</v>
      </c>
      <c r="F20" s="508">
        <v>600</v>
      </c>
      <c r="G20" s="509"/>
      <c r="H20" s="514"/>
      <c r="I20" s="509"/>
      <c r="J20" s="506">
        <v>0</v>
      </c>
      <c r="K20" s="506">
        <v>1043239</v>
      </c>
      <c r="L20" s="510">
        <v>41</v>
      </c>
    </row>
    <row r="21" spans="1:12">
      <c r="A21" s="504">
        <v>44488</v>
      </c>
      <c r="B21" s="505" t="s">
        <v>46</v>
      </c>
      <c r="C21" s="506">
        <v>42000</v>
      </c>
      <c r="D21" s="507">
        <v>9500</v>
      </c>
      <c r="E21" s="508">
        <v>9000</v>
      </c>
      <c r="F21" s="508">
        <v>500</v>
      </c>
      <c r="G21" s="509"/>
      <c r="H21" s="505" t="s">
        <v>395</v>
      </c>
      <c r="I21" s="516"/>
      <c r="J21" s="506">
        <v>1500</v>
      </c>
      <c r="K21" s="506">
        <v>1057244</v>
      </c>
      <c r="L21" s="510">
        <v>41</v>
      </c>
    </row>
    <row r="22" spans="1:12">
      <c r="A22" s="504">
        <v>44489</v>
      </c>
      <c r="B22" s="505" t="s">
        <v>49</v>
      </c>
      <c r="C22" s="506">
        <v>42000</v>
      </c>
      <c r="D22" s="507">
        <v>8000</v>
      </c>
      <c r="E22" s="508">
        <v>7600</v>
      </c>
      <c r="F22" s="508">
        <v>400</v>
      </c>
      <c r="G22" s="513"/>
      <c r="H22" s="505" t="s">
        <v>395</v>
      </c>
      <c r="I22" s="516"/>
      <c r="J22" s="506">
        <v>1500</v>
      </c>
      <c r="K22" s="506">
        <v>1074564</v>
      </c>
      <c r="L22" s="510">
        <v>42</v>
      </c>
    </row>
    <row r="23" spans="1:12">
      <c r="A23" s="504">
        <v>44490</v>
      </c>
      <c r="B23" s="505" t="s">
        <v>51</v>
      </c>
      <c r="C23" s="506">
        <v>42000</v>
      </c>
      <c r="D23" s="507">
        <v>12300</v>
      </c>
      <c r="E23" s="508">
        <v>11700</v>
      </c>
      <c r="F23" s="508">
        <v>600</v>
      </c>
      <c r="G23" s="517" t="s">
        <v>126</v>
      </c>
      <c r="H23" s="518" t="s">
        <v>396</v>
      </c>
      <c r="I23" s="514"/>
      <c r="J23" s="506">
        <v>1500</v>
      </c>
      <c r="K23" s="506">
        <v>1082381</v>
      </c>
      <c r="L23" s="510">
        <v>42</v>
      </c>
    </row>
    <row r="24" spans="1:12">
      <c r="A24" s="504">
        <v>44491</v>
      </c>
      <c r="B24" s="505" t="s">
        <v>29</v>
      </c>
      <c r="C24" s="506">
        <v>42000</v>
      </c>
      <c r="D24" s="507">
        <v>9200</v>
      </c>
      <c r="E24" s="508">
        <v>8800</v>
      </c>
      <c r="F24" s="508">
        <v>400</v>
      </c>
      <c r="G24" s="517" t="s">
        <v>126</v>
      </c>
      <c r="H24" s="518" t="s">
        <v>396</v>
      </c>
      <c r="I24" s="514"/>
      <c r="J24" s="506">
        <v>1500</v>
      </c>
      <c r="K24" s="506">
        <v>1097049</v>
      </c>
      <c r="L24" s="510">
        <v>42</v>
      </c>
    </row>
    <row r="25" spans="1:12">
      <c r="A25" s="504">
        <v>44492</v>
      </c>
      <c r="B25" s="505" t="s">
        <v>33</v>
      </c>
      <c r="C25" s="506">
        <v>25000</v>
      </c>
      <c r="D25" s="507">
        <v>11450</v>
      </c>
      <c r="E25" s="508">
        <v>9800</v>
      </c>
      <c r="F25" s="508">
        <v>1650</v>
      </c>
      <c r="G25" s="517" t="s">
        <v>126</v>
      </c>
      <c r="H25" s="519" t="s">
        <v>397</v>
      </c>
      <c r="I25" s="514"/>
      <c r="J25" s="506">
        <v>1500</v>
      </c>
      <c r="K25" s="506">
        <v>1106745</v>
      </c>
      <c r="L25" s="510">
        <v>43</v>
      </c>
    </row>
    <row r="26" spans="1:12">
      <c r="A26" s="504">
        <v>44493</v>
      </c>
      <c r="B26" s="505" t="s">
        <v>37</v>
      </c>
      <c r="C26" s="506">
        <v>0</v>
      </c>
      <c r="D26" s="511">
        <v>18800</v>
      </c>
      <c r="E26" s="508">
        <v>16500</v>
      </c>
      <c r="F26" s="508">
        <v>2300</v>
      </c>
      <c r="G26" s="505" t="s">
        <v>398</v>
      </c>
      <c r="H26" s="519" t="s">
        <v>397</v>
      </c>
      <c r="I26" s="509"/>
      <c r="J26" s="506">
        <v>0</v>
      </c>
      <c r="K26" s="506">
        <v>1100197</v>
      </c>
      <c r="L26" s="510">
        <v>42</v>
      </c>
    </row>
    <row r="27" spans="1:12">
      <c r="A27" s="504">
        <v>44494</v>
      </c>
      <c r="B27" s="505" t="s">
        <v>41</v>
      </c>
      <c r="C27" s="506">
        <v>42000</v>
      </c>
      <c r="D27" s="511">
        <v>13400</v>
      </c>
      <c r="E27" s="512">
        <v>9600</v>
      </c>
      <c r="F27" s="508">
        <v>3800</v>
      </c>
      <c r="G27" s="509"/>
      <c r="H27" s="519" t="s">
        <v>397</v>
      </c>
      <c r="I27" s="509"/>
      <c r="J27" s="506">
        <v>0</v>
      </c>
      <c r="K27" s="506">
        <v>1105583</v>
      </c>
      <c r="L27" s="510">
        <v>41</v>
      </c>
    </row>
    <row r="28" spans="1:12">
      <c r="A28" s="504">
        <v>44495</v>
      </c>
      <c r="B28" s="505" t="s">
        <v>46</v>
      </c>
      <c r="C28" s="506">
        <v>42000</v>
      </c>
      <c r="D28" s="507">
        <v>9500</v>
      </c>
      <c r="E28" s="508">
        <v>9000</v>
      </c>
      <c r="F28" s="508">
        <v>500</v>
      </c>
      <c r="G28" s="509"/>
      <c r="H28" s="509"/>
      <c r="I28" s="505" t="s">
        <v>399</v>
      </c>
      <c r="J28" s="506">
        <v>1500</v>
      </c>
      <c r="K28" s="506">
        <v>1119588</v>
      </c>
      <c r="L28" s="510">
        <v>42</v>
      </c>
    </row>
    <row r="29" spans="1:12">
      <c r="A29" s="504">
        <v>44496</v>
      </c>
      <c r="B29" s="505" t="s">
        <v>49</v>
      </c>
      <c r="C29" s="506">
        <v>42000</v>
      </c>
      <c r="D29" s="507">
        <v>8000</v>
      </c>
      <c r="E29" s="508">
        <v>7600</v>
      </c>
      <c r="F29" s="508">
        <v>400</v>
      </c>
      <c r="G29" s="509"/>
      <c r="H29" s="509"/>
      <c r="I29" s="505" t="s">
        <v>400</v>
      </c>
      <c r="J29" s="506">
        <v>1500</v>
      </c>
      <c r="K29" s="506">
        <v>1136908</v>
      </c>
      <c r="L29" s="510">
        <v>42</v>
      </c>
    </row>
    <row r="30" spans="1:12">
      <c r="A30" s="504">
        <v>44497</v>
      </c>
      <c r="B30" s="505" t="s">
        <v>51</v>
      </c>
      <c r="C30" s="506">
        <v>42000</v>
      </c>
      <c r="D30" s="507">
        <v>8900</v>
      </c>
      <c r="E30" s="508">
        <v>8500</v>
      </c>
      <c r="F30" s="508">
        <v>400</v>
      </c>
      <c r="G30" s="509"/>
      <c r="H30" s="515"/>
      <c r="I30" s="505" t="s">
        <v>401</v>
      </c>
      <c r="J30" s="506">
        <v>1500</v>
      </c>
      <c r="K30" s="506">
        <v>1152239</v>
      </c>
      <c r="L30" s="510">
        <v>43</v>
      </c>
    </row>
    <row r="31" spans="1:12">
      <c r="A31" s="504">
        <v>44498</v>
      </c>
      <c r="B31" s="505" t="s">
        <v>29</v>
      </c>
      <c r="C31" s="506">
        <v>42000</v>
      </c>
      <c r="D31" s="507">
        <v>6600</v>
      </c>
      <c r="E31" s="508">
        <v>6300</v>
      </c>
      <c r="F31" s="508">
        <v>300</v>
      </c>
      <c r="G31" s="509"/>
      <c r="H31" s="515"/>
      <c r="I31" s="505" t="s">
        <v>402</v>
      </c>
      <c r="J31" s="506">
        <v>1500</v>
      </c>
      <c r="K31" s="506">
        <v>1172653</v>
      </c>
      <c r="L31" s="510">
        <v>44</v>
      </c>
    </row>
    <row r="32" spans="1:12">
      <c r="A32" s="504">
        <v>44499</v>
      </c>
      <c r="B32" s="505" t="s">
        <v>33</v>
      </c>
      <c r="C32" s="506">
        <v>25000</v>
      </c>
      <c r="D32" s="507">
        <v>8100</v>
      </c>
      <c r="E32" s="508">
        <v>7700</v>
      </c>
      <c r="F32" s="508">
        <v>400</v>
      </c>
      <c r="G32" s="509"/>
      <c r="H32" s="515"/>
      <c r="I32" s="505" t="s">
        <v>403</v>
      </c>
      <c r="J32" s="506">
        <v>0</v>
      </c>
      <c r="K32" s="506">
        <v>1189752</v>
      </c>
      <c r="L32" s="510">
        <v>45</v>
      </c>
    </row>
    <row r="33" spans="1:20">
      <c r="A33" s="504">
        <v>44500</v>
      </c>
      <c r="B33" s="505" t="s">
        <v>37</v>
      </c>
      <c r="C33" s="506">
        <v>0</v>
      </c>
      <c r="D33" s="511">
        <v>13600</v>
      </c>
      <c r="E33" s="507">
        <v>12900</v>
      </c>
      <c r="F33" s="508">
        <v>700</v>
      </c>
      <c r="G33" s="515"/>
      <c r="H33" s="515"/>
      <c r="I33" s="520" t="s">
        <v>404</v>
      </c>
      <c r="J33" s="506">
        <v>0</v>
      </c>
      <c r="K33" s="521">
        <v>1194696</v>
      </c>
      <c r="L33" s="522">
        <v>45</v>
      </c>
    </row>
    <row r="34" spans="1:20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</row>
    <row r="36" spans="1:20">
      <c r="C36" s="23"/>
      <c r="D36" s="23"/>
    </row>
    <row r="37" spans="1:20">
      <c r="A37" s="64"/>
      <c r="B37" s="64"/>
      <c r="C37" s="23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</row>
  </sheetData>
  <phoneticPr fontId="6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N32"/>
  <sheetViews>
    <sheetView workbookViewId="0"/>
  </sheetViews>
  <sheetFormatPr baseColWidth="10" defaultColWidth="12.6640625" defaultRowHeight="15.75" customHeight="1"/>
  <cols>
    <col min="1" max="2" width="8.6640625" customWidth="1"/>
  </cols>
  <sheetData>
    <row r="1" spans="1:14">
      <c r="A1" s="425"/>
      <c r="B1" s="485"/>
      <c r="C1" s="486" t="s">
        <v>220</v>
      </c>
      <c r="D1" s="487"/>
      <c r="E1" s="523"/>
      <c r="F1" s="523"/>
      <c r="G1" s="523"/>
      <c r="H1" s="524"/>
      <c r="I1" s="489" t="s">
        <v>129</v>
      </c>
      <c r="J1" s="490"/>
      <c r="K1" s="491"/>
      <c r="L1" s="492" t="s">
        <v>303</v>
      </c>
      <c r="M1" s="493"/>
      <c r="N1" s="494"/>
    </row>
    <row r="2" spans="1:14">
      <c r="A2" s="495" t="s">
        <v>10</v>
      </c>
      <c r="B2" s="525"/>
      <c r="C2" s="497" t="s">
        <v>63</v>
      </c>
      <c r="D2" s="497" t="s">
        <v>405</v>
      </c>
      <c r="E2" s="498" t="s">
        <v>18</v>
      </c>
      <c r="F2" s="503" t="s">
        <v>406</v>
      </c>
      <c r="G2" s="499" t="s">
        <v>353</v>
      </c>
      <c r="H2" s="500" t="s">
        <v>305</v>
      </c>
      <c r="I2" s="501" t="s">
        <v>130</v>
      </c>
      <c r="J2" s="497" t="s">
        <v>186</v>
      </c>
      <c r="K2" s="498" t="s">
        <v>132</v>
      </c>
      <c r="L2" s="501" t="s">
        <v>253</v>
      </c>
      <c r="M2" s="502" t="s">
        <v>365</v>
      </c>
      <c r="N2" s="503" t="s">
        <v>366</v>
      </c>
    </row>
    <row r="3" spans="1:14">
      <c r="A3" s="504">
        <v>44501</v>
      </c>
      <c r="B3" s="505" t="s">
        <v>41</v>
      </c>
      <c r="C3" s="506">
        <v>39000</v>
      </c>
      <c r="D3" s="526">
        <v>0</v>
      </c>
      <c r="E3" s="507">
        <v>9800</v>
      </c>
      <c r="F3" s="507">
        <v>10100</v>
      </c>
      <c r="G3" s="508">
        <v>9100</v>
      </c>
      <c r="H3" s="508">
        <v>700</v>
      </c>
      <c r="I3" s="527"/>
      <c r="J3" s="527"/>
      <c r="K3" s="505" t="s">
        <v>407</v>
      </c>
      <c r="L3" s="506">
        <v>0</v>
      </c>
      <c r="M3" s="506">
        <v>1053669</v>
      </c>
      <c r="N3" s="510">
        <v>39</v>
      </c>
    </row>
    <row r="4" spans="1:14">
      <c r="A4" s="504">
        <v>44502</v>
      </c>
      <c r="B4" s="505" t="s">
        <v>46</v>
      </c>
      <c r="C4" s="506">
        <v>39000</v>
      </c>
      <c r="D4" s="526">
        <v>53000</v>
      </c>
      <c r="E4" s="507">
        <v>8700</v>
      </c>
      <c r="F4" s="507">
        <v>9000</v>
      </c>
      <c r="G4" s="508">
        <v>8100</v>
      </c>
      <c r="H4" s="508">
        <v>600</v>
      </c>
      <c r="I4" s="527"/>
      <c r="J4" s="527"/>
      <c r="K4" s="505" t="s">
        <v>408</v>
      </c>
      <c r="L4" s="506">
        <v>1000</v>
      </c>
      <c r="M4" s="506">
        <v>1069442</v>
      </c>
      <c r="N4" s="510">
        <v>40</v>
      </c>
    </row>
    <row r="5" spans="1:14">
      <c r="A5" s="504">
        <v>44503</v>
      </c>
      <c r="B5" s="505" t="s">
        <v>49</v>
      </c>
      <c r="C5" s="506">
        <v>39000</v>
      </c>
      <c r="D5" s="526">
        <v>53000</v>
      </c>
      <c r="E5" s="507">
        <v>9000</v>
      </c>
      <c r="F5" s="507">
        <v>9200</v>
      </c>
      <c r="G5" s="508">
        <v>8400</v>
      </c>
      <c r="H5" s="508">
        <v>600</v>
      </c>
      <c r="I5" s="527"/>
      <c r="J5" s="527"/>
      <c r="K5" s="505" t="s">
        <v>409</v>
      </c>
      <c r="L5" s="506">
        <v>1000</v>
      </c>
      <c r="M5" s="506">
        <v>1084552</v>
      </c>
      <c r="N5" s="510">
        <v>41</v>
      </c>
    </row>
    <row r="6" spans="1:14">
      <c r="A6" s="504">
        <v>44504</v>
      </c>
      <c r="B6" s="505" t="s">
        <v>51</v>
      </c>
      <c r="C6" s="506">
        <v>39000</v>
      </c>
      <c r="D6" s="526">
        <v>53000</v>
      </c>
      <c r="E6" s="507">
        <v>9800</v>
      </c>
      <c r="F6" s="507">
        <v>12100</v>
      </c>
      <c r="G6" s="508">
        <v>9100</v>
      </c>
      <c r="H6" s="508">
        <v>700</v>
      </c>
      <c r="I6" s="527"/>
      <c r="J6" s="527"/>
      <c r="K6" s="505" t="s">
        <v>410</v>
      </c>
      <c r="L6" s="506">
        <v>1000</v>
      </c>
      <c r="M6" s="506">
        <v>1097894</v>
      </c>
      <c r="N6" s="510">
        <v>42</v>
      </c>
    </row>
    <row r="7" spans="1:14">
      <c r="A7" s="504">
        <v>44505</v>
      </c>
      <c r="B7" s="505" t="s">
        <v>29</v>
      </c>
      <c r="C7" s="506">
        <v>39000</v>
      </c>
      <c r="D7" s="526">
        <v>53000</v>
      </c>
      <c r="E7" s="507">
        <v>9300</v>
      </c>
      <c r="F7" s="507">
        <v>9300</v>
      </c>
      <c r="G7" s="508">
        <v>8600</v>
      </c>
      <c r="H7" s="508">
        <v>700</v>
      </c>
      <c r="I7" s="527"/>
      <c r="J7" s="527"/>
      <c r="K7" s="505" t="s">
        <v>411</v>
      </c>
      <c r="L7" s="506">
        <v>1000</v>
      </c>
      <c r="M7" s="506">
        <v>1112341</v>
      </c>
      <c r="N7" s="510">
        <v>44</v>
      </c>
    </row>
    <row r="8" spans="1:14">
      <c r="A8" s="504">
        <v>44506</v>
      </c>
      <c r="B8" s="505" t="s">
        <v>33</v>
      </c>
      <c r="C8" s="506">
        <v>23000</v>
      </c>
      <c r="D8" s="526">
        <v>53000</v>
      </c>
      <c r="E8" s="507">
        <v>7900</v>
      </c>
      <c r="F8" s="507">
        <v>7900</v>
      </c>
      <c r="G8" s="508">
        <v>7300</v>
      </c>
      <c r="H8" s="508">
        <v>600</v>
      </c>
      <c r="I8" s="527"/>
      <c r="J8" s="528"/>
      <c r="K8" s="505" t="s">
        <v>412</v>
      </c>
      <c r="L8" s="506">
        <v>1000</v>
      </c>
      <c r="M8" s="506">
        <v>1129882</v>
      </c>
      <c r="N8" s="510">
        <v>45</v>
      </c>
    </row>
    <row r="9" spans="1:14">
      <c r="A9" s="504">
        <v>44507</v>
      </c>
      <c r="B9" s="505" t="s">
        <v>37</v>
      </c>
      <c r="C9" s="506">
        <v>0</v>
      </c>
      <c r="D9" s="526">
        <v>32000</v>
      </c>
      <c r="E9" s="511">
        <v>13100</v>
      </c>
      <c r="F9" s="507">
        <v>13100</v>
      </c>
      <c r="G9" s="508">
        <v>12100</v>
      </c>
      <c r="H9" s="508">
        <v>1000</v>
      </c>
      <c r="I9" s="505" t="s">
        <v>413</v>
      </c>
      <c r="J9" s="528"/>
      <c r="K9" s="505" t="s">
        <v>414</v>
      </c>
      <c r="L9" s="506">
        <v>0</v>
      </c>
      <c r="M9" s="506">
        <v>1135931</v>
      </c>
      <c r="N9" s="510">
        <v>48</v>
      </c>
    </row>
    <row r="10" spans="1:14">
      <c r="A10" s="504">
        <v>44508</v>
      </c>
      <c r="B10" s="505" t="s">
        <v>41</v>
      </c>
      <c r="C10" s="506">
        <v>39000</v>
      </c>
      <c r="D10" s="526">
        <v>0</v>
      </c>
      <c r="E10" s="511">
        <v>12900</v>
      </c>
      <c r="F10" s="507">
        <v>12900</v>
      </c>
      <c r="G10" s="508">
        <v>11900</v>
      </c>
      <c r="H10" s="508">
        <v>1000</v>
      </c>
      <c r="I10" s="505" t="s">
        <v>413</v>
      </c>
      <c r="J10" s="528"/>
      <c r="K10" s="505" t="s">
        <v>415</v>
      </c>
      <c r="L10" s="506">
        <v>0</v>
      </c>
      <c r="M10" s="506">
        <v>1142422</v>
      </c>
      <c r="N10" s="510">
        <v>48</v>
      </c>
    </row>
    <row r="11" spans="1:14">
      <c r="A11" s="504">
        <v>44509</v>
      </c>
      <c r="B11" s="505" t="s">
        <v>46</v>
      </c>
      <c r="C11" s="506">
        <v>39000</v>
      </c>
      <c r="D11" s="526">
        <v>53000</v>
      </c>
      <c r="E11" s="507">
        <v>10600</v>
      </c>
      <c r="F11" s="507">
        <v>10600</v>
      </c>
      <c r="G11" s="508">
        <v>9900</v>
      </c>
      <c r="H11" s="508">
        <v>700</v>
      </c>
      <c r="I11" s="505" t="s">
        <v>413</v>
      </c>
      <c r="J11" s="528"/>
      <c r="K11" s="505" t="s">
        <v>416</v>
      </c>
      <c r="L11" s="506">
        <v>1000</v>
      </c>
      <c r="M11" s="506">
        <v>1153996</v>
      </c>
      <c r="N11" s="510">
        <v>51</v>
      </c>
    </row>
    <row r="12" spans="1:14">
      <c r="A12" s="504">
        <v>44510</v>
      </c>
      <c r="B12" s="505" t="s">
        <v>49</v>
      </c>
      <c r="C12" s="506">
        <v>39000</v>
      </c>
      <c r="D12" s="526">
        <v>53000</v>
      </c>
      <c r="E12" s="507">
        <v>11500</v>
      </c>
      <c r="F12" s="507">
        <v>11500</v>
      </c>
      <c r="G12" s="508">
        <v>10700</v>
      </c>
      <c r="H12" s="508">
        <v>800</v>
      </c>
      <c r="I12" s="505" t="s">
        <v>413</v>
      </c>
      <c r="J12" s="528"/>
      <c r="K12" s="505" t="s">
        <v>417</v>
      </c>
      <c r="L12" s="506">
        <v>1000</v>
      </c>
      <c r="M12" s="506">
        <v>1163581</v>
      </c>
      <c r="N12" s="510">
        <v>52</v>
      </c>
    </row>
    <row r="13" spans="1:14">
      <c r="A13" s="504">
        <v>44511</v>
      </c>
      <c r="B13" s="505" t="s">
        <v>51</v>
      </c>
      <c r="C13" s="506">
        <v>39000</v>
      </c>
      <c r="D13" s="526">
        <v>0</v>
      </c>
      <c r="E13" s="511">
        <v>117000</v>
      </c>
      <c r="F13" s="507">
        <v>117000</v>
      </c>
      <c r="G13" s="512">
        <v>111000</v>
      </c>
      <c r="H13" s="508">
        <v>6000</v>
      </c>
      <c r="I13" s="505" t="s">
        <v>418</v>
      </c>
      <c r="J13" s="528"/>
      <c r="K13" s="529" t="s">
        <v>419</v>
      </c>
      <c r="L13" s="506">
        <v>1000</v>
      </c>
      <c r="M13" s="506">
        <v>940011</v>
      </c>
      <c r="N13" s="510">
        <v>31</v>
      </c>
    </row>
    <row r="14" spans="1:14">
      <c r="A14" s="504">
        <v>44512</v>
      </c>
      <c r="B14" s="505" t="s">
        <v>29</v>
      </c>
      <c r="C14" s="506">
        <v>39000</v>
      </c>
      <c r="D14" s="526">
        <v>10000</v>
      </c>
      <c r="E14" s="507">
        <v>9200</v>
      </c>
      <c r="F14" s="507">
        <v>9200</v>
      </c>
      <c r="G14" s="508">
        <v>8500</v>
      </c>
      <c r="H14" s="508">
        <v>700</v>
      </c>
      <c r="I14" s="515"/>
      <c r="J14" s="527"/>
      <c r="K14" s="529" t="s">
        <v>420</v>
      </c>
      <c r="L14" s="506">
        <v>1000</v>
      </c>
      <c r="M14" s="506">
        <v>954679</v>
      </c>
      <c r="N14" s="510">
        <v>31</v>
      </c>
    </row>
    <row r="15" spans="1:14">
      <c r="A15" s="504">
        <v>44513</v>
      </c>
      <c r="B15" s="505" t="s">
        <v>33</v>
      </c>
      <c r="C15" s="506">
        <v>23000</v>
      </c>
      <c r="D15" s="526">
        <v>10000</v>
      </c>
      <c r="E15" s="507">
        <v>7300</v>
      </c>
      <c r="F15" s="507">
        <v>7300</v>
      </c>
      <c r="G15" s="508">
        <v>6700</v>
      </c>
      <c r="H15" s="508">
        <v>600</v>
      </c>
      <c r="I15" s="515"/>
      <c r="J15" s="527"/>
      <c r="K15" s="529" t="s">
        <v>420</v>
      </c>
      <c r="L15" s="506">
        <v>1000</v>
      </c>
      <c r="M15" s="506">
        <v>973546</v>
      </c>
      <c r="N15" s="510">
        <v>32</v>
      </c>
    </row>
    <row r="16" spans="1:14">
      <c r="A16" s="504">
        <v>44514</v>
      </c>
      <c r="B16" s="505" t="s">
        <v>37</v>
      </c>
      <c r="C16" s="506">
        <v>0</v>
      </c>
      <c r="D16" s="526">
        <v>32000</v>
      </c>
      <c r="E16" s="511">
        <v>13600</v>
      </c>
      <c r="F16" s="507">
        <v>13600</v>
      </c>
      <c r="G16" s="508">
        <v>12000</v>
      </c>
      <c r="H16" s="508">
        <v>1600</v>
      </c>
      <c r="I16" s="515"/>
      <c r="J16" s="519" t="s">
        <v>421</v>
      </c>
      <c r="K16" s="529" t="s">
        <v>420</v>
      </c>
      <c r="L16" s="506">
        <v>0</v>
      </c>
      <c r="M16" s="506">
        <v>978490</v>
      </c>
      <c r="N16" s="510">
        <v>32</v>
      </c>
    </row>
    <row r="17" spans="1:14">
      <c r="A17" s="504">
        <v>44515</v>
      </c>
      <c r="B17" s="505" t="s">
        <v>41</v>
      </c>
      <c r="C17" s="506">
        <v>39000</v>
      </c>
      <c r="D17" s="526">
        <v>0</v>
      </c>
      <c r="E17" s="507">
        <v>12300</v>
      </c>
      <c r="F17" s="507">
        <v>12300</v>
      </c>
      <c r="G17" s="508">
        <v>9100</v>
      </c>
      <c r="H17" s="508">
        <v>3200</v>
      </c>
      <c r="I17" s="528"/>
      <c r="J17" s="519" t="s">
        <v>421</v>
      </c>
      <c r="K17" s="515"/>
      <c r="L17" s="506">
        <v>0</v>
      </c>
      <c r="M17" s="506">
        <v>986307</v>
      </c>
      <c r="N17" s="510">
        <v>32</v>
      </c>
    </row>
    <row r="18" spans="1:14">
      <c r="A18" s="530">
        <v>44516</v>
      </c>
      <c r="B18" s="505" t="s">
        <v>46</v>
      </c>
      <c r="C18" s="506">
        <v>39000</v>
      </c>
      <c r="D18" s="526">
        <v>50000</v>
      </c>
      <c r="E18" s="507">
        <v>8400</v>
      </c>
      <c r="F18" s="507">
        <v>8400</v>
      </c>
      <c r="G18" s="508">
        <v>7700</v>
      </c>
      <c r="H18" s="508">
        <v>700</v>
      </c>
      <c r="I18" s="528"/>
      <c r="J18" s="505" t="s">
        <v>422</v>
      </c>
      <c r="K18" s="515"/>
      <c r="L18" s="506">
        <v>1000</v>
      </c>
      <c r="M18" s="506">
        <v>1002743</v>
      </c>
      <c r="N18" s="510">
        <v>33</v>
      </c>
    </row>
    <row r="19" spans="1:14">
      <c r="A19" s="530">
        <v>44517</v>
      </c>
      <c r="B19" s="505" t="s">
        <v>49</v>
      </c>
      <c r="C19" s="506">
        <v>39000</v>
      </c>
      <c r="D19" s="526">
        <v>50000</v>
      </c>
      <c r="E19" s="507">
        <v>8500</v>
      </c>
      <c r="F19" s="507">
        <v>8500</v>
      </c>
      <c r="G19" s="508">
        <v>7800</v>
      </c>
      <c r="H19" s="508">
        <v>700</v>
      </c>
      <c r="I19" s="528"/>
      <c r="J19" s="505" t="s">
        <v>422</v>
      </c>
      <c r="K19" s="515"/>
      <c r="L19" s="506">
        <v>1000</v>
      </c>
      <c r="M19" s="506">
        <v>1018958</v>
      </c>
      <c r="N19" s="510">
        <v>33</v>
      </c>
    </row>
    <row r="20" spans="1:14">
      <c r="A20" s="530">
        <v>44518</v>
      </c>
      <c r="B20" s="505" t="s">
        <v>51</v>
      </c>
      <c r="C20" s="506">
        <v>39000</v>
      </c>
      <c r="D20" s="526">
        <v>50000</v>
      </c>
      <c r="E20" s="507">
        <v>9800</v>
      </c>
      <c r="F20" s="507">
        <v>9800</v>
      </c>
      <c r="G20" s="508">
        <v>9000</v>
      </c>
      <c r="H20" s="508">
        <v>800</v>
      </c>
      <c r="I20" s="527"/>
      <c r="J20" s="529" t="s">
        <v>423</v>
      </c>
      <c r="K20" s="527"/>
      <c r="L20" s="506">
        <v>1000</v>
      </c>
      <c r="M20" s="506">
        <v>1032300</v>
      </c>
      <c r="N20" s="510">
        <v>34</v>
      </c>
    </row>
    <row r="21" spans="1:14">
      <c r="A21" s="530">
        <v>44519</v>
      </c>
      <c r="B21" s="505" t="s">
        <v>29</v>
      </c>
      <c r="C21" s="506">
        <v>39000</v>
      </c>
      <c r="D21" s="526">
        <v>50000</v>
      </c>
      <c r="E21" s="507">
        <v>9200</v>
      </c>
      <c r="F21" s="507">
        <v>9200</v>
      </c>
      <c r="G21" s="508">
        <v>8500</v>
      </c>
      <c r="H21" s="508">
        <v>700</v>
      </c>
      <c r="I21" s="527"/>
      <c r="J21" s="529" t="s">
        <v>423</v>
      </c>
      <c r="K21" s="516"/>
      <c r="L21" s="506">
        <v>1000</v>
      </c>
      <c r="M21" s="506">
        <v>1046968</v>
      </c>
      <c r="N21" s="510">
        <v>34</v>
      </c>
    </row>
    <row r="22" spans="1:14">
      <c r="A22" s="530">
        <v>44520</v>
      </c>
      <c r="B22" s="505" t="s">
        <v>33</v>
      </c>
      <c r="C22" s="506">
        <v>23000</v>
      </c>
      <c r="D22" s="526">
        <v>50000</v>
      </c>
      <c r="E22" s="507">
        <v>8000</v>
      </c>
      <c r="F22" s="507">
        <v>8000</v>
      </c>
      <c r="G22" s="508">
        <v>6600</v>
      </c>
      <c r="H22" s="508">
        <v>1400</v>
      </c>
      <c r="I22" s="528"/>
      <c r="J22" s="531" t="s">
        <v>424</v>
      </c>
      <c r="K22" s="516"/>
      <c r="L22" s="506">
        <v>1000</v>
      </c>
      <c r="M22" s="506">
        <v>1064288</v>
      </c>
      <c r="N22" s="510">
        <v>35</v>
      </c>
    </row>
    <row r="23" spans="1:14">
      <c r="A23" s="530">
        <v>44521</v>
      </c>
      <c r="B23" s="505" t="s">
        <v>37</v>
      </c>
      <c r="C23" s="506">
        <v>0</v>
      </c>
      <c r="D23" s="511">
        <v>37000</v>
      </c>
      <c r="E23" s="511">
        <v>16600</v>
      </c>
      <c r="F23" s="507">
        <v>16600</v>
      </c>
      <c r="G23" s="508">
        <v>14600</v>
      </c>
      <c r="H23" s="508">
        <v>2000</v>
      </c>
      <c r="I23" s="517" t="s">
        <v>126</v>
      </c>
      <c r="J23" s="531" t="s">
        <v>424</v>
      </c>
      <c r="K23" s="516"/>
      <c r="L23" s="506">
        <v>0</v>
      </c>
      <c r="M23" s="506">
        <v>1062602</v>
      </c>
      <c r="N23" s="510">
        <v>34</v>
      </c>
    </row>
    <row r="24" spans="1:14">
      <c r="A24" s="530">
        <v>44522</v>
      </c>
      <c r="B24" s="505" t="s">
        <v>41</v>
      </c>
      <c r="C24" s="506">
        <v>39000</v>
      </c>
      <c r="D24" s="532"/>
      <c r="E24" s="511">
        <v>13000</v>
      </c>
      <c r="F24" s="507">
        <v>13000</v>
      </c>
      <c r="G24" s="508">
        <v>11100</v>
      </c>
      <c r="H24" s="508">
        <v>1900</v>
      </c>
      <c r="I24" s="517" t="s">
        <v>126</v>
      </c>
      <c r="J24" s="531" t="s">
        <v>424</v>
      </c>
      <c r="K24" s="516"/>
      <c r="L24" s="506">
        <v>0</v>
      </c>
      <c r="M24" s="506">
        <v>1068872</v>
      </c>
      <c r="N24" s="510">
        <v>34</v>
      </c>
    </row>
    <row r="25" spans="1:14">
      <c r="A25" s="530">
        <v>44523</v>
      </c>
      <c r="B25" s="505" t="s">
        <v>46</v>
      </c>
      <c r="C25" s="506">
        <v>39000</v>
      </c>
      <c r="D25" s="511">
        <v>58000</v>
      </c>
      <c r="E25" s="507">
        <v>9800</v>
      </c>
      <c r="F25" s="507">
        <v>9800</v>
      </c>
      <c r="G25" s="508">
        <v>9000</v>
      </c>
      <c r="H25" s="508">
        <v>800</v>
      </c>
      <c r="I25" s="505" t="s">
        <v>126</v>
      </c>
      <c r="J25" s="529" t="s">
        <v>425</v>
      </c>
      <c r="K25" s="516"/>
      <c r="L25" s="506">
        <v>1000</v>
      </c>
      <c r="M25" s="506">
        <v>1082214</v>
      </c>
      <c r="N25" s="510">
        <v>36</v>
      </c>
    </row>
    <row r="26" spans="1:14">
      <c r="A26" s="530">
        <v>44524</v>
      </c>
      <c r="B26" s="505" t="s">
        <v>49</v>
      </c>
      <c r="C26" s="506">
        <v>39000</v>
      </c>
      <c r="D26" s="511">
        <v>58000</v>
      </c>
      <c r="E26" s="511">
        <v>18200</v>
      </c>
      <c r="F26" s="507">
        <v>18200</v>
      </c>
      <c r="G26" s="508">
        <v>17000</v>
      </c>
      <c r="H26" s="508">
        <v>1200</v>
      </c>
      <c r="I26" s="505" t="s">
        <v>398</v>
      </c>
      <c r="J26" s="529" t="s">
        <v>425</v>
      </c>
      <c r="K26" s="527"/>
      <c r="L26" s="506">
        <v>1000</v>
      </c>
      <c r="M26" s="506">
        <v>1076992</v>
      </c>
      <c r="N26" s="510">
        <v>35</v>
      </c>
    </row>
    <row r="27" spans="1:14">
      <c r="A27" s="530">
        <v>44525</v>
      </c>
      <c r="B27" s="505" t="s">
        <v>51</v>
      </c>
      <c r="C27" s="506">
        <v>39000</v>
      </c>
      <c r="D27" s="511">
        <v>58000</v>
      </c>
      <c r="E27" s="507">
        <v>9800</v>
      </c>
      <c r="F27" s="507">
        <v>9800</v>
      </c>
      <c r="G27" s="508">
        <v>9000</v>
      </c>
      <c r="H27" s="508">
        <v>800</v>
      </c>
      <c r="I27" s="527"/>
      <c r="J27" s="527"/>
      <c r="K27" s="527"/>
      <c r="L27" s="506">
        <v>1000</v>
      </c>
      <c r="M27" s="506">
        <v>1090334</v>
      </c>
      <c r="N27" s="510">
        <v>35</v>
      </c>
    </row>
    <row r="28" spans="1:14">
      <c r="A28" s="530">
        <v>44526</v>
      </c>
      <c r="B28" s="505" t="s">
        <v>29</v>
      </c>
      <c r="C28" s="506">
        <v>39000</v>
      </c>
      <c r="D28" s="511">
        <v>58000</v>
      </c>
      <c r="E28" s="507">
        <v>9300</v>
      </c>
      <c r="F28" s="507">
        <v>9300</v>
      </c>
      <c r="G28" s="508">
        <v>8600</v>
      </c>
      <c r="H28" s="508">
        <v>700</v>
      </c>
      <c r="I28" s="527"/>
      <c r="J28" s="527"/>
      <c r="K28" s="505" t="s">
        <v>426</v>
      </c>
      <c r="L28" s="506">
        <v>1000</v>
      </c>
      <c r="M28" s="506">
        <v>1104781</v>
      </c>
      <c r="N28" s="510">
        <v>36</v>
      </c>
    </row>
    <row r="29" spans="1:14">
      <c r="A29" s="530">
        <v>44527</v>
      </c>
      <c r="B29" s="505" t="s">
        <v>33</v>
      </c>
      <c r="C29" s="506">
        <v>23000</v>
      </c>
      <c r="D29" s="511">
        <v>58000</v>
      </c>
      <c r="E29" s="507">
        <v>7900</v>
      </c>
      <c r="F29" s="507">
        <v>7900</v>
      </c>
      <c r="G29" s="508">
        <v>7300</v>
      </c>
      <c r="H29" s="508">
        <v>600</v>
      </c>
      <c r="I29" s="527"/>
      <c r="J29" s="527"/>
      <c r="K29" s="505" t="s">
        <v>427</v>
      </c>
      <c r="L29" s="506">
        <v>1000</v>
      </c>
      <c r="M29" s="506">
        <v>1122322</v>
      </c>
      <c r="N29" s="510">
        <v>36</v>
      </c>
    </row>
    <row r="30" spans="1:14">
      <c r="A30" s="504">
        <v>44528</v>
      </c>
      <c r="B30" s="505" t="s">
        <v>37</v>
      </c>
      <c r="C30" s="506">
        <v>0</v>
      </c>
      <c r="D30" s="511">
        <v>37000</v>
      </c>
      <c r="E30" s="511">
        <v>12900</v>
      </c>
      <c r="F30" s="507">
        <v>12900</v>
      </c>
      <c r="G30" s="508">
        <v>11900</v>
      </c>
      <c r="H30" s="508">
        <v>1000</v>
      </c>
      <c r="I30" s="527"/>
      <c r="J30" s="515"/>
      <c r="K30" s="505" t="s">
        <v>428</v>
      </c>
      <c r="L30" s="506">
        <v>0</v>
      </c>
      <c r="M30" s="506">
        <v>1128813</v>
      </c>
      <c r="N30" s="510">
        <v>36</v>
      </c>
    </row>
    <row r="31" spans="1:14">
      <c r="A31" s="504">
        <v>44529</v>
      </c>
      <c r="B31" s="505" t="s">
        <v>41</v>
      </c>
      <c r="C31" s="506">
        <v>39000</v>
      </c>
      <c r="D31" s="532"/>
      <c r="E31" s="507">
        <v>9700</v>
      </c>
      <c r="F31" s="507">
        <v>9700</v>
      </c>
      <c r="G31" s="508">
        <v>9000</v>
      </c>
      <c r="H31" s="508">
        <v>700</v>
      </c>
      <c r="I31" s="527"/>
      <c r="J31" s="515"/>
      <c r="K31" s="505" t="s">
        <v>429</v>
      </c>
      <c r="L31" s="506">
        <v>0</v>
      </c>
      <c r="M31" s="506">
        <v>1142376</v>
      </c>
      <c r="N31" s="510">
        <v>36</v>
      </c>
    </row>
    <row r="32" spans="1:14">
      <c r="A32" s="504">
        <v>44530</v>
      </c>
      <c r="B32" s="505" t="s">
        <v>46</v>
      </c>
      <c r="C32" s="506">
        <v>39000</v>
      </c>
      <c r="D32" s="511">
        <v>53000</v>
      </c>
      <c r="E32" s="507">
        <v>8900</v>
      </c>
      <c r="F32" s="507">
        <v>8900</v>
      </c>
      <c r="G32" s="508">
        <v>8200</v>
      </c>
      <c r="H32" s="508">
        <v>700</v>
      </c>
      <c r="I32" s="515"/>
      <c r="J32" s="515"/>
      <c r="K32" s="505" t="s">
        <v>430</v>
      </c>
      <c r="L32" s="506">
        <v>1000</v>
      </c>
      <c r="M32" s="506">
        <v>1157707</v>
      </c>
      <c r="N32" s="510">
        <v>37</v>
      </c>
    </row>
  </sheetData>
  <phoneticPr fontId="6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M33"/>
  <sheetViews>
    <sheetView workbookViewId="0"/>
  </sheetViews>
  <sheetFormatPr baseColWidth="10" defaultColWidth="12.6640625" defaultRowHeight="15.75" customHeight="1"/>
  <cols>
    <col min="1" max="2" width="7.5" customWidth="1"/>
  </cols>
  <sheetData>
    <row r="1" spans="1:13">
      <c r="A1" s="425"/>
      <c r="B1" s="485"/>
      <c r="C1" s="486" t="s">
        <v>220</v>
      </c>
      <c r="D1" s="523"/>
      <c r="E1" s="523"/>
      <c r="F1" s="523"/>
      <c r="G1" s="524"/>
      <c r="H1" s="489" t="s">
        <v>129</v>
      </c>
      <c r="I1" s="490"/>
      <c r="J1" s="491"/>
      <c r="K1" s="492" t="s">
        <v>303</v>
      </c>
      <c r="L1" s="493"/>
      <c r="M1" s="494"/>
    </row>
    <row r="2" spans="1:13">
      <c r="A2" s="495" t="s">
        <v>10</v>
      </c>
      <c r="B2" s="525"/>
      <c r="C2" s="497" t="s">
        <v>63</v>
      </c>
      <c r="D2" s="499" t="s">
        <v>431</v>
      </c>
      <c r="E2" s="498" t="s">
        <v>18</v>
      </c>
      <c r="F2" s="499" t="s">
        <v>353</v>
      </c>
      <c r="G2" s="500" t="s">
        <v>305</v>
      </c>
      <c r="H2" s="501" t="s">
        <v>130</v>
      </c>
      <c r="I2" s="497" t="s">
        <v>186</v>
      </c>
      <c r="J2" s="498" t="s">
        <v>132</v>
      </c>
      <c r="K2" s="501" t="s">
        <v>253</v>
      </c>
      <c r="L2" s="502" t="s">
        <v>365</v>
      </c>
      <c r="M2" s="503" t="s">
        <v>366</v>
      </c>
    </row>
    <row r="3" spans="1:13">
      <c r="A3" s="504">
        <v>44896</v>
      </c>
      <c r="B3" s="505" t="s">
        <v>49</v>
      </c>
      <c r="C3" s="533">
        <v>26000</v>
      </c>
      <c r="D3" s="511">
        <v>60000</v>
      </c>
      <c r="E3" s="508">
        <v>13800</v>
      </c>
      <c r="F3" s="508">
        <v>13200</v>
      </c>
      <c r="G3" s="508">
        <v>600</v>
      </c>
      <c r="H3" s="527"/>
      <c r="I3" s="527"/>
      <c r="J3" s="505" t="s">
        <v>432</v>
      </c>
      <c r="K3" s="506">
        <v>1000</v>
      </c>
      <c r="L3" s="506">
        <v>1305933</v>
      </c>
      <c r="M3" s="510">
        <v>32</v>
      </c>
    </row>
    <row r="4" spans="1:13">
      <c r="A4" s="504">
        <v>44897</v>
      </c>
      <c r="B4" s="505" t="s">
        <v>51</v>
      </c>
      <c r="C4" s="533">
        <v>26000</v>
      </c>
      <c r="D4" s="511">
        <v>60000</v>
      </c>
      <c r="E4" s="508">
        <v>10200</v>
      </c>
      <c r="F4" s="508">
        <v>9700</v>
      </c>
      <c r="G4" s="508">
        <v>500</v>
      </c>
      <c r="H4" s="527"/>
      <c r="I4" s="527"/>
      <c r="J4" s="505" t="s">
        <v>433</v>
      </c>
      <c r="K4" s="506">
        <v>1000</v>
      </c>
      <c r="L4" s="506">
        <v>1339455</v>
      </c>
      <c r="M4" s="510">
        <v>33</v>
      </c>
    </row>
    <row r="5" spans="1:13">
      <c r="A5" s="504">
        <v>44898</v>
      </c>
      <c r="B5" s="505" t="s">
        <v>29</v>
      </c>
      <c r="C5" s="533">
        <v>26000</v>
      </c>
      <c r="D5" s="511">
        <v>60000</v>
      </c>
      <c r="E5" s="508">
        <v>10300</v>
      </c>
      <c r="F5" s="508">
        <v>9800</v>
      </c>
      <c r="G5" s="508">
        <v>500</v>
      </c>
      <c r="H5" s="527"/>
      <c r="I5" s="527"/>
      <c r="J5" s="505" t="s">
        <v>434</v>
      </c>
      <c r="K5" s="506">
        <v>1000</v>
      </c>
      <c r="L5" s="506">
        <v>1372688</v>
      </c>
      <c r="M5" s="510">
        <v>33</v>
      </c>
    </row>
    <row r="6" spans="1:13">
      <c r="A6" s="504">
        <v>44899</v>
      </c>
      <c r="B6" s="505" t="s">
        <v>33</v>
      </c>
      <c r="C6" s="533">
        <v>15000</v>
      </c>
      <c r="D6" s="511">
        <v>60000</v>
      </c>
      <c r="E6" s="508">
        <v>8800</v>
      </c>
      <c r="F6" s="508">
        <v>8400</v>
      </c>
      <c r="G6" s="508">
        <v>400</v>
      </c>
      <c r="H6" s="527"/>
      <c r="I6" s="527"/>
      <c r="J6" s="505" t="s">
        <v>389</v>
      </c>
      <c r="K6" s="506">
        <v>1000</v>
      </c>
      <c r="L6" s="506">
        <v>1410256</v>
      </c>
      <c r="M6" s="510">
        <v>34</v>
      </c>
    </row>
    <row r="7" spans="1:13">
      <c r="A7" s="504">
        <v>44900</v>
      </c>
      <c r="B7" s="505" t="s">
        <v>37</v>
      </c>
      <c r="C7" s="533">
        <v>0</v>
      </c>
      <c r="D7" s="511">
        <v>40000</v>
      </c>
      <c r="E7" s="508">
        <v>11100</v>
      </c>
      <c r="F7" s="508">
        <v>10600</v>
      </c>
      <c r="G7" s="508">
        <v>500</v>
      </c>
      <c r="H7" s="527"/>
      <c r="I7" s="527"/>
      <c r="J7" s="505" t="s">
        <v>428</v>
      </c>
      <c r="K7" s="506">
        <v>0</v>
      </c>
      <c r="L7" s="506">
        <v>1421177</v>
      </c>
      <c r="M7" s="510">
        <v>34</v>
      </c>
    </row>
    <row r="8" spans="1:13">
      <c r="A8" s="504">
        <v>44901</v>
      </c>
      <c r="B8" s="505" t="s">
        <v>41</v>
      </c>
      <c r="C8" s="506">
        <v>26000</v>
      </c>
      <c r="D8" s="534"/>
      <c r="E8" s="508">
        <v>12000</v>
      </c>
      <c r="F8" s="508">
        <v>11450</v>
      </c>
      <c r="G8" s="508">
        <v>550</v>
      </c>
      <c r="H8" s="527"/>
      <c r="I8" s="528"/>
      <c r="J8" s="505" t="s">
        <v>390</v>
      </c>
      <c r="K8" s="506">
        <v>0</v>
      </c>
      <c r="L8" s="506">
        <v>1385497</v>
      </c>
      <c r="M8" s="510">
        <v>33</v>
      </c>
    </row>
    <row r="9" spans="1:13">
      <c r="A9" s="504">
        <v>44902</v>
      </c>
      <c r="B9" s="505" t="s">
        <v>46</v>
      </c>
      <c r="C9" s="533">
        <v>26000</v>
      </c>
      <c r="D9" s="511">
        <v>60000</v>
      </c>
      <c r="E9" s="508">
        <v>12900</v>
      </c>
      <c r="F9" s="508">
        <v>12300</v>
      </c>
      <c r="G9" s="508">
        <v>600</v>
      </c>
      <c r="H9" s="527"/>
      <c r="I9" s="528"/>
      <c r="J9" s="505" t="s">
        <v>204</v>
      </c>
      <c r="K9" s="506">
        <v>1000</v>
      </c>
      <c r="L9" s="506">
        <v>1411216</v>
      </c>
      <c r="M9" s="510">
        <v>34</v>
      </c>
    </row>
    <row r="10" spans="1:13">
      <c r="A10" s="504">
        <v>44903</v>
      </c>
      <c r="B10" s="505" t="s">
        <v>49</v>
      </c>
      <c r="C10" s="533">
        <v>26000</v>
      </c>
      <c r="D10" s="511">
        <v>60000</v>
      </c>
      <c r="E10" s="508">
        <v>16200</v>
      </c>
      <c r="F10" s="508">
        <v>15500</v>
      </c>
      <c r="G10" s="508">
        <v>700</v>
      </c>
      <c r="H10" s="527"/>
      <c r="I10" s="528"/>
      <c r="J10" s="505" t="s">
        <v>435</v>
      </c>
      <c r="K10" s="506">
        <v>1000</v>
      </c>
      <c r="L10" s="506">
        <v>1427398</v>
      </c>
      <c r="M10" s="510">
        <v>34</v>
      </c>
    </row>
    <row r="11" spans="1:13">
      <c r="A11" s="504">
        <v>44904</v>
      </c>
      <c r="B11" s="505" t="s">
        <v>51</v>
      </c>
      <c r="C11" s="533">
        <v>26000</v>
      </c>
      <c r="D11" s="511">
        <v>60000</v>
      </c>
      <c r="E11" s="508">
        <v>12000</v>
      </c>
      <c r="F11" s="508">
        <v>11450</v>
      </c>
      <c r="G11" s="508">
        <v>550</v>
      </c>
      <c r="H11" s="527"/>
      <c r="I11" s="528"/>
      <c r="J11" s="505" t="s">
        <v>436</v>
      </c>
      <c r="K11" s="506">
        <v>1000</v>
      </c>
      <c r="L11" s="506">
        <v>1455718</v>
      </c>
      <c r="M11" s="510">
        <v>34</v>
      </c>
    </row>
    <row r="12" spans="1:13">
      <c r="A12" s="504">
        <v>44905</v>
      </c>
      <c r="B12" s="505" t="s">
        <v>29</v>
      </c>
      <c r="C12" s="533">
        <v>26000</v>
      </c>
      <c r="D12" s="511">
        <v>60000</v>
      </c>
      <c r="E12" s="508">
        <v>11850</v>
      </c>
      <c r="F12" s="508">
        <v>11300</v>
      </c>
      <c r="G12" s="508">
        <v>550</v>
      </c>
      <c r="H12" s="527"/>
      <c r="I12" s="528"/>
      <c r="J12" s="505" t="s">
        <v>437</v>
      </c>
      <c r="K12" s="506">
        <v>1000</v>
      </c>
      <c r="L12" s="506">
        <v>1484472</v>
      </c>
      <c r="M12" s="510">
        <v>35</v>
      </c>
    </row>
    <row r="13" spans="1:13">
      <c r="A13" s="504">
        <v>44906</v>
      </c>
      <c r="B13" s="505" t="s">
        <v>33</v>
      </c>
      <c r="C13" s="533">
        <v>15000</v>
      </c>
      <c r="D13" s="511">
        <v>60000</v>
      </c>
      <c r="E13" s="508">
        <v>11300</v>
      </c>
      <c r="F13" s="508">
        <v>10800</v>
      </c>
      <c r="G13" s="508">
        <v>500</v>
      </c>
      <c r="H13" s="527"/>
      <c r="I13" s="528"/>
      <c r="J13" s="529" t="s">
        <v>438</v>
      </c>
      <c r="K13" s="506">
        <v>1000</v>
      </c>
      <c r="L13" s="506">
        <v>1514815</v>
      </c>
      <c r="M13" s="510">
        <v>47</v>
      </c>
    </row>
    <row r="14" spans="1:13">
      <c r="A14" s="504">
        <v>44907</v>
      </c>
      <c r="B14" s="505" t="s">
        <v>37</v>
      </c>
      <c r="C14" s="506">
        <v>0</v>
      </c>
      <c r="D14" s="506">
        <v>0</v>
      </c>
      <c r="E14" s="533">
        <v>70000</v>
      </c>
      <c r="F14" s="512">
        <v>67600</v>
      </c>
      <c r="G14" s="508">
        <v>2400</v>
      </c>
      <c r="H14" s="515"/>
      <c r="I14" s="527"/>
      <c r="J14" s="529" t="s">
        <v>419</v>
      </c>
      <c r="K14" s="506">
        <v>0</v>
      </c>
      <c r="L14" s="506">
        <v>1311515</v>
      </c>
      <c r="M14" s="510">
        <v>35</v>
      </c>
    </row>
    <row r="15" spans="1:13">
      <c r="A15" s="504">
        <v>44908</v>
      </c>
      <c r="B15" s="505" t="s">
        <v>41</v>
      </c>
      <c r="C15" s="506">
        <v>26000</v>
      </c>
      <c r="D15" s="506">
        <v>0</v>
      </c>
      <c r="E15" s="508">
        <v>14000</v>
      </c>
      <c r="F15" s="508">
        <v>13400</v>
      </c>
      <c r="G15" s="508">
        <v>600</v>
      </c>
      <c r="H15" s="515"/>
      <c r="I15" s="505" t="s">
        <v>439</v>
      </c>
      <c r="J15" s="516"/>
      <c r="K15" s="506">
        <v>0</v>
      </c>
      <c r="L15" s="506">
        <v>1270055</v>
      </c>
      <c r="M15" s="510">
        <v>33</v>
      </c>
    </row>
    <row r="16" spans="1:13">
      <c r="A16" s="504">
        <v>44909</v>
      </c>
      <c r="B16" s="505" t="s">
        <v>46</v>
      </c>
      <c r="C16" s="506">
        <v>26000</v>
      </c>
      <c r="D16" s="506">
        <v>10000</v>
      </c>
      <c r="E16" s="508">
        <v>11700</v>
      </c>
      <c r="F16" s="508">
        <v>11150</v>
      </c>
      <c r="G16" s="508">
        <v>550</v>
      </c>
      <c r="H16" s="515"/>
      <c r="I16" s="505" t="s">
        <v>439</v>
      </c>
      <c r="J16" s="516"/>
      <c r="K16" s="506">
        <v>1000</v>
      </c>
      <c r="L16" s="506">
        <v>1245242</v>
      </c>
      <c r="M16" s="510">
        <v>32</v>
      </c>
    </row>
    <row r="17" spans="1:13">
      <c r="A17" s="504">
        <v>44910</v>
      </c>
      <c r="B17" s="505" t="s">
        <v>49</v>
      </c>
      <c r="C17" s="506">
        <v>26000</v>
      </c>
      <c r="D17" s="506">
        <v>45000</v>
      </c>
      <c r="E17" s="508">
        <v>11200</v>
      </c>
      <c r="F17" s="508">
        <v>10600</v>
      </c>
      <c r="G17" s="508">
        <v>600</v>
      </c>
      <c r="H17" s="528"/>
      <c r="I17" s="505" t="s">
        <v>440</v>
      </c>
      <c r="J17" s="515"/>
      <c r="K17" s="506">
        <v>1000</v>
      </c>
      <c r="L17" s="506">
        <v>1265874</v>
      </c>
      <c r="M17" s="510">
        <v>33</v>
      </c>
    </row>
    <row r="18" spans="1:13">
      <c r="A18" s="504">
        <v>44911</v>
      </c>
      <c r="B18" s="505" t="s">
        <v>51</v>
      </c>
      <c r="C18" s="506">
        <v>26000</v>
      </c>
      <c r="D18" s="506">
        <v>45000</v>
      </c>
      <c r="E18" s="508">
        <v>8900</v>
      </c>
      <c r="F18" s="508">
        <v>8500</v>
      </c>
      <c r="G18" s="508">
        <v>400</v>
      </c>
      <c r="H18" s="528"/>
      <c r="I18" s="505" t="s">
        <v>440</v>
      </c>
      <c r="J18" s="515"/>
      <c r="K18" s="506">
        <v>1000</v>
      </c>
      <c r="L18" s="506">
        <v>1293153</v>
      </c>
      <c r="M18" s="510">
        <v>34</v>
      </c>
    </row>
    <row r="19" spans="1:13">
      <c r="A19" s="504">
        <v>44912</v>
      </c>
      <c r="B19" s="505" t="s">
        <v>29</v>
      </c>
      <c r="C19" s="506">
        <v>26000</v>
      </c>
      <c r="D19" s="506">
        <v>45000</v>
      </c>
      <c r="E19" s="508">
        <v>8100</v>
      </c>
      <c r="F19" s="508">
        <v>7800</v>
      </c>
      <c r="G19" s="508">
        <v>300</v>
      </c>
      <c r="H19" s="528"/>
      <c r="I19" s="505" t="s">
        <v>441</v>
      </c>
      <c r="J19" s="515"/>
      <c r="K19" s="506">
        <v>1000</v>
      </c>
      <c r="L19" s="506">
        <v>1322744</v>
      </c>
      <c r="M19" s="510">
        <v>35</v>
      </c>
    </row>
    <row r="20" spans="1:13">
      <c r="A20" s="504">
        <v>44913</v>
      </c>
      <c r="B20" s="505" t="s">
        <v>33</v>
      </c>
      <c r="C20" s="506">
        <v>15000</v>
      </c>
      <c r="D20" s="506">
        <v>45000</v>
      </c>
      <c r="E20" s="508">
        <v>7100</v>
      </c>
      <c r="F20" s="508">
        <v>6800</v>
      </c>
      <c r="G20" s="508">
        <v>300</v>
      </c>
      <c r="H20" s="527"/>
      <c r="I20" s="505" t="s">
        <v>441</v>
      </c>
      <c r="J20" s="527"/>
      <c r="K20" s="506">
        <v>1000</v>
      </c>
      <c r="L20" s="506">
        <v>1355225</v>
      </c>
      <c r="M20" s="510">
        <v>36</v>
      </c>
    </row>
    <row r="21" spans="1:13">
      <c r="A21" s="504">
        <v>44914</v>
      </c>
      <c r="B21" s="505" t="s">
        <v>37</v>
      </c>
      <c r="C21" s="506">
        <v>0</v>
      </c>
      <c r="D21" s="506">
        <v>30000</v>
      </c>
      <c r="E21" s="508">
        <v>9500</v>
      </c>
      <c r="F21" s="508">
        <v>9000</v>
      </c>
      <c r="G21" s="508">
        <v>500</v>
      </c>
      <c r="H21" s="527"/>
      <c r="I21" s="529" t="s">
        <v>442</v>
      </c>
      <c r="J21" s="516"/>
      <c r="K21" s="506">
        <v>0</v>
      </c>
      <c r="L21" s="506">
        <v>1369770</v>
      </c>
      <c r="M21" s="510">
        <v>36</v>
      </c>
    </row>
    <row r="22" spans="1:13">
      <c r="A22" s="504">
        <v>44915</v>
      </c>
      <c r="B22" s="505" t="s">
        <v>41</v>
      </c>
      <c r="C22" s="506">
        <v>26000</v>
      </c>
      <c r="D22" s="506">
        <v>0</v>
      </c>
      <c r="E22" s="508">
        <v>9000</v>
      </c>
      <c r="F22" s="508">
        <v>8600</v>
      </c>
      <c r="G22" s="508">
        <v>400</v>
      </c>
      <c r="H22" s="528"/>
      <c r="I22" s="529" t="s">
        <v>442</v>
      </c>
      <c r="J22" s="516"/>
      <c r="K22" s="506">
        <v>0</v>
      </c>
      <c r="L22" s="506">
        <v>1342760</v>
      </c>
      <c r="M22" s="510">
        <v>35</v>
      </c>
    </row>
    <row r="23" spans="1:13">
      <c r="A23" s="504">
        <v>44916</v>
      </c>
      <c r="B23" s="505" t="s">
        <v>46</v>
      </c>
      <c r="C23" s="506">
        <v>26000</v>
      </c>
      <c r="D23" s="506">
        <v>45000</v>
      </c>
      <c r="E23" s="508">
        <v>11650</v>
      </c>
      <c r="F23" s="508">
        <v>11100</v>
      </c>
      <c r="G23" s="508">
        <v>550</v>
      </c>
      <c r="H23" s="535" t="s">
        <v>126</v>
      </c>
      <c r="I23" s="505" t="s">
        <v>443</v>
      </c>
      <c r="J23" s="516"/>
      <c r="K23" s="506">
        <v>1000</v>
      </c>
      <c r="L23" s="506">
        <v>1362091</v>
      </c>
      <c r="M23" s="510">
        <v>36</v>
      </c>
    </row>
    <row r="24" spans="1:13">
      <c r="A24" s="504">
        <v>44917</v>
      </c>
      <c r="B24" s="505" t="s">
        <v>49</v>
      </c>
      <c r="C24" s="506">
        <v>26000</v>
      </c>
      <c r="D24" s="506">
        <v>45000</v>
      </c>
      <c r="E24" s="508">
        <v>12400</v>
      </c>
      <c r="F24" s="508">
        <v>11850</v>
      </c>
      <c r="G24" s="508">
        <v>550</v>
      </c>
      <c r="H24" s="529" t="s">
        <v>126</v>
      </c>
      <c r="I24" s="505" t="s">
        <v>443</v>
      </c>
      <c r="J24" s="516"/>
      <c r="K24" s="506">
        <v>1000</v>
      </c>
      <c r="L24" s="506">
        <v>1379255</v>
      </c>
      <c r="M24" s="510">
        <v>37</v>
      </c>
    </row>
    <row r="25" spans="1:13">
      <c r="A25" s="504">
        <v>44918</v>
      </c>
      <c r="B25" s="505" t="s">
        <v>51</v>
      </c>
      <c r="C25" s="506">
        <v>26000</v>
      </c>
      <c r="D25" s="506">
        <v>45000</v>
      </c>
      <c r="E25" s="533">
        <v>13200</v>
      </c>
      <c r="F25" s="508">
        <v>10200</v>
      </c>
      <c r="G25" s="508">
        <v>3000</v>
      </c>
      <c r="H25" s="529" t="s">
        <v>126</v>
      </c>
      <c r="I25" s="536" t="s">
        <v>444</v>
      </c>
      <c r="J25" s="516"/>
      <c r="K25" s="506">
        <v>1000</v>
      </c>
      <c r="L25" s="506">
        <v>1394107</v>
      </c>
      <c r="M25" s="510">
        <v>37</v>
      </c>
    </row>
    <row r="26" spans="1:13">
      <c r="A26" s="504">
        <v>44919</v>
      </c>
      <c r="B26" s="505" t="s">
        <v>29</v>
      </c>
      <c r="C26" s="508">
        <v>26000</v>
      </c>
      <c r="D26" s="506">
        <v>45000</v>
      </c>
      <c r="E26" s="533">
        <v>16100</v>
      </c>
      <c r="F26" s="508">
        <v>12300</v>
      </c>
      <c r="G26" s="533">
        <v>3800</v>
      </c>
      <c r="H26" s="529" t="s">
        <v>398</v>
      </c>
      <c r="I26" s="536" t="s">
        <v>444</v>
      </c>
      <c r="J26" s="515"/>
      <c r="K26" s="506">
        <v>1000</v>
      </c>
      <c r="L26" s="506">
        <v>1400578</v>
      </c>
      <c r="M26" s="510">
        <v>37</v>
      </c>
    </row>
    <row r="27" spans="1:13">
      <c r="A27" s="504">
        <v>44920</v>
      </c>
      <c r="B27" s="505" t="s">
        <v>33</v>
      </c>
      <c r="C27" s="508">
        <v>15000</v>
      </c>
      <c r="D27" s="506">
        <v>45000</v>
      </c>
      <c r="E27" s="508">
        <v>7000</v>
      </c>
      <c r="F27" s="508">
        <v>6700</v>
      </c>
      <c r="G27" s="508">
        <v>300</v>
      </c>
      <c r="H27" s="516"/>
      <c r="I27" s="529" t="s">
        <v>445</v>
      </c>
      <c r="J27" s="527"/>
      <c r="K27" s="506">
        <v>1000</v>
      </c>
      <c r="L27" s="506">
        <v>1433348</v>
      </c>
      <c r="M27" s="510">
        <v>38</v>
      </c>
    </row>
    <row r="28" spans="1:13">
      <c r="A28" s="504">
        <v>44921</v>
      </c>
      <c r="B28" s="505" t="s">
        <v>37</v>
      </c>
      <c r="C28" s="506">
        <v>0</v>
      </c>
      <c r="D28" s="506">
        <v>30000</v>
      </c>
      <c r="E28" s="508">
        <v>10400</v>
      </c>
      <c r="F28" s="508">
        <v>9900</v>
      </c>
      <c r="G28" s="508">
        <v>500</v>
      </c>
      <c r="H28" s="527"/>
      <c r="I28" s="529" t="s">
        <v>445</v>
      </c>
      <c r="J28" s="527"/>
      <c r="K28" s="506">
        <v>0</v>
      </c>
      <c r="L28" s="506">
        <v>1445292</v>
      </c>
      <c r="M28" s="510">
        <v>38</v>
      </c>
    </row>
    <row r="29" spans="1:13">
      <c r="A29" s="504">
        <v>44922</v>
      </c>
      <c r="B29" s="505" t="s">
        <v>41</v>
      </c>
      <c r="C29" s="506">
        <v>26000</v>
      </c>
      <c r="D29" s="506">
        <v>0</v>
      </c>
      <c r="E29" s="508">
        <v>9000</v>
      </c>
      <c r="F29" s="508">
        <v>8600</v>
      </c>
      <c r="G29" s="508">
        <v>400</v>
      </c>
      <c r="H29" s="527"/>
      <c r="I29" s="527"/>
      <c r="J29" s="527"/>
      <c r="K29" s="506">
        <v>0</v>
      </c>
      <c r="L29" s="506">
        <v>1418282</v>
      </c>
      <c r="M29" s="510">
        <v>38</v>
      </c>
    </row>
    <row r="30" spans="1:13">
      <c r="A30" s="504">
        <v>44923</v>
      </c>
      <c r="B30" s="505" t="s">
        <v>46</v>
      </c>
      <c r="C30" s="506">
        <v>26000</v>
      </c>
      <c r="D30" s="506">
        <v>50000</v>
      </c>
      <c r="E30" s="508">
        <v>8600</v>
      </c>
      <c r="F30" s="508">
        <v>8200</v>
      </c>
      <c r="G30" s="508">
        <v>400</v>
      </c>
      <c r="H30" s="527"/>
      <c r="I30" s="520" t="s">
        <v>446</v>
      </c>
      <c r="J30" s="527"/>
      <c r="K30" s="506">
        <v>1000</v>
      </c>
      <c r="L30" s="506">
        <v>1446428</v>
      </c>
      <c r="M30" s="510">
        <v>39</v>
      </c>
    </row>
    <row r="31" spans="1:13">
      <c r="A31" s="504">
        <v>44924</v>
      </c>
      <c r="B31" s="505" t="s">
        <v>49</v>
      </c>
      <c r="C31" s="506">
        <v>26000</v>
      </c>
      <c r="D31" s="506">
        <v>50000</v>
      </c>
      <c r="E31" s="508">
        <v>11100</v>
      </c>
      <c r="F31" s="508">
        <v>10600</v>
      </c>
      <c r="G31" s="508">
        <v>500</v>
      </c>
      <c r="H31" s="527"/>
      <c r="I31" s="520" t="s">
        <v>446</v>
      </c>
      <c r="J31" s="527"/>
      <c r="K31" s="506">
        <v>1000</v>
      </c>
      <c r="L31" s="506">
        <v>1467349</v>
      </c>
      <c r="M31" s="510">
        <v>39</v>
      </c>
    </row>
    <row r="32" spans="1:13">
      <c r="A32" s="504">
        <v>44925</v>
      </c>
      <c r="B32" s="505" t="s">
        <v>51</v>
      </c>
      <c r="C32" s="506">
        <v>26000</v>
      </c>
      <c r="D32" s="506">
        <v>50000</v>
      </c>
      <c r="E32" s="508">
        <v>8900</v>
      </c>
      <c r="F32" s="508">
        <v>8500</v>
      </c>
      <c r="G32" s="508">
        <v>400</v>
      </c>
      <c r="H32" s="515"/>
      <c r="I32" s="520" t="s">
        <v>447</v>
      </c>
      <c r="J32" s="527"/>
      <c r="K32" s="506">
        <v>1000</v>
      </c>
      <c r="L32" s="506">
        <v>1494628</v>
      </c>
      <c r="M32" s="510">
        <v>40</v>
      </c>
    </row>
    <row r="33" spans="1:13">
      <c r="A33" s="504">
        <v>44926</v>
      </c>
      <c r="B33" s="505" t="s">
        <v>29</v>
      </c>
      <c r="C33" s="506">
        <v>0</v>
      </c>
      <c r="D33" s="506">
        <v>50000</v>
      </c>
      <c r="E33" s="508">
        <v>8100</v>
      </c>
      <c r="F33" s="508">
        <v>7800</v>
      </c>
      <c r="G33" s="508">
        <v>300</v>
      </c>
      <c r="H33" s="515"/>
      <c r="I33" s="520" t="s">
        <v>447</v>
      </c>
      <c r="J33" s="527"/>
      <c r="K33" s="506">
        <v>1000</v>
      </c>
      <c r="L33" s="506">
        <v>1524219</v>
      </c>
      <c r="M33" s="510">
        <v>41</v>
      </c>
    </row>
  </sheetData>
  <phoneticPr fontId="6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L33"/>
  <sheetViews>
    <sheetView workbookViewId="0"/>
  </sheetViews>
  <sheetFormatPr baseColWidth="10" defaultColWidth="12.6640625" defaultRowHeight="15.75" customHeight="1"/>
  <sheetData>
    <row r="1" spans="1:12">
      <c r="C1" s="486" t="s">
        <v>220</v>
      </c>
      <c r="D1" s="523"/>
      <c r="E1" s="523"/>
      <c r="F1" s="524"/>
      <c r="G1" s="489" t="s">
        <v>129</v>
      </c>
      <c r="H1" s="490"/>
      <c r="I1" s="491"/>
      <c r="J1" s="492" t="s">
        <v>303</v>
      </c>
      <c r="K1" s="493"/>
      <c r="L1" s="494"/>
    </row>
    <row r="2" spans="1:12">
      <c r="A2" s="495" t="s">
        <v>10</v>
      </c>
      <c r="B2" s="525"/>
      <c r="C2" s="497" t="s">
        <v>63</v>
      </c>
      <c r="D2" s="498" t="s">
        <v>18</v>
      </c>
      <c r="E2" s="499" t="s">
        <v>353</v>
      </c>
      <c r="F2" s="500" t="s">
        <v>305</v>
      </c>
      <c r="G2" s="501" t="s">
        <v>130</v>
      </c>
      <c r="H2" s="497" t="s">
        <v>186</v>
      </c>
      <c r="I2" s="498" t="s">
        <v>132</v>
      </c>
      <c r="J2" s="501" t="s">
        <v>253</v>
      </c>
      <c r="K2" s="502" t="s">
        <v>365</v>
      </c>
      <c r="L2" s="503" t="s">
        <v>366</v>
      </c>
    </row>
    <row r="3" spans="1:12">
      <c r="A3" s="504">
        <v>44197</v>
      </c>
      <c r="B3" s="505" t="s">
        <v>29</v>
      </c>
      <c r="C3" s="506">
        <v>0</v>
      </c>
      <c r="D3" s="508">
        <v>7100</v>
      </c>
      <c r="E3" s="508">
        <v>6700</v>
      </c>
      <c r="F3" s="508">
        <v>400</v>
      </c>
      <c r="G3" s="515"/>
      <c r="H3" s="515"/>
      <c r="I3" s="515"/>
      <c r="J3" s="506">
        <v>1000</v>
      </c>
      <c r="K3" s="506">
        <v>1566169</v>
      </c>
      <c r="L3" s="510">
        <v>43</v>
      </c>
    </row>
    <row r="4" spans="1:12">
      <c r="A4" s="504">
        <v>44198</v>
      </c>
      <c r="B4" s="505" t="s">
        <v>33</v>
      </c>
      <c r="C4" s="506">
        <v>0</v>
      </c>
      <c r="D4" s="508">
        <v>9700</v>
      </c>
      <c r="E4" s="508">
        <v>9100</v>
      </c>
      <c r="F4" s="508">
        <v>600</v>
      </c>
      <c r="G4" s="527"/>
      <c r="H4" s="527"/>
      <c r="I4" s="527"/>
      <c r="J4" s="506">
        <v>0</v>
      </c>
      <c r="K4" s="506">
        <v>1536980</v>
      </c>
      <c r="L4" s="510">
        <v>42</v>
      </c>
    </row>
    <row r="5" spans="1:12">
      <c r="A5" s="504">
        <v>44199</v>
      </c>
      <c r="B5" s="505" t="s">
        <v>37</v>
      </c>
      <c r="C5" s="506">
        <v>22000</v>
      </c>
      <c r="D5" s="508">
        <v>11600</v>
      </c>
      <c r="E5" s="508">
        <v>11000</v>
      </c>
      <c r="F5" s="508">
        <v>600</v>
      </c>
      <c r="G5" s="527"/>
      <c r="H5" s="527"/>
      <c r="I5" s="527"/>
      <c r="J5" s="506">
        <v>0</v>
      </c>
      <c r="K5" s="506">
        <v>1502300</v>
      </c>
      <c r="L5" s="510">
        <v>41</v>
      </c>
    </row>
    <row r="6" spans="1:12">
      <c r="A6" s="504">
        <v>44200</v>
      </c>
      <c r="B6" s="505" t="s">
        <v>41</v>
      </c>
      <c r="C6" s="506">
        <v>22000</v>
      </c>
      <c r="D6" s="508">
        <v>13000</v>
      </c>
      <c r="E6" s="508">
        <v>12100</v>
      </c>
      <c r="F6" s="508">
        <v>900</v>
      </c>
      <c r="G6" s="527"/>
      <c r="H6" s="505" t="s">
        <v>448</v>
      </c>
      <c r="I6" s="527"/>
      <c r="J6" s="506">
        <v>1000</v>
      </c>
      <c r="K6" s="506">
        <v>1517574</v>
      </c>
      <c r="L6" s="510">
        <v>41</v>
      </c>
    </row>
    <row r="7" spans="1:12">
      <c r="A7" s="504">
        <v>44201</v>
      </c>
      <c r="B7" s="505" t="s">
        <v>46</v>
      </c>
      <c r="C7" s="506">
        <v>22000</v>
      </c>
      <c r="D7" s="508">
        <v>14400</v>
      </c>
      <c r="E7" s="508">
        <v>13600</v>
      </c>
      <c r="F7" s="508">
        <v>800</v>
      </c>
      <c r="G7" s="527"/>
      <c r="H7" s="505" t="s">
        <v>448</v>
      </c>
      <c r="I7" s="527"/>
      <c r="J7" s="506">
        <v>1000</v>
      </c>
      <c r="K7" s="506">
        <v>1528802</v>
      </c>
      <c r="L7" s="510">
        <v>41</v>
      </c>
    </row>
    <row r="8" spans="1:12">
      <c r="A8" s="504">
        <v>44202</v>
      </c>
      <c r="B8" s="505" t="s">
        <v>49</v>
      </c>
      <c r="C8" s="506">
        <v>22000</v>
      </c>
      <c r="D8" s="508">
        <v>17700</v>
      </c>
      <c r="E8" s="508">
        <v>17000</v>
      </c>
      <c r="F8" s="508">
        <v>700</v>
      </c>
      <c r="G8" s="527"/>
      <c r="H8" s="535" t="s">
        <v>449</v>
      </c>
      <c r="I8" s="527"/>
      <c r="J8" s="506">
        <v>1000</v>
      </c>
      <c r="K8" s="506">
        <v>1530493</v>
      </c>
      <c r="L8" s="510">
        <v>40</v>
      </c>
    </row>
    <row r="9" spans="1:12">
      <c r="A9" s="504">
        <v>44203</v>
      </c>
      <c r="B9" s="505" t="s">
        <v>51</v>
      </c>
      <c r="C9" s="506">
        <v>22000</v>
      </c>
      <c r="D9" s="508">
        <v>8500</v>
      </c>
      <c r="E9" s="508">
        <v>8100</v>
      </c>
      <c r="F9" s="508">
        <v>400</v>
      </c>
      <c r="G9" s="527"/>
      <c r="H9" s="535" t="s">
        <v>449</v>
      </c>
      <c r="I9" s="527"/>
      <c r="J9" s="506">
        <v>1000</v>
      </c>
      <c r="K9" s="506">
        <v>1558772</v>
      </c>
      <c r="L9" s="510">
        <v>42</v>
      </c>
    </row>
    <row r="10" spans="1:12">
      <c r="A10" s="504">
        <v>44204</v>
      </c>
      <c r="B10" s="505" t="s">
        <v>29</v>
      </c>
      <c r="C10" s="506">
        <v>13000</v>
      </c>
      <c r="D10" s="508">
        <v>8100</v>
      </c>
      <c r="E10" s="508">
        <v>7700</v>
      </c>
      <c r="F10" s="508">
        <v>400</v>
      </c>
      <c r="G10" s="527"/>
      <c r="H10" s="535" t="s">
        <v>450</v>
      </c>
      <c r="I10" s="527"/>
      <c r="J10" s="506">
        <v>1000</v>
      </c>
      <c r="K10" s="506">
        <v>1588207</v>
      </c>
      <c r="L10" s="510">
        <v>43</v>
      </c>
    </row>
    <row r="11" spans="1:12">
      <c r="A11" s="504">
        <v>44205</v>
      </c>
      <c r="B11" s="505" t="s">
        <v>33</v>
      </c>
      <c r="C11" s="506">
        <v>0</v>
      </c>
      <c r="D11" s="508">
        <v>9700</v>
      </c>
      <c r="E11" s="508">
        <v>9100</v>
      </c>
      <c r="F11" s="508">
        <v>600</v>
      </c>
      <c r="G11" s="527"/>
      <c r="H11" s="535" t="s">
        <v>450</v>
      </c>
      <c r="I11" s="527"/>
      <c r="J11" s="506">
        <v>0</v>
      </c>
      <c r="K11" s="506">
        <v>1603018</v>
      </c>
      <c r="L11" s="510">
        <v>44</v>
      </c>
    </row>
    <row r="12" spans="1:12">
      <c r="A12" s="504">
        <v>44206</v>
      </c>
      <c r="B12" s="505" t="s">
        <v>37</v>
      </c>
      <c r="C12" s="506">
        <v>22000</v>
      </c>
      <c r="D12" s="508">
        <v>11100</v>
      </c>
      <c r="E12" s="508">
        <v>10500</v>
      </c>
      <c r="F12" s="508">
        <v>600</v>
      </c>
      <c r="G12" s="527"/>
      <c r="H12" s="528"/>
      <c r="I12" s="527"/>
      <c r="J12" s="506">
        <v>0</v>
      </c>
      <c r="K12" s="506">
        <v>1569783</v>
      </c>
      <c r="L12" s="510">
        <v>43</v>
      </c>
    </row>
    <row r="13" spans="1:12">
      <c r="A13" s="504">
        <v>44207</v>
      </c>
      <c r="B13" s="505" t="s">
        <v>41</v>
      </c>
      <c r="C13" s="506">
        <v>22000</v>
      </c>
      <c r="D13" s="533">
        <v>43900</v>
      </c>
      <c r="E13" s="508">
        <v>40800</v>
      </c>
      <c r="F13" s="508">
        <v>3100</v>
      </c>
      <c r="G13" s="527"/>
      <c r="H13" s="528"/>
      <c r="I13" s="529" t="s">
        <v>451</v>
      </c>
      <c r="J13" s="506">
        <v>1000</v>
      </c>
      <c r="K13" s="506">
        <v>1484756</v>
      </c>
      <c r="L13" s="510">
        <v>43</v>
      </c>
    </row>
    <row r="14" spans="1:12">
      <c r="A14" s="504">
        <v>44208</v>
      </c>
      <c r="B14" s="505" t="s">
        <v>46</v>
      </c>
      <c r="C14" s="506">
        <v>22000</v>
      </c>
      <c r="D14" s="508">
        <v>14400</v>
      </c>
      <c r="E14" s="508">
        <v>13500</v>
      </c>
      <c r="F14" s="508">
        <v>900</v>
      </c>
      <c r="G14" s="515"/>
      <c r="H14" s="527"/>
      <c r="I14" s="529" t="s">
        <v>452</v>
      </c>
      <c r="J14" s="506">
        <v>1000</v>
      </c>
      <c r="K14" s="506">
        <v>1484984</v>
      </c>
      <c r="L14" s="510">
        <v>43</v>
      </c>
    </row>
    <row r="15" spans="1:12">
      <c r="A15" s="504">
        <v>44209</v>
      </c>
      <c r="B15" s="505" t="s">
        <v>49</v>
      </c>
      <c r="C15" s="506">
        <v>22000</v>
      </c>
      <c r="D15" s="508">
        <v>15500</v>
      </c>
      <c r="E15" s="508">
        <v>14800</v>
      </c>
      <c r="F15" s="508">
        <v>700</v>
      </c>
      <c r="G15" s="515"/>
      <c r="H15" s="527"/>
      <c r="I15" s="529" t="s">
        <v>453</v>
      </c>
      <c r="J15" s="506">
        <v>1000</v>
      </c>
      <c r="K15" s="506">
        <v>1493033</v>
      </c>
      <c r="L15" s="510">
        <v>43</v>
      </c>
    </row>
    <row r="16" spans="1:12">
      <c r="A16" s="504">
        <v>44210</v>
      </c>
      <c r="B16" s="505" t="s">
        <v>51</v>
      </c>
      <c r="C16" s="506">
        <v>22000</v>
      </c>
      <c r="D16" s="508">
        <v>8500</v>
      </c>
      <c r="E16" s="508">
        <v>8100</v>
      </c>
      <c r="F16" s="508">
        <v>400</v>
      </c>
      <c r="G16" s="515"/>
      <c r="H16" s="505" t="s">
        <v>454</v>
      </c>
      <c r="I16" s="516"/>
      <c r="J16" s="506">
        <v>1000</v>
      </c>
      <c r="K16" s="506">
        <v>1521312</v>
      </c>
      <c r="L16" s="510">
        <v>44</v>
      </c>
    </row>
    <row r="17" spans="1:12">
      <c r="A17" s="504">
        <v>44211</v>
      </c>
      <c r="B17" s="505" t="s">
        <v>29</v>
      </c>
      <c r="C17" s="506">
        <v>13000</v>
      </c>
      <c r="D17" s="508">
        <v>7500</v>
      </c>
      <c r="E17" s="508">
        <v>7200</v>
      </c>
      <c r="F17" s="508">
        <v>300</v>
      </c>
      <c r="G17" s="537"/>
      <c r="H17" s="505" t="s">
        <v>454</v>
      </c>
      <c r="I17" s="516"/>
      <c r="J17" s="506">
        <v>1000</v>
      </c>
      <c r="K17" s="506">
        <v>1552481</v>
      </c>
      <c r="L17" s="510">
        <v>45</v>
      </c>
    </row>
    <row r="18" spans="1:12">
      <c r="A18" s="504">
        <v>44212</v>
      </c>
      <c r="B18" s="505" t="s">
        <v>33</v>
      </c>
      <c r="C18" s="506">
        <v>0</v>
      </c>
      <c r="D18" s="508">
        <v>11100</v>
      </c>
      <c r="E18" s="508">
        <v>10400</v>
      </c>
      <c r="F18" s="508">
        <v>700</v>
      </c>
      <c r="G18" s="537"/>
      <c r="H18" s="527"/>
      <c r="I18" s="520" t="s">
        <v>455</v>
      </c>
      <c r="J18" s="506">
        <v>0</v>
      </c>
      <c r="K18" s="506">
        <v>1563246</v>
      </c>
      <c r="L18" s="510">
        <v>45</v>
      </c>
    </row>
    <row r="19" spans="1:12">
      <c r="A19" s="504">
        <v>44213</v>
      </c>
      <c r="B19" s="505" t="s">
        <v>37</v>
      </c>
      <c r="C19" s="506">
        <v>22000</v>
      </c>
      <c r="D19" s="533">
        <v>18100</v>
      </c>
      <c r="E19" s="508">
        <v>17000</v>
      </c>
      <c r="F19" s="508">
        <v>1100</v>
      </c>
      <c r="G19" s="528"/>
      <c r="H19" s="527"/>
      <c r="I19" s="520" t="s">
        <v>429</v>
      </c>
      <c r="J19" s="506">
        <v>0</v>
      </c>
      <c r="K19" s="506">
        <v>1509781</v>
      </c>
      <c r="L19" s="510">
        <v>42</v>
      </c>
    </row>
    <row r="20" spans="1:12">
      <c r="A20" s="504">
        <v>44214</v>
      </c>
      <c r="B20" s="505" t="s">
        <v>41</v>
      </c>
      <c r="C20" s="506">
        <v>22000</v>
      </c>
      <c r="D20" s="508">
        <v>12500</v>
      </c>
      <c r="E20" s="508">
        <v>11600</v>
      </c>
      <c r="F20" s="508">
        <v>900</v>
      </c>
      <c r="G20" s="527"/>
      <c r="H20" s="527"/>
      <c r="I20" s="505" t="s">
        <v>430</v>
      </c>
      <c r="J20" s="506">
        <v>1000</v>
      </c>
      <c r="K20" s="506">
        <v>1526500</v>
      </c>
      <c r="L20" s="510">
        <v>42</v>
      </c>
    </row>
    <row r="21" spans="1:12">
      <c r="A21" s="504">
        <v>44215</v>
      </c>
      <c r="B21" s="505" t="s">
        <v>46</v>
      </c>
      <c r="C21" s="506">
        <v>22000</v>
      </c>
      <c r="D21" s="508">
        <v>14400</v>
      </c>
      <c r="E21" s="508">
        <v>13400</v>
      </c>
      <c r="F21" s="508">
        <v>1000</v>
      </c>
      <c r="G21" s="527"/>
      <c r="H21" s="516"/>
      <c r="I21" s="516"/>
      <c r="J21" s="506">
        <v>1000</v>
      </c>
      <c r="K21" s="506">
        <v>1537728</v>
      </c>
      <c r="L21" s="510">
        <v>42</v>
      </c>
    </row>
    <row r="22" spans="1:12">
      <c r="A22" s="504">
        <v>44216</v>
      </c>
      <c r="B22" s="505" t="s">
        <v>49</v>
      </c>
      <c r="C22" s="506">
        <v>22000</v>
      </c>
      <c r="D22" s="508">
        <v>13900</v>
      </c>
      <c r="E22" s="508">
        <v>13200</v>
      </c>
      <c r="F22" s="508">
        <v>700</v>
      </c>
      <c r="G22" s="537"/>
      <c r="H22" s="516"/>
      <c r="I22" s="529" t="s">
        <v>434</v>
      </c>
      <c r="J22" s="506">
        <v>1000</v>
      </c>
      <c r="K22" s="506">
        <v>1550401</v>
      </c>
      <c r="L22" s="510">
        <v>42</v>
      </c>
    </row>
    <row r="23" spans="1:12">
      <c r="A23" s="504">
        <v>44217</v>
      </c>
      <c r="B23" s="505" t="s">
        <v>51</v>
      </c>
      <c r="C23" s="506">
        <v>22000</v>
      </c>
      <c r="D23" s="508">
        <v>10200</v>
      </c>
      <c r="E23" s="508">
        <v>9600</v>
      </c>
      <c r="F23" s="508">
        <v>600</v>
      </c>
      <c r="G23" s="535" t="s">
        <v>126</v>
      </c>
      <c r="H23" s="505" t="s">
        <v>456</v>
      </c>
      <c r="I23" s="516"/>
      <c r="J23" s="506">
        <v>1000</v>
      </c>
      <c r="K23" s="506">
        <v>1573767</v>
      </c>
      <c r="L23" s="510">
        <v>43</v>
      </c>
    </row>
    <row r="24" spans="1:12">
      <c r="A24" s="504">
        <v>44218</v>
      </c>
      <c r="B24" s="505" t="s">
        <v>29</v>
      </c>
      <c r="C24" s="506">
        <v>13000</v>
      </c>
      <c r="D24" s="508">
        <v>7900</v>
      </c>
      <c r="E24" s="508">
        <v>7500</v>
      </c>
      <c r="F24" s="508">
        <v>400</v>
      </c>
      <c r="G24" s="529" t="s">
        <v>126</v>
      </c>
      <c r="H24" s="505" t="s">
        <v>456</v>
      </c>
      <c r="I24" s="516"/>
      <c r="J24" s="506">
        <v>1000</v>
      </c>
      <c r="K24" s="506">
        <v>1603780</v>
      </c>
      <c r="L24" s="510">
        <v>44</v>
      </c>
    </row>
    <row r="25" spans="1:12">
      <c r="A25" s="504">
        <v>44219</v>
      </c>
      <c r="B25" s="505" t="s">
        <v>33</v>
      </c>
      <c r="C25" s="506">
        <v>0</v>
      </c>
      <c r="D25" s="508">
        <v>10400</v>
      </c>
      <c r="E25" s="508">
        <v>9700</v>
      </c>
      <c r="F25" s="508">
        <v>700</v>
      </c>
      <c r="G25" s="529" t="s">
        <v>126</v>
      </c>
      <c r="H25" s="516"/>
      <c r="I25" s="529" t="s">
        <v>427</v>
      </c>
      <c r="J25" s="506">
        <v>0</v>
      </c>
      <c r="K25" s="506">
        <v>1616568</v>
      </c>
      <c r="L25" s="510">
        <v>45</v>
      </c>
    </row>
    <row r="26" spans="1:12">
      <c r="A26" s="504">
        <v>44220</v>
      </c>
      <c r="B26" s="505" t="s">
        <v>37</v>
      </c>
      <c r="C26" s="506">
        <v>22000</v>
      </c>
      <c r="D26" s="533">
        <v>18100</v>
      </c>
      <c r="E26" s="508">
        <v>17000</v>
      </c>
      <c r="F26" s="508">
        <v>1100</v>
      </c>
      <c r="G26" s="529" t="s">
        <v>126</v>
      </c>
      <c r="H26" s="516"/>
      <c r="I26" s="520" t="s">
        <v>429</v>
      </c>
      <c r="J26" s="506">
        <v>0</v>
      </c>
      <c r="K26" s="506">
        <v>1563103</v>
      </c>
      <c r="L26" s="510">
        <v>42</v>
      </c>
    </row>
    <row r="27" spans="1:12">
      <c r="A27" s="504">
        <v>44221</v>
      </c>
      <c r="B27" s="505" t="s">
        <v>41</v>
      </c>
      <c r="C27" s="512">
        <v>22000</v>
      </c>
      <c r="D27" s="508">
        <v>13000</v>
      </c>
      <c r="E27" s="508">
        <v>12100</v>
      </c>
      <c r="F27" s="508">
        <v>900</v>
      </c>
      <c r="G27" s="516"/>
      <c r="H27" s="516"/>
      <c r="I27" s="505" t="s">
        <v>457</v>
      </c>
      <c r="J27" s="506">
        <v>1000</v>
      </c>
      <c r="K27" s="506">
        <v>1578377</v>
      </c>
      <c r="L27" s="510">
        <v>42</v>
      </c>
    </row>
    <row r="28" spans="1:12">
      <c r="A28" s="504">
        <v>44222</v>
      </c>
      <c r="B28" s="505" t="s">
        <v>46</v>
      </c>
      <c r="C28" s="512">
        <v>22000</v>
      </c>
      <c r="D28" s="508">
        <v>14400</v>
      </c>
      <c r="E28" s="508">
        <v>13400</v>
      </c>
      <c r="F28" s="508">
        <v>1000</v>
      </c>
      <c r="G28" s="527"/>
      <c r="H28" s="516"/>
      <c r="I28" s="505" t="s">
        <v>458</v>
      </c>
      <c r="J28" s="506">
        <v>1000</v>
      </c>
      <c r="K28" s="506">
        <v>1589605</v>
      </c>
      <c r="L28" s="510">
        <v>42</v>
      </c>
    </row>
    <row r="29" spans="1:12">
      <c r="A29" s="504">
        <v>44223</v>
      </c>
      <c r="B29" s="505" t="s">
        <v>49</v>
      </c>
      <c r="C29" s="512">
        <v>22000</v>
      </c>
      <c r="D29" s="508">
        <v>11500</v>
      </c>
      <c r="E29" s="508">
        <v>10800</v>
      </c>
      <c r="F29" s="508">
        <v>700</v>
      </c>
      <c r="G29" s="527"/>
      <c r="H29" s="527"/>
      <c r="I29" s="505" t="s">
        <v>459</v>
      </c>
      <c r="J29" s="506">
        <v>1000</v>
      </c>
      <c r="K29" s="506">
        <v>1609214</v>
      </c>
      <c r="L29" s="510">
        <v>42</v>
      </c>
    </row>
    <row r="30" spans="1:12">
      <c r="A30" s="504">
        <v>44224</v>
      </c>
      <c r="B30" s="505" t="s">
        <v>51</v>
      </c>
      <c r="C30" s="512">
        <v>22000</v>
      </c>
      <c r="D30" s="508">
        <v>8500</v>
      </c>
      <c r="E30" s="508">
        <v>8100</v>
      </c>
      <c r="F30" s="508">
        <v>400</v>
      </c>
      <c r="G30" s="527"/>
      <c r="H30" s="515"/>
      <c r="I30" s="527"/>
      <c r="J30" s="506">
        <v>1000</v>
      </c>
      <c r="K30" s="506">
        <v>1637493</v>
      </c>
      <c r="L30" s="510">
        <v>43</v>
      </c>
    </row>
    <row r="31" spans="1:12">
      <c r="A31" s="504">
        <v>44225</v>
      </c>
      <c r="B31" s="505" t="s">
        <v>29</v>
      </c>
      <c r="C31" s="512">
        <v>13000</v>
      </c>
      <c r="D31" s="508">
        <v>7100</v>
      </c>
      <c r="E31" s="508">
        <v>6700</v>
      </c>
      <c r="F31" s="508">
        <v>400</v>
      </c>
      <c r="G31" s="527"/>
      <c r="H31" s="520" t="s">
        <v>460</v>
      </c>
      <c r="I31" s="527"/>
      <c r="J31" s="506">
        <v>1000</v>
      </c>
      <c r="K31" s="506">
        <v>1669818</v>
      </c>
      <c r="L31" s="510">
        <v>44</v>
      </c>
    </row>
    <row r="32" spans="1:12">
      <c r="A32" s="504">
        <v>44226</v>
      </c>
      <c r="B32" s="505" t="s">
        <v>33</v>
      </c>
      <c r="C32" s="506">
        <v>0</v>
      </c>
      <c r="D32" s="508">
        <v>9700</v>
      </c>
      <c r="E32" s="508">
        <v>9100</v>
      </c>
      <c r="F32" s="508">
        <v>600</v>
      </c>
      <c r="G32" s="515"/>
      <c r="H32" s="520" t="s">
        <v>460</v>
      </c>
      <c r="I32" s="520" t="s">
        <v>461</v>
      </c>
      <c r="J32" s="506">
        <v>0</v>
      </c>
      <c r="K32" s="506">
        <v>1684629</v>
      </c>
      <c r="L32" s="510">
        <v>44</v>
      </c>
    </row>
    <row r="33" spans="1:12">
      <c r="A33" s="504">
        <v>44227</v>
      </c>
      <c r="B33" s="505" t="s">
        <v>37</v>
      </c>
      <c r="C33" s="506">
        <v>0</v>
      </c>
      <c r="D33" s="533">
        <v>18100</v>
      </c>
      <c r="E33" s="508">
        <v>17000</v>
      </c>
      <c r="F33" s="508">
        <v>1100</v>
      </c>
      <c r="G33" s="515"/>
      <c r="H33" s="515"/>
      <c r="I33" s="520" t="s">
        <v>429</v>
      </c>
      <c r="J33" s="506">
        <v>0</v>
      </c>
      <c r="K33" s="506">
        <v>1631164</v>
      </c>
      <c r="L33" s="510">
        <v>42</v>
      </c>
    </row>
  </sheetData>
  <phoneticPr fontId="6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O1007"/>
  <sheetViews>
    <sheetView workbookViewId="0"/>
  </sheetViews>
  <sheetFormatPr baseColWidth="10" defaultColWidth="12.6640625" defaultRowHeight="15.75" customHeight="1"/>
  <cols>
    <col min="1" max="2" width="7" customWidth="1"/>
    <col min="3" max="8" width="7.6640625" customWidth="1"/>
    <col min="9" max="9" width="14.5" customWidth="1"/>
    <col min="10" max="10" width="26" customWidth="1"/>
    <col min="11" max="11" width="6.6640625" customWidth="1"/>
    <col min="12" max="12" width="4.6640625" customWidth="1"/>
    <col min="13" max="13" width="7.33203125" customWidth="1"/>
    <col min="14" max="14" width="24.33203125" customWidth="1"/>
    <col min="16" max="16" width="9" customWidth="1"/>
    <col min="17" max="17" width="5.1640625" customWidth="1"/>
    <col min="18" max="19" width="4.6640625" customWidth="1"/>
    <col min="20" max="21" width="7.6640625" customWidth="1"/>
    <col min="23" max="23" width="16.33203125" customWidth="1"/>
    <col min="24" max="24" width="9.1640625" customWidth="1"/>
    <col min="25" max="25" width="25.5" customWidth="1"/>
    <col min="26" max="26" width="3.83203125" customWidth="1"/>
    <col min="27" max="27" width="7.33203125" customWidth="1"/>
    <col min="28" max="28" width="24.33203125" customWidth="1"/>
    <col min="30" max="30" width="9" customWidth="1"/>
    <col min="31" max="31" width="5.1640625" customWidth="1"/>
    <col min="32" max="33" width="4.6640625" customWidth="1"/>
    <col min="34" max="35" width="7.6640625" customWidth="1"/>
    <col min="37" max="37" width="16.33203125" customWidth="1"/>
    <col min="38" max="38" width="9.1640625" customWidth="1"/>
    <col min="39" max="39" width="25.5" customWidth="1"/>
    <col min="40" max="41" width="12.83203125" customWidth="1"/>
  </cols>
  <sheetData>
    <row r="1" spans="1:41" ht="15.75" customHeight="1">
      <c r="A1" s="1"/>
      <c r="B1" s="2"/>
      <c r="C1" s="3"/>
      <c r="D1" s="3"/>
      <c r="E1" s="3"/>
      <c r="F1" s="3"/>
      <c r="G1" s="3"/>
      <c r="H1" s="3"/>
      <c r="I1" s="2"/>
      <c r="J1" s="2"/>
      <c r="L1" s="4"/>
      <c r="M1" s="5" t="s">
        <v>0</v>
      </c>
      <c r="N1" s="5"/>
      <c r="R1" s="4"/>
      <c r="S1" s="4"/>
      <c r="X1" s="4"/>
      <c r="AA1" s="5" t="s">
        <v>1</v>
      </c>
      <c r="AB1" s="5"/>
      <c r="AF1" s="4"/>
      <c r="AG1" s="4"/>
      <c r="AL1" s="4"/>
      <c r="AM1" s="6" t="s">
        <v>2</v>
      </c>
      <c r="AN1" s="7" t="s">
        <v>3</v>
      </c>
      <c r="AO1" s="8" t="s">
        <v>4</v>
      </c>
    </row>
    <row r="2" spans="1:41">
      <c r="A2" s="1"/>
      <c r="B2" s="2"/>
      <c r="C2" s="3"/>
      <c r="D2" s="3"/>
      <c r="E2" s="3"/>
      <c r="F2" s="3"/>
      <c r="G2" s="3"/>
      <c r="H2" s="3"/>
      <c r="I2" s="2"/>
      <c r="J2" s="2"/>
      <c r="L2" s="4"/>
      <c r="M2" s="4" t="s">
        <v>5</v>
      </c>
      <c r="N2" s="4" t="s">
        <v>6</v>
      </c>
      <c r="R2" s="4"/>
      <c r="S2" s="4"/>
      <c r="X2" s="4"/>
      <c r="AF2" s="4"/>
      <c r="AG2" s="4"/>
      <c r="AL2" s="4"/>
      <c r="AN2" s="9" t="e">
        <f>'[1]WH labor'!AE26</f>
        <v>#REF!</v>
      </c>
      <c r="AO2" s="9" t="e">
        <f>'[1]WH labor'!AE27</f>
        <v>#REF!</v>
      </c>
    </row>
    <row r="3" spans="1:41" ht="15.75" customHeight="1">
      <c r="A3" s="10" t="s">
        <v>7</v>
      </c>
      <c r="B3" s="11"/>
      <c r="C3" s="12"/>
      <c r="D3" s="12"/>
      <c r="E3" s="12"/>
      <c r="F3" s="12"/>
      <c r="G3" s="12"/>
      <c r="H3" s="12"/>
      <c r="I3" s="2"/>
      <c r="J3" s="2"/>
      <c r="L3" s="13"/>
      <c r="M3" s="13" t="s">
        <v>8</v>
      </c>
      <c r="N3" s="13" t="s">
        <v>9</v>
      </c>
      <c r="O3" s="4">
        <v>8</v>
      </c>
      <c r="R3" s="789" t="s">
        <v>10</v>
      </c>
      <c r="S3" s="788"/>
      <c r="T3" s="793" t="s">
        <v>11</v>
      </c>
      <c r="U3" s="794"/>
      <c r="V3" s="14"/>
      <c r="W3" s="14"/>
      <c r="X3" s="795" t="s">
        <v>12</v>
      </c>
      <c r="Y3" s="797" t="s">
        <v>13</v>
      </c>
      <c r="Z3" s="15"/>
      <c r="AB3" s="16" t="s">
        <v>14</v>
      </c>
      <c r="AC3" s="17">
        <v>26</v>
      </c>
      <c r="AD3" s="18"/>
      <c r="AF3" s="789" t="s">
        <v>10</v>
      </c>
      <c r="AG3" s="788"/>
      <c r="AH3" s="793" t="s">
        <v>11</v>
      </c>
      <c r="AI3" s="794"/>
      <c r="AJ3" s="14"/>
      <c r="AK3" s="14"/>
      <c r="AL3" s="795" t="s">
        <v>12</v>
      </c>
      <c r="AM3" s="797" t="s">
        <v>13</v>
      </c>
      <c r="AN3" s="19"/>
      <c r="AO3" s="19"/>
    </row>
    <row r="4" spans="1:41" ht="15.75" customHeight="1">
      <c r="A4" s="20"/>
      <c r="B4" s="21" t="s">
        <v>15</v>
      </c>
      <c r="C4" s="22"/>
      <c r="D4" s="22"/>
      <c r="E4" s="22"/>
      <c r="F4" s="22"/>
      <c r="G4" s="22"/>
      <c r="I4" s="2"/>
      <c r="J4" s="2"/>
      <c r="L4" s="4"/>
      <c r="M4" s="4"/>
      <c r="N4" s="4" t="s">
        <v>16</v>
      </c>
      <c r="O4" s="23">
        <f>SUM(E21:E51)/31</f>
        <v>79806.451612903227</v>
      </c>
      <c r="R4" s="790"/>
      <c r="S4" s="788"/>
      <c r="T4" s="792" t="s">
        <v>17</v>
      </c>
      <c r="U4" s="785" t="s">
        <v>18</v>
      </c>
      <c r="V4" s="787" t="s">
        <v>19</v>
      </c>
      <c r="W4" s="787" t="s">
        <v>20</v>
      </c>
      <c r="X4" s="796"/>
      <c r="Y4" s="798"/>
      <c r="Z4" s="15"/>
      <c r="AB4" s="28" t="s">
        <v>21</v>
      </c>
      <c r="AC4" s="4">
        <v>5</v>
      </c>
      <c r="AD4" s="29" t="s">
        <v>22</v>
      </c>
      <c r="AF4" s="790"/>
      <c r="AG4" s="788"/>
      <c r="AH4" s="792" t="s">
        <v>17</v>
      </c>
      <c r="AI4" s="785" t="s">
        <v>18</v>
      </c>
      <c r="AJ4" s="787" t="s">
        <v>19</v>
      </c>
      <c r="AK4" s="787" t="s">
        <v>20</v>
      </c>
      <c r="AL4" s="796"/>
      <c r="AM4" s="798"/>
      <c r="AN4" s="19"/>
      <c r="AO4" s="19"/>
    </row>
    <row r="5" spans="1:41" ht="15.75" customHeight="1">
      <c r="A5" s="20"/>
      <c r="B5" s="30" t="s">
        <v>23</v>
      </c>
      <c r="C5" s="31" t="s">
        <v>24</v>
      </c>
      <c r="D5" s="22"/>
      <c r="E5" s="22"/>
      <c r="F5" s="22"/>
      <c r="G5" s="22"/>
      <c r="I5" s="2"/>
      <c r="J5" s="2"/>
      <c r="L5" s="4"/>
      <c r="M5" s="4"/>
      <c r="N5" s="4" t="s">
        <v>25</v>
      </c>
      <c r="O5" s="32">
        <v>300</v>
      </c>
      <c r="P5" s="4" t="s">
        <v>26</v>
      </c>
      <c r="R5" s="791"/>
      <c r="S5" s="786"/>
      <c r="T5" s="786"/>
      <c r="U5" s="786"/>
      <c r="V5" s="788"/>
      <c r="W5" s="788"/>
      <c r="X5" s="796"/>
      <c r="Y5" s="799"/>
      <c r="Z5" s="15"/>
      <c r="AB5" s="28" t="s">
        <v>27</v>
      </c>
      <c r="AC5" s="35">
        <v>5040</v>
      </c>
      <c r="AD5" s="36">
        <f>AD6/(AC3+AC4)</f>
        <v>5008.9043842566489</v>
      </c>
      <c r="AF5" s="791"/>
      <c r="AG5" s="786"/>
      <c r="AH5" s="786"/>
      <c r="AI5" s="786"/>
      <c r="AJ5" s="788"/>
      <c r="AK5" s="788"/>
      <c r="AL5" s="796"/>
      <c r="AM5" s="799"/>
      <c r="AN5" s="19"/>
      <c r="AO5" s="19"/>
    </row>
    <row r="6" spans="1:41" ht="15.75" customHeight="1">
      <c r="A6" s="20"/>
      <c r="B6" s="21" t="s">
        <v>8</v>
      </c>
      <c r="C6" s="22"/>
      <c r="D6" s="22"/>
      <c r="E6" s="22"/>
      <c r="F6" s="22"/>
      <c r="G6" s="22"/>
      <c r="I6" s="2"/>
      <c r="J6" s="2"/>
      <c r="L6" s="4"/>
      <c r="M6" s="4"/>
      <c r="N6" s="4" t="s">
        <v>28</v>
      </c>
      <c r="O6" s="32">
        <v>0</v>
      </c>
      <c r="P6" s="4" t="s">
        <v>26</v>
      </c>
      <c r="R6" s="37">
        <v>43525</v>
      </c>
      <c r="S6" s="38" t="s">
        <v>29</v>
      </c>
      <c r="T6" s="39">
        <f t="shared" ref="T6:T7" si="0">V6</f>
        <v>27845.161290322576</v>
      </c>
      <c r="U6" s="39">
        <f t="shared" ref="U6:U22" si="1">G21</f>
        <v>4500</v>
      </c>
      <c r="V6" s="23">
        <f t="shared" ref="V6:V21" si="2">$O$11-(U6*$O$3)</f>
        <v>27845.161290322576</v>
      </c>
      <c r="W6" t="s">
        <v>23</v>
      </c>
      <c r="X6" s="40">
        <f t="shared" ref="X6:X36" si="3">(T6+U6*$O$3)/$O$9</f>
        <v>240</v>
      </c>
      <c r="Y6" s="41"/>
      <c r="Z6" s="15"/>
      <c r="AB6" s="28" t="s">
        <v>30</v>
      </c>
      <c r="AC6" s="23">
        <f>AC5*(AC3+AC4)</f>
        <v>156240</v>
      </c>
      <c r="AD6" s="42">
        <f>AI37</f>
        <v>155276.0359119561</v>
      </c>
      <c r="AF6" s="37">
        <v>43525</v>
      </c>
      <c r="AG6" s="38" t="s">
        <v>29</v>
      </c>
      <c r="AH6" s="39">
        <f t="shared" ref="AH6:AH7" si="4">AJ6</f>
        <v>25116.863116896431</v>
      </c>
      <c r="AI6" s="39">
        <f t="shared" ref="AI6:AI36" si="5">U6*$AC$12</f>
        <v>4036.6387152154971</v>
      </c>
      <c r="AJ6" s="23">
        <f t="shared" ref="AJ6:AJ36" si="6">$AC$9-AI6*8</f>
        <v>25116.863116896431</v>
      </c>
      <c r="AK6" t="s">
        <v>23</v>
      </c>
      <c r="AL6" s="40">
        <f t="shared" ref="AL6:AL36" si="7">(AH6+AI6*$AC$19)/$AC$10</f>
        <v>215.80951794630954</v>
      </c>
      <c r="AM6" s="41"/>
      <c r="AN6" s="19"/>
      <c r="AO6" s="19"/>
    </row>
    <row r="7" spans="1:41" ht="15.75" customHeight="1">
      <c r="A7" s="20"/>
      <c r="B7" s="30" t="s">
        <v>23</v>
      </c>
      <c r="C7" s="31" t="s">
        <v>31</v>
      </c>
      <c r="D7" s="22"/>
      <c r="E7" s="22"/>
      <c r="F7" s="22"/>
      <c r="G7" s="22"/>
      <c r="I7" s="2"/>
      <c r="J7" s="2"/>
      <c r="L7" s="4"/>
      <c r="M7" s="4"/>
      <c r="N7" s="4" t="s">
        <v>32</v>
      </c>
      <c r="O7" s="43">
        <v>0.5</v>
      </c>
      <c r="P7" s="4" t="s">
        <v>26</v>
      </c>
      <c r="R7" s="37">
        <v>43526</v>
      </c>
      <c r="S7" s="38" t="s">
        <v>33</v>
      </c>
      <c r="T7" s="39">
        <f t="shared" si="0"/>
        <v>31845.161290322576</v>
      </c>
      <c r="U7" s="39">
        <f t="shared" si="1"/>
        <v>4000</v>
      </c>
      <c r="V7" s="23">
        <f t="shared" si="2"/>
        <v>31845.161290322576</v>
      </c>
      <c r="W7" t="s">
        <v>23</v>
      </c>
      <c r="X7" s="40">
        <f t="shared" si="3"/>
        <v>240</v>
      </c>
      <c r="Y7" s="41"/>
      <c r="Z7" s="15"/>
      <c r="AB7" s="28" t="s">
        <v>34</v>
      </c>
      <c r="AC7" s="23">
        <f>AC6*AC30</f>
        <v>386264.22590068157</v>
      </c>
      <c r="AD7" s="42">
        <f>AH37</f>
        <v>403564.06190744636</v>
      </c>
      <c r="AF7" s="37">
        <v>43526</v>
      </c>
      <c r="AG7" s="38" t="s">
        <v>33</v>
      </c>
      <c r="AH7" s="39">
        <f t="shared" si="4"/>
        <v>28704.986419310204</v>
      </c>
      <c r="AI7" s="39">
        <f t="shared" si="5"/>
        <v>3588.1233024137755</v>
      </c>
      <c r="AJ7" s="23">
        <f t="shared" si="6"/>
        <v>28704.986419310204</v>
      </c>
      <c r="AK7" t="s">
        <v>23</v>
      </c>
      <c r="AL7" s="40">
        <f t="shared" si="7"/>
        <v>215.80951794630954</v>
      </c>
      <c r="AM7" s="41"/>
      <c r="AN7" s="19"/>
      <c r="AO7" s="19"/>
    </row>
    <row r="8" spans="1:41" ht="15.75" customHeight="1">
      <c r="A8" s="20"/>
      <c r="B8" s="30" t="s">
        <v>23</v>
      </c>
      <c r="C8" s="31" t="s">
        <v>35</v>
      </c>
      <c r="D8" s="22"/>
      <c r="E8" s="22"/>
      <c r="F8" s="22"/>
      <c r="G8" s="22"/>
      <c r="I8" s="2"/>
      <c r="J8" s="2"/>
      <c r="L8" s="4"/>
      <c r="M8" s="4"/>
      <c r="N8" s="4" t="s">
        <v>36</v>
      </c>
      <c r="O8" s="23">
        <f>O5+O6*O7</f>
        <v>300</v>
      </c>
      <c r="R8" s="44">
        <v>43527</v>
      </c>
      <c r="S8" s="45" t="s">
        <v>37</v>
      </c>
      <c r="T8" s="46">
        <v>0</v>
      </c>
      <c r="U8" s="46">
        <f t="shared" si="1"/>
        <v>4000</v>
      </c>
      <c r="V8" s="47">
        <f t="shared" si="2"/>
        <v>31845.161290322576</v>
      </c>
      <c r="W8" s="34" t="s">
        <v>561</v>
      </c>
      <c r="X8" s="48">
        <f t="shared" si="3"/>
        <v>120.29102667744544</v>
      </c>
      <c r="Y8" s="49"/>
      <c r="Z8" s="15"/>
      <c r="AB8" s="28" t="s">
        <v>38</v>
      </c>
      <c r="AC8" s="23">
        <f>AC7+AC6*AC19</f>
        <v>1636184.2259006817</v>
      </c>
      <c r="AD8" s="27"/>
      <c r="AF8" s="44">
        <v>43527</v>
      </c>
      <c r="AG8" s="45" t="s">
        <v>37</v>
      </c>
      <c r="AH8" s="46">
        <v>0</v>
      </c>
      <c r="AI8" s="46">
        <f t="shared" si="5"/>
        <v>3588.1233024137755</v>
      </c>
      <c r="AJ8" s="47">
        <f t="shared" si="6"/>
        <v>28704.986419310204</v>
      </c>
      <c r="AK8" s="34" t="s">
        <v>561</v>
      </c>
      <c r="AL8" s="48">
        <f t="shared" si="7"/>
        <v>107.90475897315477</v>
      </c>
      <c r="AM8" s="49"/>
      <c r="AN8" s="19"/>
      <c r="AO8" s="19"/>
    </row>
    <row r="9" spans="1:41" ht="15.75" customHeight="1">
      <c r="A9" s="20"/>
      <c r="B9" s="30" t="s">
        <v>23</v>
      </c>
      <c r="C9" s="31" t="s">
        <v>39</v>
      </c>
      <c r="D9" s="22"/>
      <c r="E9" s="22"/>
      <c r="F9" s="22"/>
      <c r="G9" s="22"/>
      <c r="I9" s="2"/>
      <c r="J9" s="2"/>
      <c r="L9" s="4"/>
      <c r="M9" s="4"/>
      <c r="N9" s="4" t="s">
        <v>40</v>
      </c>
      <c r="O9" s="23">
        <f>O4/O8</f>
        <v>266.02150537634407</v>
      </c>
      <c r="R9" s="50">
        <v>43528</v>
      </c>
      <c r="S9" s="51" t="s">
        <v>41</v>
      </c>
      <c r="T9" s="39">
        <v>2000</v>
      </c>
      <c r="U9" s="52">
        <f t="shared" si="1"/>
        <v>7500</v>
      </c>
      <c r="V9" s="23">
        <f t="shared" si="2"/>
        <v>3845.161290322576</v>
      </c>
      <c r="W9" t="s">
        <v>562</v>
      </c>
      <c r="X9" s="40">
        <f t="shared" si="3"/>
        <v>233.06386418755054</v>
      </c>
      <c r="Y9" s="53" t="s">
        <v>42</v>
      </c>
      <c r="Z9" s="54"/>
      <c r="AB9" s="28" t="s">
        <v>43</v>
      </c>
      <c r="AC9" s="23">
        <f>AC8/(AC3+AC4/2)</f>
        <v>57409.972838620408</v>
      </c>
      <c r="AD9" s="27"/>
      <c r="AF9" s="50">
        <v>43528</v>
      </c>
      <c r="AG9" s="51" t="s">
        <v>41</v>
      </c>
      <c r="AH9" s="39">
        <v>2000</v>
      </c>
      <c r="AI9" s="52">
        <f t="shared" si="5"/>
        <v>6727.7311920258289</v>
      </c>
      <c r="AJ9" s="23">
        <f t="shared" si="6"/>
        <v>3588.1233024137764</v>
      </c>
      <c r="AK9" t="s">
        <v>563</v>
      </c>
      <c r="AL9" s="40">
        <f t="shared" si="7"/>
        <v>209.83961224200553</v>
      </c>
      <c r="AM9" s="53" t="s">
        <v>42</v>
      </c>
      <c r="AN9" s="19"/>
      <c r="AO9" s="19"/>
    </row>
    <row r="10" spans="1:41" ht="15.75" customHeight="1">
      <c r="A10" s="55"/>
      <c r="B10" s="56" t="s">
        <v>23</v>
      </c>
      <c r="C10" s="57" t="s">
        <v>44</v>
      </c>
      <c r="D10" s="58"/>
      <c r="E10" s="58"/>
      <c r="F10" s="58"/>
      <c r="G10" s="58"/>
      <c r="H10" s="58"/>
      <c r="I10" s="2"/>
      <c r="J10" s="2"/>
      <c r="K10" s="13"/>
      <c r="M10" s="4" t="s">
        <v>11</v>
      </c>
      <c r="N10" s="4" t="s">
        <v>45</v>
      </c>
      <c r="O10" s="23">
        <f>O8*P10</f>
        <v>240</v>
      </c>
      <c r="P10" s="59">
        <v>0.8</v>
      </c>
      <c r="R10" s="37">
        <v>43529</v>
      </c>
      <c r="S10" s="38" t="s">
        <v>46</v>
      </c>
      <c r="T10" s="39">
        <f t="shared" ref="T10:T14" si="8">V10</f>
        <v>15845.161290322576</v>
      </c>
      <c r="U10" s="39">
        <f t="shared" si="1"/>
        <v>6000</v>
      </c>
      <c r="V10" s="23">
        <f t="shared" si="2"/>
        <v>15845.161290322576</v>
      </c>
      <c r="W10" t="s">
        <v>23</v>
      </c>
      <c r="X10" s="40">
        <f t="shared" si="3"/>
        <v>240</v>
      </c>
      <c r="Y10" s="41"/>
      <c r="Z10" s="15"/>
      <c r="AB10" s="28" t="s">
        <v>47</v>
      </c>
      <c r="AC10" s="23">
        <f>AC25</f>
        <v>266.02150537634407</v>
      </c>
      <c r="AD10" s="27"/>
      <c r="AF10" s="37">
        <v>43529</v>
      </c>
      <c r="AG10" s="38" t="s">
        <v>46</v>
      </c>
      <c r="AH10" s="39">
        <f t="shared" ref="AH10:AH14" si="9">AJ10</f>
        <v>14352.493209655106</v>
      </c>
      <c r="AI10" s="39">
        <f t="shared" si="5"/>
        <v>5382.1849536206628</v>
      </c>
      <c r="AJ10" s="23">
        <f t="shared" si="6"/>
        <v>14352.493209655106</v>
      </c>
      <c r="AK10" t="s">
        <v>23</v>
      </c>
      <c r="AL10" s="40">
        <f t="shared" si="7"/>
        <v>215.80951794630954</v>
      </c>
      <c r="AM10" s="41"/>
      <c r="AN10" s="19"/>
      <c r="AO10" s="19"/>
    </row>
    <row r="11" spans="1:41">
      <c r="A11" s="54"/>
      <c r="B11" s="54"/>
      <c r="C11" s="3"/>
      <c r="D11" s="3"/>
      <c r="E11" s="3"/>
      <c r="F11" s="3"/>
      <c r="G11" s="3"/>
      <c r="H11" s="3"/>
      <c r="I11" s="2"/>
      <c r="J11" s="2"/>
      <c r="N11" s="4" t="s">
        <v>48</v>
      </c>
      <c r="O11" s="23">
        <f>O10*O9</f>
        <v>63845.161290322576</v>
      </c>
      <c r="R11" s="37">
        <v>43530</v>
      </c>
      <c r="S11" s="38" t="s">
        <v>49</v>
      </c>
      <c r="T11" s="39">
        <f t="shared" si="8"/>
        <v>19845.161290322576</v>
      </c>
      <c r="U11" s="39">
        <f t="shared" si="1"/>
        <v>5500</v>
      </c>
      <c r="V11" s="23">
        <f t="shared" si="2"/>
        <v>19845.161290322576</v>
      </c>
      <c r="W11" t="s">
        <v>23</v>
      </c>
      <c r="X11" s="40">
        <f t="shared" si="3"/>
        <v>240</v>
      </c>
      <c r="Y11" s="41"/>
      <c r="Z11" s="15"/>
      <c r="AB11" s="28" t="s">
        <v>50</v>
      </c>
      <c r="AC11" s="60">
        <f>AC9/AC19</f>
        <v>7176.246604827551</v>
      </c>
      <c r="AD11" s="27"/>
      <c r="AF11" s="37">
        <v>43530</v>
      </c>
      <c r="AG11" s="38" t="s">
        <v>49</v>
      </c>
      <c r="AH11" s="39">
        <f t="shared" si="9"/>
        <v>17940.616512068882</v>
      </c>
      <c r="AI11" s="39">
        <f t="shared" si="5"/>
        <v>4933.6695408189407</v>
      </c>
      <c r="AJ11" s="23">
        <f t="shared" si="6"/>
        <v>17940.616512068882</v>
      </c>
      <c r="AK11" t="s">
        <v>23</v>
      </c>
      <c r="AL11" s="40">
        <f t="shared" si="7"/>
        <v>215.80951794630954</v>
      </c>
      <c r="AM11" s="41"/>
      <c r="AN11" s="19"/>
      <c r="AO11" s="19"/>
    </row>
    <row r="12" spans="1:41">
      <c r="A12" s="54"/>
      <c r="B12" s="54"/>
      <c r="C12" s="3"/>
      <c r="D12" s="3"/>
      <c r="E12" s="3"/>
      <c r="F12" s="3"/>
      <c r="G12" s="3"/>
      <c r="H12" s="3"/>
      <c r="I12" s="2"/>
      <c r="J12" s="2"/>
      <c r="R12" s="37">
        <v>43531</v>
      </c>
      <c r="S12" s="38" t="s">
        <v>51</v>
      </c>
      <c r="T12" s="39">
        <f t="shared" si="8"/>
        <v>19845.161290322576</v>
      </c>
      <c r="U12" s="39">
        <f t="shared" si="1"/>
        <v>5500</v>
      </c>
      <c r="V12" s="23">
        <f t="shared" si="2"/>
        <v>19845.161290322576</v>
      </c>
      <c r="W12" t="s">
        <v>23</v>
      </c>
      <c r="X12" s="40">
        <f t="shared" si="3"/>
        <v>240</v>
      </c>
      <c r="Y12" s="41"/>
      <c r="Z12" s="15"/>
      <c r="AB12" s="28" t="s">
        <v>52</v>
      </c>
      <c r="AC12" s="61">
        <f>AC11/U23</f>
        <v>0.89703082560344383</v>
      </c>
      <c r="AD12" s="27"/>
      <c r="AF12" s="37">
        <v>43531</v>
      </c>
      <c r="AG12" s="38" t="s">
        <v>51</v>
      </c>
      <c r="AH12" s="39">
        <f t="shared" si="9"/>
        <v>17940.616512068882</v>
      </c>
      <c r="AI12" s="39">
        <f t="shared" si="5"/>
        <v>4933.6695408189407</v>
      </c>
      <c r="AJ12" s="23">
        <f t="shared" si="6"/>
        <v>17940.616512068882</v>
      </c>
      <c r="AK12" t="s">
        <v>23</v>
      </c>
      <c r="AL12" s="40">
        <f t="shared" si="7"/>
        <v>215.80951794630954</v>
      </c>
      <c r="AM12" s="41"/>
      <c r="AN12" s="19"/>
      <c r="AO12" s="19"/>
    </row>
    <row r="13" spans="1:41">
      <c r="A13" s="54"/>
      <c r="B13" s="54"/>
      <c r="C13" s="3"/>
      <c r="D13" s="3"/>
      <c r="E13" s="3"/>
      <c r="F13" s="3"/>
      <c r="G13" s="3"/>
      <c r="H13" s="3"/>
      <c r="I13" s="2"/>
      <c r="J13" s="2"/>
      <c r="L13" s="4"/>
      <c r="M13" s="4" t="s">
        <v>53</v>
      </c>
      <c r="N13" s="4" t="s">
        <v>54</v>
      </c>
      <c r="O13" s="4" t="s">
        <v>55</v>
      </c>
      <c r="R13" s="37">
        <v>43532</v>
      </c>
      <c r="S13" s="38" t="s">
        <v>29</v>
      </c>
      <c r="T13" s="39">
        <f t="shared" si="8"/>
        <v>27845.161290322576</v>
      </c>
      <c r="U13" s="39">
        <f t="shared" si="1"/>
        <v>4500</v>
      </c>
      <c r="V13" s="23">
        <f t="shared" si="2"/>
        <v>27845.161290322576</v>
      </c>
      <c r="W13" t="s">
        <v>23</v>
      </c>
      <c r="X13" s="40">
        <f t="shared" si="3"/>
        <v>240</v>
      </c>
      <c r="Y13" s="41"/>
      <c r="Z13" s="15"/>
      <c r="AB13" s="28" t="s">
        <v>56</v>
      </c>
      <c r="AC13" s="61">
        <f>AC7/T37</f>
        <v>0.86616352267882424</v>
      </c>
      <c r="AD13" s="27"/>
      <c r="AF13" s="37">
        <v>43532</v>
      </c>
      <c r="AG13" s="38" t="s">
        <v>29</v>
      </c>
      <c r="AH13" s="39">
        <f t="shared" si="9"/>
        <v>25116.863116896431</v>
      </c>
      <c r="AI13" s="39">
        <f t="shared" si="5"/>
        <v>4036.6387152154971</v>
      </c>
      <c r="AJ13" s="23">
        <f t="shared" si="6"/>
        <v>25116.863116896431</v>
      </c>
      <c r="AK13" t="s">
        <v>23</v>
      </c>
      <c r="AL13" s="40">
        <f t="shared" si="7"/>
        <v>215.80951794630954</v>
      </c>
      <c r="AM13" s="41"/>
      <c r="AN13" s="19"/>
      <c r="AO13" s="19"/>
    </row>
    <row r="14" spans="1:41">
      <c r="A14" s="54"/>
      <c r="B14" s="54"/>
      <c r="C14" s="3"/>
      <c r="D14" s="3"/>
      <c r="E14" s="3"/>
      <c r="F14" s="3"/>
      <c r="G14" s="3"/>
      <c r="H14" s="3"/>
      <c r="I14" s="2"/>
      <c r="J14" s="2"/>
      <c r="L14" s="4"/>
      <c r="M14" s="4"/>
      <c r="N14" s="4" t="s">
        <v>57</v>
      </c>
      <c r="O14" s="62">
        <f>12695/5135</f>
        <v>2.4722492697176239</v>
      </c>
      <c r="Q14" s="63"/>
      <c r="R14" s="37">
        <v>43533</v>
      </c>
      <c r="S14" s="38" t="s">
        <v>33</v>
      </c>
      <c r="T14" s="39">
        <f t="shared" si="8"/>
        <v>31845.161290322576</v>
      </c>
      <c r="U14" s="39">
        <f t="shared" si="1"/>
        <v>4000</v>
      </c>
      <c r="V14" s="23">
        <f t="shared" si="2"/>
        <v>31845.161290322576</v>
      </c>
      <c r="W14" t="s">
        <v>23</v>
      </c>
      <c r="X14" s="40">
        <f t="shared" si="3"/>
        <v>240</v>
      </c>
      <c r="Y14" s="41"/>
      <c r="Z14" s="15"/>
      <c r="AB14" s="28" t="s">
        <v>36</v>
      </c>
      <c r="AC14" s="64">
        <v>300</v>
      </c>
      <c r="AD14" s="27"/>
      <c r="AE14" s="63"/>
      <c r="AF14" s="37">
        <v>43533</v>
      </c>
      <c r="AG14" s="38" t="s">
        <v>33</v>
      </c>
      <c r="AH14" s="39">
        <f t="shared" si="9"/>
        <v>28704.986419310204</v>
      </c>
      <c r="AI14" s="39">
        <f t="shared" si="5"/>
        <v>3588.1233024137755</v>
      </c>
      <c r="AJ14" s="23">
        <f t="shared" si="6"/>
        <v>28704.986419310204</v>
      </c>
      <c r="AK14" t="s">
        <v>23</v>
      </c>
      <c r="AL14" s="40">
        <f t="shared" si="7"/>
        <v>215.80951794630954</v>
      </c>
      <c r="AM14" s="41"/>
      <c r="AN14" s="19"/>
      <c r="AO14" s="19"/>
    </row>
    <row r="15" spans="1:41">
      <c r="A15" s="54"/>
      <c r="B15" s="54"/>
      <c r="C15" s="3"/>
      <c r="D15" s="3"/>
      <c r="E15" s="3"/>
      <c r="F15" s="3"/>
      <c r="G15" s="3"/>
      <c r="H15" s="3"/>
      <c r="I15" s="2"/>
      <c r="J15" s="2"/>
      <c r="L15" s="4"/>
      <c r="M15" s="4"/>
      <c r="N15" s="4" t="s">
        <v>58</v>
      </c>
      <c r="O15" s="4">
        <v>31</v>
      </c>
      <c r="Q15" s="65"/>
      <c r="R15" s="44">
        <v>43534</v>
      </c>
      <c r="S15" s="45" t="s">
        <v>37</v>
      </c>
      <c r="T15" s="46">
        <v>0</v>
      </c>
      <c r="U15" s="46">
        <f t="shared" si="1"/>
        <v>4000</v>
      </c>
      <c r="V15" s="47">
        <f t="shared" si="2"/>
        <v>31845.161290322576</v>
      </c>
      <c r="W15" s="34" t="s">
        <v>561</v>
      </c>
      <c r="X15" s="48">
        <f t="shared" si="3"/>
        <v>120.29102667744544</v>
      </c>
      <c r="Y15" s="66"/>
      <c r="Z15" s="67"/>
      <c r="AB15" s="28" t="s">
        <v>40</v>
      </c>
      <c r="AC15" s="64">
        <v>266</v>
      </c>
      <c r="AD15" s="27"/>
      <c r="AE15" s="65"/>
      <c r="AF15" s="44">
        <v>43534</v>
      </c>
      <c r="AG15" s="45" t="s">
        <v>37</v>
      </c>
      <c r="AH15" s="46">
        <v>0</v>
      </c>
      <c r="AI15" s="46">
        <f t="shared" si="5"/>
        <v>3588.1233024137755</v>
      </c>
      <c r="AJ15" s="47">
        <f t="shared" si="6"/>
        <v>28704.986419310204</v>
      </c>
      <c r="AK15" s="34" t="s">
        <v>561</v>
      </c>
      <c r="AL15" s="48">
        <f t="shared" si="7"/>
        <v>107.90475897315477</v>
      </c>
      <c r="AM15" s="66"/>
      <c r="AN15" s="19"/>
      <c r="AO15" s="19"/>
    </row>
    <row r="16" spans="1:41">
      <c r="A16" s="54"/>
      <c r="B16" s="54"/>
      <c r="C16" s="3"/>
      <c r="D16" s="3"/>
      <c r="E16" s="3"/>
      <c r="F16" s="3"/>
      <c r="G16" s="3"/>
      <c r="H16" s="3"/>
      <c r="I16" s="2"/>
      <c r="J16" s="2"/>
      <c r="L16" s="4"/>
      <c r="M16" s="4"/>
      <c r="N16" s="4" t="s">
        <v>59</v>
      </c>
      <c r="O16" s="23">
        <f>SUM(G21:G51)</f>
        <v>173600</v>
      </c>
      <c r="R16" s="68">
        <v>43535</v>
      </c>
      <c r="S16" s="51" t="s">
        <v>41</v>
      </c>
      <c r="T16" s="39">
        <v>2000</v>
      </c>
      <c r="U16" s="52">
        <f t="shared" si="1"/>
        <v>7500</v>
      </c>
      <c r="V16" s="23">
        <f t="shared" si="2"/>
        <v>3845.161290322576</v>
      </c>
      <c r="W16" t="s">
        <v>562</v>
      </c>
      <c r="X16" s="40">
        <f t="shared" si="3"/>
        <v>233.06386418755054</v>
      </c>
      <c r="Y16" s="69" t="s">
        <v>60</v>
      </c>
      <c r="Z16" s="70"/>
      <c r="AB16" s="71" t="s">
        <v>61</v>
      </c>
      <c r="AC16" s="47">
        <f>MAX(AL6:AL36)</f>
        <v>215.80951794630954</v>
      </c>
      <c r="AD16" s="72">
        <f>AC16/AC14</f>
        <v>0.71936505982103183</v>
      </c>
      <c r="AF16" s="68">
        <v>43535</v>
      </c>
      <c r="AG16" s="51" t="s">
        <v>41</v>
      </c>
      <c r="AH16" s="39">
        <v>2000</v>
      </c>
      <c r="AI16" s="52">
        <f t="shared" si="5"/>
        <v>6727.7311920258289</v>
      </c>
      <c r="AJ16" s="23">
        <f t="shared" si="6"/>
        <v>3588.1233024137764</v>
      </c>
      <c r="AK16" t="s">
        <v>563</v>
      </c>
      <c r="AL16" s="40">
        <f t="shared" si="7"/>
        <v>209.83961224200553</v>
      </c>
      <c r="AM16" s="69" t="s">
        <v>60</v>
      </c>
      <c r="AN16" s="19"/>
      <c r="AO16" s="19"/>
    </row>
    <row r="17" spans="1:41">
      <c r="A17" s="54"/>
      <c r="B17" s="54"/>
      <c r="C17" s="3"/>
      <c r="D17" s="3"/>
      <c r="E17" s="3"/>
      <c r="F17" s="3"/>
      <c r="G17" s="3"/>
      <c r="H17" s="3"/>
      <c r="I17" s="2"/>
      <c r="J17" s="2"/>
      <c r="N17" s="4" t="s">
        <v>62</v>
      </c>
      <c r="O17" s="60">
        <f>O16/O15</f>
        <v>5600</v>
      </c>
      <c r="R17" s="73">
        <v>43536</v>
      </c>
      <c r="S17" s="38" t="s">
        <v>46</v>
      </c>
      <c r="T17" s="39">
        <f t="shared" ref="T17:T21" si="10">V17</f>
        <v>15845.161290322576</v>
      </c>
      <c r="U17" s="39">
        <f t="shared" si="1"/>
        <v>6000</v>
      </c>
      <c r="V17" s="23">
        <f t="shared" si="2"/>
        <v>15845.161290322576</v>
      </c>
      <c r="W17" t="s">
        <v>23</v>
      </c>
      <c r="X17" s="40">
        <f t="shared" si="3"/>
        <v>240</v>
      </c>
      <c r="Y17" s="41"/>
      <c r="Z17" s="15"/>
      <c r="AF17" s="73">
        <v>43536</v>
      </c>
      <c r="AG17" s="38" t="s">
        <v>46</v>
      </c>
      <c r="AH17" s="39">
        <f t="shared" ref="AH17:AH21" si="11">AJ17</f>
        <v>14352.493209655106</v>
      </c>
      <c r="AI17" s="39">
        <f t="shared" si="5"/>
        <v>5382.1849536206628</v>
      </c>
      <c r="AJ17" s="23">
        <f t="shared" si="6"/>
        <v>14352.493209655106</v>
      </c>
      <c r="AK17" t="s">
        <v>23</v>
      </c>
      <c r="AL17" s="40">
        <f t="shared" si="7"/>
        <v>215.80951794630954</v>
      </c>
      <c r="AM17" s="41"/>
      <c r="AN17" s="19"/>
      <c r="AO17" s="19"/>
    </row>
    <row r="18" spans="1:41" ht="15.75" customHeight="1">
      <c r="A18" s="803"/>
      <c r="B18" s="794"/>
      <c r="C18" s="804" t="s">
        <v>15</v>
      </c>
      <c r="D18" s="794"/>
      <c r="E18" s="805"/>
      <c r="F18" s="793" t="s">
        <v>11</v>
      </c>
      <c r="G18" s="794"/>
      <c r="H18" s="794"/>
      <c r="I18" s="75"/>
      <c r="J18" s="806" t="s">
        <v>13</v>
      </c>
      <c r="N18" s="76" t="s">
        <v>34</v>
      </c>
      <c r="O18" s="77">
        <f>O16*O14</f>
        <v>429182.47322297952</v>
      </c>
      <c r="R18" s="73">
        <v>43537</v>
      </c>
      <c r="S18" s="38" t="s">
        <v>49</v>
      </c>
      <c r="T18" s="39">
        <f t="shared" si="10"/>
        <v>19845.161290322576</v>
      </c>
      <c r="U18" s="39">
        <f t="shared" si="1"/>
        <v>5500</v>
      </c>
      <c r="V18" s="23">
        <f t="shared" si="2"/>
        <v>19845.161290322576</v>
      </c>
      <c r="W18" t="s">
        <v>23</v>
      </c>
      <c r="X18" s="40">
        <f t="shared" si="3"/>
        <v>240</v>
      </c>
      <c r="Y18" s="41"/>
      <c r="Z18" s="15"/>
      <c r="AA18" s="78" t="s">
        <v>5</v>
      </c>
      <c r="AB18" s="78" t="s">
        <v>6</v>
      </c>
      <c r="AC18" s="79"/>
      <c r="AD18" s="79"/>
      <c r="AF18" s="73">
        <v>43537</v>
      </c>
      <c r="AG18" s="38" t="s">
        <v>49</v>
      </c>
      <c r="AH18" s="39">
        <f t="shared" si="11"/>
        <v>17940.616512068882</v>
      </c>
      <c r="AI18" s="39">
        <f t="shared" si="5"/>
        <v>4933.6695408189407</v>
      </c>
      <c r="AJ18" s="23">
        <f t="shared" si="6"/>
        <v>17940.616512068882</v>
      </c>
      <c r="AK18" t="s">
        <v>23</v>
      </c>
      <c r="AL18" s="40">
        <f t="shared" si="7"/>
        <v>215.80951794630954</v>
      </c>
      <c r="AM18" s="41"/>
      <c r="AN18" s="19"/>
      <c r="AO18" s="19"/>
    </row>
    <row r="19" spans="1:41">
      <c r="A19" s="789" t="s">
        <v>10</v>
      </c>
      <c r="B19" s="788"/>
      <c r="C19" s="800" t="s">
        <v>63</v>
      </c>
      <c r="D19" s="785" t="s">
        <v>64</v>
      </c>
      <c r="E19" s="807" t="s">
        <v>65</v>
      </c>
      <c r="F19" s="80" t="s">
        <v>3</v>
      </c>
      <c r="G19" s="785" t="s">
        <v>66</v>
      </c>
      <c r="H19" s="802"/>
      <c r="I19" s="808" t="s">
        <v>67</v>
      </c>
      <c r="J19" s="798"/>
      <c r="N19" s="76" t="s">
        <v>68</v>
      </c>
      <c r="O19" s="77">
        <f>SUM(T6:T36)</f>
        <v>445948.38709677383</v>
      </c>
      <c r="R19" s="73">
        <v>43538</v>
      </c>
      <c r="S19" s="38" t="s">
        <v>51</v>
      </c>
      <c r="T19" s="39">
        <f t="shared" si="10"/>
        <v>19845.161290322576</v>
      </c>
      <c r="U19" s="39">
        <f t="shared" si="1"/>
        <v>5500</v>
      </c>
      <c r="V19" s="23">
        <f t="shared" si="2"/>
        <v>19845.161290322576</v>
      </c>
      <c r="W19" t="s">
        <v>23</v>
      </c>
      <c r="X19" s="40">
        <f t="shared" si="3"/>
        <v>240</v>
      </c>
      <c r="Y19" s="41"/>
      <c r="Z19" s="15"/>
      <c r="AA19" s="83" t="s">
        <v>8</v>
      </c>
      <c r="AB19" s="83" t="s">
        <v>9</v>
      </c>
      <c r="AC19" s="78">
        <v>8</v>
      </c>
      <c r="AD19" s="79"/>
      <c r="AF19" s="73">
        <v>43538</v>
      </c>
      <c r="AG19" s="38" t="s">
        <v>51</v>
      </c>
      <c r="AH19" s="39">
        <f t="shared" si="11"/>
        <v>17940.616512068882</v>
      </c>
      <c r="AI19" s="39">
        <f t="shared" si="5"/>
        <v>4933.6695408189407</v>
      </c>
      <c r="AJ19" s="23">
        <f t="shared" si="6"/>
        <v>17940.616512068882</v>
      </c>
      <c r="AK19" t="s">
        <v>23</v>
      </c>
      <c r="AL19" s="40">
        <f t="shared" si="7"/>
        <v>215.80951794630954</v>
      </c>
      <c r="AM19" s="41"/>
      <c r="AN19" s="19"/>
      <c r="AO19" s="19"/>
    </row>
    <row r="20" spans="1:41">
      <c r="A20" s="791"/>
      <c r="B20" s="786"/>
      <c r="C20" s="801"/>
      <c r="D20" s="786"/>
      <c r="E20" s="786"/>
      <c r="F20" s="84" t="s">
        <v>63</v>
      </c>
      <c r="G20" s="85" t="s">
        <v>18</v>
      </c>
      <c r="H20" s="86" t="s">
        <v>69</v>
      </c>
      <c r="I20" s="809"/>
      <c r="J20" s="798"/>
      <c r="N20" s="88" t="s">
        <v>70</v>
      </c>
      <c r="O20" s="89">
        <f>O19-O18</f>
        <v>16765.913873794314</v>
      </c>
      <c r="R20" s="73">
        <v>43539</v>
      </c>
      <c r="S20" s="38" t="s">
        <v>29</v>
      </c>
      <c r="T20" s="39">
        <f t="shared" si="10"/>
        <v>11845.161290322576</v>
      </c>
      <c r="U20" s="39">
        <f t="shared" si="1"/>
        <v>6500</v>
      </c>
      <c r="V20" s="23">
        <f t="shared" si="2"/>
        <v>11845.161290322576</v>
      </c>
      <c r="W20" t="s">
        <v>23</v>
      </c>
      <c r="X20" s="40">
        <f t="shared" si="3"/>
        <v>240</v>
      </c>
      <c r="Y20" s="53" t="s">
        <v>71</v>
      </c>
      <c r="Z20" s="54"/>
      <c r="AA20" s="78"/>
      <c r="AB20" s="78" t="s">
        <v>16</v>
      </c>
      <c r="AC20" s="90">
        <f>SUM(E21:E51)/31</f>
        <v>79806.451612903227</v>
      </c>
      <c r="AD20" s="79"/>
      <c r="AF20" s="73">
        <v>43539</v>
      </c>
      <c r="AG20" s="38" t="s">
        <v>29</v>
      </c>
      <c r="AH20" s="39">
        <f t="shared" si="11"/>
        <v>10764.369907241329</v>
      </c>
      <c r="AI20" s="39">
        <f t="shared" si="5"/>
        <v>5830.7003664223848</v>
      </c>
      <c r="AJ20" s="23">
        <f t="shared" si="6"/>
        <v>10764.369907241329</v>
      </c>
      <c r="AK20" t="s">
        <v>23</v>
      </c>
      <c r="AL20" s="40">
        <f t="shared" si="7"/>
        <v>215.80951794630954</v>
      </c>
      <c r="AM20" s="53" t="s">
        <v>71</v>
      </c>
      <c r="AN20" s="19"/>
      <c r="AO20" s="19"/>
    </row>
    <row r="21" spans="1:41">
      <c r="A21" s="37">
        <v>43525</v>
      </c>
      <c r="B21" s="38" t="s">
        <v>29</v>
      </c>
      <c r="C21" s="91">
        <v>25000</v>
      </c>
      <c r="D21" s="91">
        <v>8000</v>
      </c>
      <c r="E21" s="39">
        <f t="shared" ref="E21:E51" si="12">C21+D21*$O$3</f>
        <v>89000</v>
      </c>
      <c r="F21" s="39">
        <f t="shared" ref="F21:F51" si="13">C21+H21*$O$3</f>
        <v>53000</v>
      </c>
      <c r="G21" s="92">
        <v>4500</v>
      </c>
      <c r="H21" s="39">
        <f t="shared" ref="H21:H51" si="14">D21-G21</f>
        <v>3500</v>
      </c>
      <c r="I21" s="39"/>
      <c r="J21" s="93"/>
      <c r="N21" s="88" t="s">
        <v>72</v>
      </c>
      <c r="O21" s="94">
        <f>O20/26</f>
        <v>644.8428412997813</v>
      </c>
      <c r="R21" s="73">
        <v>43540</v>
      </c>
      <c r="S21" s="38" t="s">
        <v>33</v>
      </c>
      <c r="T21" s="39">
        <f t="shared" si="10"/>
        <v>11845.161290322576</v>
      </c>
      <c r="U21" s="39">
        <f t="shared" si="1"/>
        <v>6500</v>
      </c>
      <c r="V21" s="23">
        <f t="shared" si="2"/>
        <v>11845.161290322576</v>
      </c>
      <c r="W21" t="s">
        <v>23</v>
      </c>
      <c r="X21" s="40">
        <f t="shared" si="3"/>
        <v>240</v>
      </c>
      <c r="Y21" s="53" t="s">
        <v>71</v>
      </c>
      <c r="Z21" s="54"/>
      <c r="AA21" s="78"/>
      <c r="AB21" s="78" t="s">
        <v>25</v>
      </c>
      <c r="AC21" s="95">
        <v>300</v>
      </c>
      <c r="AD21" s="78" t="s">
        <v>26</v>
      </c>
      <c r="AF21" s="73">
        <v>43540</v>
      </c>
      <c r="AG21" s="38" t="s">
        <v>33</v>
      </c>
      <c r="AH21" s="39">
        <f t="shared" si="11"/>
        <v>10764.369907241329</v>
      </c>
      <c r="AI21" s="39">
        <f t="shared" si="5"/>
        <v>5830.7003664223848</v>
      </c>
      <c r="AJ21" s="23">
        <f t="shared" si="6"/>
        <v>10764.369907241329</v>
      </c>
      <c r="AK21" t="s">
        <v>23</v>
      </c>
      <c r="AL21" s="40">
        <f t="shared" si="7"/>
        <v>215.80951794630954</v>
      </c>
      <c r="AM21" s="53" t="s">
        <v>71</v>
      </c>
      <c r="AN21" s="19"/>
      <c r="AO21" s="19"/>
    </row>
    <row r="22" spans="1:41">
      <c r="A22" s="37">
        <v>43526</v>
      </c>
      <c r="B22" s="38" t="s">
        <v>33</v>
      </c>
      <c r="C22" s="91">
        <v>25000</v>
      </c>
      <c r="D22" s="91">
        <v>8000</v>
      </c>
      <c r="E22" s="39">
        <f t="shared" si="12"/>
        <v>89000</v>
      </c>
      <c r="F22" s="39">
        <f t="shared" si="13"/>
        <v>57000</v>
      </c>
      <c r="G22" s="92">
        <v>4000</v>
      </c>
      <c r="H22" s="39">
        <f t="shared" si="14"/>
        <v>4000</v>
      </c>
      <c r="I22" s="39"/>
      <c r="J22" s="93"/>
      <c r="R22" s="96">
        <v>43541</v>
      </c>
      <c r="S22" s="45" t="s">
        <v>37</v>
      </c>
      <c r="T22" s="46">
        <v>0</v>
      </c>
      <c r="U22" s="46">
        <f t="shared" si="1"/>
        <v>6500</v>
      </c>
      <c r="V22" s="97">
        <v>0</v>
      </c>
      <c r="W22" s="34" t="s">
        <v>561</v>
      </c>
      <c r="X22" s="48">
        <f t="shared" si="3"/>
        <v>195.47291835084883</v>
      </c>
      <c r="Y22" s="98" t="s">
        <v>71</v>
      </c>
      <c r="Z22" s="54"/>
      <c r="AA22" s="78"/>
      <c r="AB22" s="78" t="s">
        <v>28</v>
      </c>
      <c r="AC22" s="95">
        <v>0</v>
      </c>
      <c r="AD22" s="78" t="s">
        <v>26</v>
      </c>
      <c r="AF22" s="96">
        <v>43541</v>
      </c>
      <c r="AG22" s="45" t="s">
        <v>37</v>
      </c>
      <c r="AH22" s="46">
        <v>0</v>
      </c>
      <c r="AI22" s="46">
        <f t="shared" si="5"/>
        <v>5830.7003664223848</v>
      </c>
      <c r="AJ22" s="47">
        <f t="shared" si="6"/>
        <v>10764.369907241329</v>
      </c>
      <c r="AK22" s="34" t="s">
        <v>561</v>
      </c>
      <c r="AL22" s="48">
        <f t="shared" si="7"/>
        <v>175.34523333137651</v>
      </c>
      <c r="AM22" s="98" t="s">
        <v>71</v>
      </c>
      <c r="AN22" s="19"/>
      <c r="AO22" s="19"/>
    </row>
    <row r="23" spans="1:41">
      <c r="A23" s="44">
        <v>43527</v>
      </c>
      <c r="B23" s="45" t="s">
        <v>37</v>
      </c>
      <c r="C23" s="99">
        <v>0</v>
      </c>
      <c r="D23" s="99">
        <v>4000</v>
      </c>
      <c r="E23" s="46">
        <f t="shared" si="12"/>
        <v>32000</v>
      </c>
      <c r="F23" s="46">
        <f t="shared" si="13"/>
        <v>0</v>
      </c>
      <c r="G23" s="100">
        <v>4000</v>
      </c>
      <c r="H23" s="46">
        <f t="shared" si="14"/>
        <v>0</v>
      </c>
      <c r="I23" s="46"/>
      <c r="J23" s="101"/>
      <c r="R23" s="68">
        <v>43542</v>
      </c>
      <c r="S23" s="51" t="s">
        <v>41</v>
      </c>
      <c r="T23" s="39">
        <v>0</v>
      </c>
      <c r="U23" s="52">
        <v>8000</v>
      </c>
      <c r="V23" s="23">
        <f t="shared" ref="V23:V36" si="15">$O$11-(U23*$O$3)</f>
        <v>-154.83870967742405</v>
      </c>
      <c r="W23" t="s">
        <v>564</v>
      </c>
      <c r="X23" s="40">
        <f t="shared" si="3"/>
        <v>240.58205335489089</v>
      </c>
      <c r="Y23" s="53" t="s">
        <v>73</v>
      </c>
      <c r="Z23" s="54"/>
      <c r="AA23" s="78"/>
      <c r="AB23" s="78" t="s">
        <v>32</v>
      </c>
      <c r="AC23" s="102">
        <v>0.5</v>
      </c>
      <c r="AD23" s="78" t="s">
        <v>26</v>
      </c>
      <c r="AF23" s="68">
        <v>43542</v>
      </c>
      <c r="AG23" s="51" t="s">
        <v>41</v>
      </c>
      <c r="AH23" s="39">
        <v>0</v>
      </c>
      <c r="AI23" s="52">
        <f t="shared" si="5"/>
        <v>7176.246604827551</v>
      </c>
      <c r="AJ23" s="23">
        <f t="shared" si="6"/>
        <v>0</v>
      </c>
      <c r="AK23" t="s">
        <v>23</v>
      </c>
      <c r="AL23" s="40">
        <f t="shared" si="7"/>
        <v>215.80951794630954</v>
      </c>
      <c r="AM23" s="53" t="s">
        <v>73</v>
      </c>
      <c r="AN23" s="19"/>
      <c r="AO23" s="19"/>
    </row>
    <row r="24" spans="1:41">
      <c r="A24" s="50">
        <v>43528</v>
      </c>
      <c r="B24" s="51" t="s">
        <v>41</v>
      </c>
      <c r="C24" s="91">
        <v>25000</v>
      </c>
      <c r="D24" s="103">
        <v>8000</v>
      </c>
      <c r="E24" s="39">
        <f t="shared" si="12"/>
        <v>89000</v>
      </c>
      <c r="F24" s="39">
        <f t="shared" si="13"/>
        <v>29000</v>
      </c>
      <c r="G24" s="104">
        <v>7500</v>
      </c>
      <c r="H24" s="39">
        <f t="shared" si="14"/>
        <v>500</v>
      </c>
      <c r="I24" s="105"/>
      <c r="J24" s="106" t="s">
        <v>42</v>
      </c>
      <c r="R24" s="73">
        <v>43543</v>
      </c>
      <c r="S24" s="38" t="s">
        <v>46</v>
      </c>
      <c r="T24" s="39">
        <v>0</v>
      </c>
      <c r="U24" s="52">
        <v>7500</v>
      </c>
      <c r="V24" s="23">
        <f t="shared" si="15"/>
        <v>3845.161290322576</v>
      </c>
      <c r="W24" t="s">
        <v>565</v>
      </c>
      <c r="X24" s="40">
        <f t="shared" si="3"/>
        <v>225.54567502021021</v>
      </c>
      <c r="Y24" s="69" t="s">
        <v>74</v>
      </c>
      <c r="Z24" s="70"/>
      <c r="AA24" s="78"/>
      <c r="AB24" s="78" t="s">
        <v>36</v>
      </c>
      <c r="AC24" s="90">
        <f>AC21+AC22*AC23</f>
        <v>300</v>
      </c>
      <c r="AD24" s="79"/>
      <c r="AF24" s="73">
        <v>43543</v>
      </c>
      <c r="AG24" s="38" t="s">
        <v>46</v>
      </c>
      <c r="AH24" s="39">
        <v>0</v>
      </c>
      <c r="AI24" s="52">
        <f t="shared" si="5"/>
        <v>6727.7311920258289</v>
      </c>
      <c r="AJ24" s="23">
        <f t="shared" si="6"/>
        <v>3588.1233024137764</v>
      </c>
      <c r="AK24" t="s">
        <v>566</v>
      </c>
      <c r="AL24" s="40">
        <f t="shared" si="7"/>
        <v>202.3214230746652</v>
      </c>
      <c r="AM24" s="69" t="s">
        <v>74</v>
      </c>
      <c r="AN24" s="19"/>
      <c r="AO24" s="19"/>
    </row>
    <row r="25" spans="1:41">
      <c r="A25" s="37">
        <v>43529</v>
      </c>
      <c r="B25" s="38" t="s">
        <v>46</v>
      </c>
      <c r="C25" s="91">
        <v>25000</v>
      </c>
      <c r="D25" s="91">
        <v>8000</v>
      </c>
      <c r="E25" s="39">
        <f t="shared" si="12"/>
        <v>89000</v>
      </c>
      <c r="F25" s="39">
        <f t="shared" si="13"/>
        <v>41000</v>
      </c>
      <c r="G25" s="92">
        <v>6000</v>
      </c>
      <c r="H25" s="39">
        <f t="shared" si="14"/>
        <v>2000</v>
      </c>
      <c r="I25" s="39"/>
      <c r="J25" s="93"/>
      <c r="R25" s="73">
        <v>43544</v>
      </c>
      <c r="S25" s="38" t="s">
        <v>49</v>
      </c>
      <c r="T25" s="39">
        <f t="shared" ref="T25:T28" si="16">V25</f>
        <v>5445.161290322576</v>
      </c>
      <c r="U25" s="39">
        <f t="shared" ref="U25:U36" si="17">G40</f>
        <v>7300</v>
      </c>
      <c r="V25" s="23">
        <f t="shared" si="15"/>
        <v>5445.161290322576</v>
      </c>
      <c r="W25" t="s">
        <v>23</v>
      </c>
      <c r="X25" s="40">
        <f t="shared" si="3"/>
        <v>240</v>
      </c>
      <c r="Y25" s="53" t="s">
        <v>75</v>
      </c>
      <c r="Z25" s="54"/>
      <c r="AA25" s="78"/>
      <c r="AB25" s="78" t="s">
        <v>40</v>
      </c>
      <c r="AC25" s="90">
        <f>AC20/AC24</f>
        <v>266.02150537634407</v>
      </c>
      <c r="AD25" s="79"/>
      <c r="AF25" s="73">
        <v>43544</v>
      </c>
      <c r="AG25" s="38" t="s">
        <v>49</v>
      </c>
      <c r="AH25" s="39">
        <f t="shared" ref="AH25:AH28" si="18">AJ25</f>
        <v>5023.3726233792913</v>
      </c>
      <c r="AI25" s="39">
        <f t="shared" si="5"/>
        <v>6548.3250269051396</v>
      </c>
      <c r="AJ25" s="23">
        <f t="shared" si="6"/>
        <v>5023.3726233792913</v>
      </c>
      <c r="AK25" t="s">
        <v>23</v>
      </c>
      <c r="AL25" s="40">
        <f t="shared" si="7"/>
        <v>215.80951794630954</v>
      </c>
      <c r="AM25" s="53" t="s">
        <v>75</v>
      </c>
      <c r="AN25" s="19"/>
      <c r="AO25" s="19"/>
    </row>
    <row r="26" spans="1:41">
      <c r="A26" s="37">
        <v>43530</v>
      </c>
      <c r="B26" s="38" t="s">
        <v>49</v>
      </c>
      <c r="C26" s="91">
        <v>25000</v>
      </c>
      <c r="D26" s="91">
        <v>8000</v>
      </c>
      <c r="E26" s="39">
        <f t="shared" si="12"/>
        <v>89000</v>
      </c>
      <c r="F26" s="39">
        <f t="shared" si="13"/>
        <v>45000</v>
      </c>
      <c r="G26" s="92">
        <v>5500</v>
      </c>
      <c r="H26" s="39">
        <f t="shared" si="14"/>
        <v>2500</v>
      </c>
      <c r="I26" s="39"/>
      <c r="J26" s="93"/>
      <c r="R26" s="73">
        <v>43545</v>
      </c>
      <c r="S26" s="38" t="s">
        <v>51</v>
      </c>
      <c r="T26" s="39">
        <f t="shared" si="16"/>
        <v>5445.161290322576</v>
      </c>
      <c r="U26" s="39">
        <f t="shared" si="17"/>
        <v>7300</v>
      </c>
      <c r="V26" s="23">
        <f t="shared" si="15"/>
        <v>5445.161290322576</v>
      </c>
      <c r="W26" t="s">
        <v>23</v>
      </c>
      <c r="X26" s="40">
        <f t="shared" si="3"/>
        <v>240</v>
      </c>
      <c r="Y26" s="53" t="s">
        <v>75</v>
      </c>
      <c r="Z26" s="54"/>
      <c r="AA26" s="78" t="s">
        <v>11</v>
      </c>
      <c r="AB26" s="78" t="s">
        <v>45</v>
      </c>
      <c r="AC26" s="90">
        <f>AC24*(1-AD26)</f>
        <v>180</v>
      </c>
      <c r="AD26" s="107">
        <v>0.4</v>
      </c>
      <c r="AF26" s="73">
        <v>43545</v>
      </c>
      <c r="AG26" s="38" t="s">
        <v>51</v>
      </c>
      <c r="AH26" s="39">
        <f t="shared" si="18"/>
        <v>5023.3726233792913</v>
      </c>
      <c r="AI26" s="39">
        <f t="shared" si="5"/>
        <v>6548.3250269051396</v>
      </c>
      <c r="AJ26" s="23">
        <f t="shared" si="6"/>
        <v>5023.3726233792913</v>
      </c>
      <c r="AK26" t="s">
        <v>23</v>
      </c>
      <c r="AL26" s="40">
        <f t="shared" si="7"/>
        <v>215.80951794630954</v>
      </c>
      <c r="AM26" s="53" t="s">
        <v>75</v>
      </c>
      <c r="AN26" s="19"/>
      <c r="AO26" s="19"/>
    </row>
    <row r="27" spans="1:41">
      <c r="A27" s="37">
        <v>43531</v>
      </c>
      <c r="B27" s="38" t="s">
        <v>51</v>
      </c>
      <c r="C27" s="91">
        <v>25000</v>
      </c>
      <c r="D27" s="91">
        <v>8000</v>
      </c>
      <c r="E27" s="39">
        <f t="shared" si="12"/>
        <v>89000</v>
      </c>
      <c r="F27" s="39">
        <f t="shared" si="13"/>
        <v>45000</v>
      </c>
      <c r="G27" s="92">
        <v>5500</v>
      </c>
      <c r="H27" s="39">
        <f t="shared" si="14"/>
        <v>2500</v>
      </c>
      <c r="I27" s="39"/>
      <c r="J27" s="93"/>
      <c r="R27" s="73">
        <v>43546</v>
      </c>
      <c r="S27" s="38" t="s">
        <v>29</v>
      </c>
      <c r="T27" s="39">
        <f t="shared" si="16"/>
        <v>27845.161290322576</v>
      </c>
      <c r="U27" s="39">
        <f t="shared" si="17"/>
        <v>4500</v>
      </c>
      <c r="V27" s="23">
        <f t="shared" si="15"/>
        <v>27845.161290322576</v>
      </c>
      <c r="W27" t="s">
        <v>23</v>
      </c>
      <c r="X27" s="40">
        <f t="shared" si="3"/>
        <v>240</v>
      </c>
      <c r="Y27" s="41"/>
      <c r="Z27" s="15"/>
      <c r="AA27" s="79"/>
      <c r="AB27" s="78" t="s">
        <v>48</v>
      </c>
      <c r="AC27" s="90">
        <f>AC26*AC25</f>
        <v>47883.870967741932</v>
      </c>
      <c r="AD27" s="79"/>
      <c r="AF27" s="73">
        <v>43546</v>
      </c>
      <c r="AG27" s="38" t="s">
        <v>29</v>
      </c>
      <c r="AH27" s="39">
        <f t="shared" si="18"/>
        <v>25116.863116896431</v>
      </c>
      <c r="AI27" s="39">
        <f t="shared" si="5"/>
        <v>4036.6387152154971</v>
      </c>
      <c r="AJ27" s="23">
        <f t="shared" si="6"/>
        <v>25116.863116896431</v>
      </c>
      <c r="AK27" t="s">
        <v>23</v>
      </c>
      <c r="AL27" s="40">
        <f t="shared" si="7"/>
        <v>215.80951794630954</v>
      </c>
      <c r="AM27" s="41"/>
      <c r="AN27" s="19"/>
      <c r="AO27" s="19"/>
    </row>
    <row r="28" spans="1:41">
      <c r="A28" s="37">
        <v>43532</v>
      </c>
      <c r="B28" s="38" t="s">
        <v>29</v>
      </c>
      <c r="C28" s="91">
        <v>25000</v>
      </c>
      <c r="D28" s="91">
        <v>8000</v>
      </c>
      <c r="E28" s="39">
        <f t="shared" si="12"/>
        <v>89000</v>
      </c>
      <c r="F28" s="39">
        <f t="shared" si="13"/>
        <v>53000</v>
      </c>
      <c r="G28" s="92">
        <v>4500</v>
      </c>
      <c r="H28" s="39">
        <f t="shared" si="14"/>
        <v>3500</v>
      </c>
      <c r="I28" s="39"/>
      <c r="J28" s="93"/>
      <c r="R28" s="73">
        <v>43547</v>
      </c>
      <c r="S28" s="38" t="s">
        <v>33</v>
      </c>
      <c r="T28" s="39">
        <f t="shared" si="16"/>
        <v>31845.161290322576</v>
      </c>
      <c r="U28" s="39">
        <f t="shared" si="17"/>
        <v>4000</v>
      </c>
      <c r="V28" s="23">
        <f t="shared" si="15"/>
        <v>31845.161290322576</v>
      </c>
      <c r="W28" t="s">
        <v>23</v>
      </c>
      <c r="X28" s="40">
        <f t="shared" si="3"/>
        <v>240</v>
      </c>
      <c r="Y28" s="41"/>
      <c r="Z28" s="15"/>
      <c r="AA28" s="79"/>
      <c r="AB28" s="79"/>
      <c r="AC28" s="79"/>
      <c r="AD28" s="79"/>
      <c r="AF28" s="73">
        <v>43547</v>
      </c>
      <c r="AG28" s="38" t="s">
        <v>33</v>
      </c>
      <c r="AH28" s="39">
        <f t="shared" si="18"/>
        <v>28704.986419310204</v>
      </c>
      <c r="AI28" s="39">
        <f t="shared" si="5"/>
        <v>3588.1233024137755</v>
      </c>
      <c r="AJ28" s="23">
        <f t="shared" si="6"/>
        <v>28704.986419310204</v>
      </c>
      <c r="AK28" t="s">
        <v>23</v>
      </c>
      <c r="AL28" s="40">
        <f t="shared" si="7"/>
        <v>215.80951794630954</v>
      </c>
      <c r="AM28" s="41"/>
      <c r="AN28" s="19"/>
      <c r="AO28" s="19"/>
    </row>
    <row r="29" spans="1:41">
      <c r="A29" s="37">
        <v>43533</v>
      </c>
      <c r="B29" s="38" t="s">
        <v>33</v>
      </c>
      <c r="C29" s="91">
        <v>25000</v>
      </c>
      <c r="D29" s="91">
        <v>8000</v>
      </c>
      <c r="E29" s="39">
        <f t="shared" si="12"/>
        <v>89000</v>
      </c>
      <c r="F29" s="39">
        <f t="shared" si="13"/>
        <v>57000</v>
      </c>
      <c r="G29" s="92">
        <v>4000</v>
      </c>
      <c r="H29" s="39">
        <f t="shared" si="14"/>
        <v>4000</v>
      </c>
      <c r="I29" s="39"/>
      <c r="J29" s="93"/>
      <c r="R29" s="96">
        <v>43548</v>
      </c>
      <c r="S29" s="45" t="s">
        <v>37</v>
      </c>
      <c r="T29" s="46">
        <v>0</v>
      </c>
      <c r="U29" s="46">
        <f t="shared" si="17"/>
        <v>4000</v>
      </c>
      <c r="V29" s="47">
        <f t="shared" si="15"/>
        <v>31845.161290322576</v>
      </c>
      <c r="W29" s="34" t="s">
        <v>561</v>
      </c>
      <c r="X29" s="48">
        <f t="shared" si="3"/>
        <v>120.29102667744544</v>
      </c>
      <c r="Y29" s="49"/>
      <c r="Z29" s="15"/>
      <c r="AA29" s="78" t="s">
        <v>53</v>
      </c>
      <c r="AB29" s="78" t="s">
        <v>54</v>
      </c>
      <c r="AC29" s="78" t="s">
        <v>55</v>
      </c>
      <c r="AD29" s="79"/>
      <c r="AF29" s="96">
        <v>43548</v>
      </c>
      <c r="AG29" s="45" t="s">
        <v>37</v>
      </c>
      <c r="AH29" s="46">
        <v>0</v>
      </c>
      <c r="AI29" s="46">
        <f t="shared" si="5"/>
        <v>3588.1233024137755</v>
      </c>
      <c r="AJ29" s="47">
        <f t="shared" si="6"/>
        <v>28704.986419310204</v>
      </c>
      <c r="AK29" s="34" t="s">
        <v>561</v>
      </c>
      <c r="AL29" s="48">
        <f t="shared" si="7"/>
        <v>107.90475897315477</v>
      </c>
      <c r="AM29" s="49"/>
      <c r="AN29" s="19"/>
      <c r="AO29" s="19"/>
    </row>
    <row r="30" spans="1:41">
      <c r="A30" s="44">
        <v>43534</v>
      </c>
      <c r="B30" s="45" t="s">
        <v>37</v>
      </c>
      <c r="C30" s="99">
        <v>0</v>
      </c>
      <c r="D30" s="99">
        <v>4000</v>
      </c>
      <c r="E30" s="46">
        <f t="shared" si="12"/>
        <v>32000</v>
      </c>
      <c r="F30" s="46">
        <f t="shared" si="13"/>
        <v>0</v>
      </c>
      <c r="G30" s="100">
        <v>4000</v>
      </c>
      <c r="H30" s="46">
        <f t="shared" si="14"/>
        <v>0</v>
      </c>
      <c r="I30" s="46"/>
      <c r="J30" s="108"/>
      <c r="R30" s="68">
        <v>43549</v>
      </c>
      <c r="S30" s="51" t="s">
        <v>41</v>
      </c>
      <c r="T30" s="39">
        <v>2000</v>
      </c>
      <c r="U30" s="52">
        <f t="shared" si="17"/>
        <v>7500</v>
      </c>
      <c r="V30" s="23">
        <f t="shared" si="15"/>
        <v>3845.161290322576</v>
      </c>
      <c r="W30" t="s">
        <v>562</v>
      </c>
      <c r="X30" s="40">
        <f t="shared" si="3"/>
        <v>233.06386418755054</v>
      </c>
      <c r="Y30" s="69" t="s">
        <v>60</v>
      </c>
      <c r="Z30" s="70"/>
      <c r="AA30" s="78"/>
      <c r="AB30" s="78" t="s">
        <v>57</v>
      </c>
      <c r="AC30" s="102">
        <f>12695/5135</f>
        <v>2.4722492697176239</v>
      </c>
      <c r="AD30" s="79"/>
      <c r="AF30" s="68">
        <v>43549</v>
      </c>
      <c r="AG30" s="51" t="s">
        <v>41</v>
      </c>
      <c r="AH30" s="39">
        <v>2000</v>
      </c>
      <c r="AI30" s="52">
        <f t="shared" si="5"/>
        <v>6727.7311920258289</v>
      </c>
      <c r="AJ30" s="23">
        <f t="shared" si="6"/>
        <v>3588.1233024137764</v>
      </c>
      <c r="AK30" t="s">
        <v>563</v>
      </c>
      <c r="AL30" s="40">
        <f t="shared" si="7"/>
        <v>209.83961224200553</v>
      </c>
      <c r="AM30" s="69" t="s">
        <v>60</v>
      </c>
      <c r="AN30" s="19"/>
      <c r="AO30" s="19"/>
    </row>
    <row r="31" spans="1:41">
      <c r="A31" s="68">
        <v>43535</v>
      </c>
      <c r="B31" s="51" t="s">
        <v>41</v>
      </c>
      <c r="C31" s="91">
        <v>25000</v>
      </c>
      <c r="D31" s="103">
        <v>8000</v>
      </c>
      <c r="E31" s="39">
        <f t="shared" si="12"/>
        <v>89000</v>
      </c>
      <c r="F31" s="39">
        <f t="shared" si="13"/>
        <v>29000</v>
      </c>
      <c r="G31" s="104">
        <v>7500</v>
      </c>
      <c r="H31" s="39">
        <f t="shared" si="14"/>
        <v>500</v>
      </c>
      <c r="I31" s="105"/>
      <c r="J31" s="106" t="s">
        <v>76</v>
      </c>
      <c r="R31" s="73">
        <v>43550</v>
      </c>
      <c r="S31" s="38" t="s">
        <v>46</v>
      </c>
      <c r="T31" s="39">
        <f t="shared" ref="T31:T34" si="19">V31</f>
        <v>15845.161290322576</v>
      </c>
      <c r="U31" s="39">
        <f t="shared" si="17"/>
        <v>6000</v>
      </c>
      <c r="V31" s="23">
        <f t="shared" si="15"/>
        <v>15845.161290322576</v>
      </c>
      <c r="W31" t="s">
        <v>23</v>
      </c>
      <c r="X31" s="40">
        <f t="shared" si="3"/>
        <v>240</v>
      </c>
      <c r="Y31" s="41"/>
      <c r="Z31" s="15"/>
      <c r="AA31" s="78"/>
      <c r="AB31" s="78" t="s">
        <v>58</v>
      </c>
      <c r="AC31" s="78">
        <v>31</v>
      </c>
      <c r="AD31" s="79"/>
      <c r="AF31" s="73">
        <v>43550</v>
      </c>
      <c r="AG31" s="38" t="s">
        <v>46</v>
      </c>
      <c r="AH31" s="39">
        <f t="shared" ref="AH31:AH34" si="20">AJ31</f>
        <v>14352.493209655106</v>
      </c>
      <c r="AI31" s="39">
        <f t="shared" si="5"/>
        <v>5382.1849536206628</v>
      </c>
      <c r="AJ31" s="23">
        <f t="shared" si="6"/>
        <v>14352.493209655106</v>
      </c>
      <c r="AK31" t="s">
        <v>23</v>
      </c>
      <c r="AL31" s="40">
        <f t="shared" si="7"/>
        <v>215.80951794630954</v>
      </c>
      <c r="AM31" s="41"/>
      <c r="AN31" s="19"/>
      <c r="AO31" s="19"/>
    </row>
    <row r="32" spans="1:41">
      <c r="A32" s="73">
        <v>43536</v>
      </c>
      <c r="B32" s="38" t="s">
        <v>46</v>
      </c>
      <c r="C32" s="91">
        <v>25000</v>
      </c>
      <c r="D32" s="91">
        <v>8000</v>
      </c>
      <c r="E32" s="39">
        <f t="shared" si="12"/>
        <v>89000</v>
      </c>
      <c r="F32" s="39">
        <f t="shared" si="13"/>
        <v>41000</v>
      </c>
      <c r="G32" s="92">
        <v>6000</v>
      </c>
      <c r="H32" s="39">
        <f t="shared" si="14"/>
        <v>2000</v>
      </c>
      <c r="I32" s="39"/>
      <c r="J32" s="93"/>
      <c r="R32" s="73">
        <v>43551</v>
      </c>
      <c r="S32" s="38" t="s">
        <v>49</v>
      </c>
      <c r="T32" s="39">
        <f t="shared" si="19"/>
        <v>19845.161290322576</v>
      </c>
      <c r="U32" s="39">
        <f t="shared" si="17"/>
        <v>5500</v>
      </c>
      <c r="V32" s="23">
        <f t="shared" si="15"/>
        <v>19845.161290322576</v>
      </c>
      <c r="W32" t="s">
        <v>23</v>
      </c>
      <c r="X32" s="40">
        <f t="shared" si="3"/>
        <v>240</v>
      </c>
      <c r="Y32" s="41"/>
      <c r="Z32" s="15"/>
      <c r="AA32" s="78"/>
      <c r="AB32" s="78" t="s">
        <v>59</v>
      </c>
      <c r="AC32" s="90">
        <f>SUM(G21:G51)</f>
        <v>173600</v>
      </c>
      <c r="AD32" s="79"/>
      <c r="AF32" s="73">
        <v>43551</v>
      </c>
      <c r="AG32" s="38" t="s">
        <v>49</v>
      </c>
      <c r="AH32" s="39">
        <f t="shared" si="20"/>
        <v>17940.616512068882</v>
      </c>
      <c r="AI32" s="39">
        <f t="shared" si="5"/>
        <v>4933.6695408189407</v>
      </c>
      <c r="AJ32" s="23">
        <f t="shared" si="6"/>
        <v>17940.616512068882</v>
      </c>
      <c r="AK32" t="s">
        <v>23</v>
      </c>
      <c r="AL32" s="40">
        <f t="shared" si="7"/>
        <v>215.80951794630954</v>
      </c>
      <c r="AM32" s="41"/>
      <c r="AN32" s="19"/>
      <c r="AO32" s="19"/>
    </row>
    <row r="33" spans="1:41">
      <c r="A33" s="73">
        <v>43537</v>
      </c>
      <c r="B33" s="38" t="s">
        <v>49</v>
      </c>
      <c r="C33" s="91">
        <v>25000</v>
      </c>
      <c r="D33" s="91">
        <v>8000</v>
      </c>
      <c r="E33" s="39">
        <f t="shared" si="12"/>
        <v>89000</v>
      </c>
      <c r="F33" s="39">
        <f t="shared" si="13"/>
        <v>45000</v>
      </c>
      <c r="G33" s="92">
        <v>5500</v>
      </c>
      <c r="H33" s="39">
        <f t="shared" si="14"/>
        <v>2500</v>
      </c>
      <c r="I33" s="39"/>
      <c r="J33" s="93"/>
      <c r="R33" s="73">
        <v>43552</v>
      </c>
      <c r="S33" s="38" t="s">
        <v>51</v>
      </c>
      <c r="T33" s="39">
        <f t="shared" si="19"/>
        <v>19845.161290322576</v>
      </c>
      <c r="U33" s="39">
        <f t="shared" si="17"/>
        <v>5500</v>
      </c>
      <c r="V33" s="23">
        <f t="shared" si="15"/>
        <v>19845.161290322576</v>
      </c>
      <c r="W33" t="s">
        <v>23</v>
      </c>
      <c r="X33" s="40">
        <f t="shared" si="3"/>
        <v>240</v>
      </c>
      <c r="Y33" s="41"/>
      <c r="Z33" s="15"/>
      <c r="AA33" s="79"/>
      <c r="AB33" s="78" t="s">
        <v>62</v>
      </c>
      <c r="AC33" s="90">
        <f>AC32/AC31</f>
        <v>5600</v>
      </c>
      <c r="AD33" s="79"/>
      <c r="AF33" s="73">
        <v>43552</v>
      </c>
      <c r="AG33" s="38" t="s">
        <v>51</v>
      </c>
      <c r="AH33" s="39">
        <f t="shared" si="20"/>
        <v>17940.616512068882</v>
      </c>
      <c r="AI33" s="39">
        <f t="shared" si="5"/>
        <v>4933.6695408189407</v>
      </c>
      <c r="AJ33" s="23">
        <f t="shared" si="6"/>
        <v>17940.616512068882</v>
      </c>
      <c r="AK33" t="s">
        <v>23</v>
      </c>
      <c r="AL33" s="40">
        <f t="shared" si="7"/>
        <v>215.80951794630954</v>
      </c>
      <c r="AM33" s="41"/>
      <c r="AN33" s="19"/>
      <c r="AO33" s="19"/>
    </row>
    <row r="34" spans="1:41">
      <c r="A34" s="73">
        <v>43538</v>
      </c>
      <c r="B34" s="38" t="s">
        <v>51</v>
      </c>
      <c r="C34" s="91">
        <v>25000</v>
      </c>
      <c r="D34" s="91">
        <v>8000</v>
      </c>
      <c r="E34" s="39">
        <f t="shared" si="12"/>
        <v>89000</v>
      </c>
      <c r="F34" s="39">
        <f t="shared" si="13"/>
        <v>45000</v>
      </c>
      <c r="G34" s="92">
        <v>5500</v>
      </c>
      <c r="H34" s="39">
        <f t="shared" si="14"/>
        <v>2500</v>
      </c>
      <c r="I34" s="39"/>
      <c r="J34" s="93"/>
      <c r="R34" s="73">
        <v>43553</v>
      </c>
      <c r="S34" s="38" t="s">
        <v>29</v>
      </c>
      <c r="T34" s="39">
        <f t="shared" si="19"/>
        <v>27845.161290322576</v>
      </c>
      <c r="U34" s="39">
        <f t="shared" si="17"/>
        <v>4500</v>
      </c>
      <c r="V34" s="23">
        <f t="shared" si="15"/>
        <v>27845.161290322576</v>
      </c>
      <c r="W34" t="s">
        <v>23</v>
      </c>
      <c r="X34" s="40">
        <f t="shared" si="3"/>
        <v>240</v>
      </c>
      <c r="Y34" s="41"/>
      <c r="Z34" s="15"/>
      <c r="AA34" s="79"/>
      <c r="AB34" s="109" t="s">
        <v>34</v>
      </c>
      <c r="AC34" s="110">
        <f>AC32*AC30</f>
        <v>429182.47322297952</v>
      </c>
      <c r="AD34" s="79"/>
      <c r="AF34" s="73">
        <v>43553</v>
      </c>
      <c r="AG34" s="38" t="s">
        <v>29</v>
      </c>
      <c r="AH34" s="39">
        <f t="shared" si="20"/>
        <v>25116.863116896431</v>
      </c>
      <c r="AI34" s="39">
        <f t="shared" si="5"/>
        <v>4036.6387152154971</v>
      </c>
      <c r="AJ34" s="23">
        <f t="shared" si="6"/>
        <v>25116.863116896431</v>
      </c>
      <c r="AK34" t="s">
        <v>23</v>
      </c>
      <c r="AL34" s="40">
        <f t="shared" si="7"/>
        <v>215.80951794630954</v>
      </c>
      <c r="AM34" s="41"/>
      <c r="AN34" s="19"/>
      <c r="AO34" s="19"/>
    </row>
    <row r="35" spans="1:41">
      <c r="A35" s="73">
        <v>43539</v>
      </c>
      <c r="B35" s="38" t="s">
        <v>29</v>
      </c>
      <c r="C35" s="91">
        <v>25000</v>
      </c>
      <c r="D35" s="91">
        <v>8000</v>
      </c>
      <c r="E35" s="39">
        <f t="shared" si="12"/>
        <v>89000</v>
      </c>
      <c r="F35" s="39">
        <f t="shared" si="13"/>
        <v>37000</v>
      </c>
      <c r="G35" s="92">
        <v>6500</v>
      </c>
      <c r="H35" s="39">
        <f t="shared" si="14"/>
        <v>1500</v>
      </c>
      <c r="I35" s="39"/>
      <c r="J35" s="106" t="s">
        <v>71</v>
      </c>
      <c r="R35" s="73">
        <v>43554</v>
      </c>
      <c r="S35" s="38" t="s">
        <v>33</v>
      </c>
      <c r="T35" s="39">
        <f>V35-U39</f>
        <v>31845.161290322576</v>
      </c>
      <c r="U35" s="39">
        <f t="shared" si="17"/>
        <v>4000</v>
      </c>
      <c r="V35" s="23">
        <f t="shared" si="15"/>
        <v>31845.161290322576</v>
      </c>
      <c r="W35" t="s">
        <v>23</v>
      </c>
      <c r="X35" s="40">
        <f t="shared" si="3"/>
        <v>240</v>
      </c>
      <c r="Y35" s="41"/>
      <c r="Z35" s="15"/>
      <c r="AA35" s="79"/>
      <c r="AB35" s="109" t="s">
        <v>68</v>
      </c>
      <c r="AC35" s="110">
        <f>SUM(AH6:AH36)</f>
        <v>403564.06190744636</v>
      </c>
      <c r="AD35" s="79"/>
      <c r="AF35" s="73">
        <v>43554</v>
      </c>
      <c r="AG35" s="38" t="s">
        <v>33</v>
      </c>
      <c r="AH35" s="39">
        <f>AJ35-AI39</f>
        <v>28704.986419310204</v>
      </c>
      <c r="AI35" s="39">
        <f t="shared" si="5"/>
        <v>3588.1233024137755</v>
      </c>
      <c r="AJ35" s="23">
        <f t="shared" si="6"/>
        <v>28704.986419310204</v>
      </c>
      <c r="AK35" t="s">
        <v>23</v>
      </c>
      <c r="AL35" s="40">
        <f t="shared" si="7"/>
        <v>215.80951794630954</v>
      </c>
      <c r="AM35" s="41"/>
      <c r="AN35" s="19"/>
      <c r="AO35" s="19"/>
    </row>
    <row r="36" spans="1:41">
      <c r="A36" s="73">
        <v>43540</v>
      </c>
      <c r="B36" s="38" t="s">
        <v>33</v>
      </c>
      <c r="C36" s="91">
        <v>25000</v>
      </c>
      <c r="D36" s="91">
        <v>8000</v>
      </c>
      <c r="E36" s="39">
        <f t="shared" si="12"/>
        <v>89000</v>
      </c>
      <c r="F36" s="39">
        <f t="shared" si="13"/>
        <v>37000</v>
      </c>
      <c r="G36" s="92">
        <v>6500</v>
      </c>
      <c r="H36" s="39">
        <f t="shared" si="14"/>
        <v>1500</v>
      </c>
      <c r="I36" s="39"/>
      <c r="J36" s="106" t="s">
        <v>71</v>
      </c>
      <c r="R36" s="96">
        <v>43555</v>
      </c>
      <c r="S36" s="45" t="s">
        <v>37</v>
      </c>
      <c r="T36" s="46">
        <v>0</v>
      </c>
      <c r="U36" s="46">
        <f t="shared" si="17"/>
        <v>4000</v>
      </c>
      <c r="V36" s="47">
        <f t="shared" si="15"/>
        <v>31845.161290322576</v>
      </c>
      <c r="W36" s="34" t="s">
        <v>561</v>
      </c>
      <c r="X36" s="48">
        <f t="shared" si="3"/>
        <v>120.29102667744544</v>
      </c>
      <c r="Y36" s="49"/>
      <c r="Z36" s="15"/>
      <c r="AA36" s="79"/>
      <c r="AB36" s="78" t="s">
        <v>70</v>
      </c>
      <c r="AC36" s="90">
        <f>AC35-AC34</f>
        <v>-25618.411315533158</v>
      </c>
      <c r="AD36" s="79"/>
      <c r="AF36" s="96">
        <v>43555</v>
      </c>
      <c r="AG36" s="45" t="s">
        <v>37</v>
      </c>
      <c r="AH36" s="46">
        <v>0</v>
      </c>
      <c r="AI36" s="46">
        <f t="shared" si="5"/>
        <v>3588.1233024137755</v>
      </c>
      <c r="AJ36" s="47">
        <f t="shared" si="6"/>
        <v>28704.986419310204</v>
      </c>
      <c r="AK36" s="34" t="s">
        <v>561</v>
      </c>
      <c r="AL36" s="48">
        <f t="shared" si="7"/>
        <v>107.90475897315477</v>
      </c>
      <c r="AM36" s="49"/>
      <c r="AN36" s="19"/>
      <c r="AO36" s="19"/>
    </row>
    <row r="37" spans="1:41">
      <c r="A37" s="96">
        <v>43541</v>
      </c>
      <c r="B37" s="45" t="s">
        <v>37</v>
      </c>
      <c r="C37" s="99">
        <v>0</v>
      </c>
      <c r="D37" s="99">
        <v>4000</v>
      </c>
      <c r="E37" s="46">
        <f t="shared" si="12"/>
        <v>32000</v>
      </c>
      <c r="F37" s="46">
        <f t="shared" si="13"/>
        <v>-20000</v>
      </c>
      <c r="G37" s="100">
        <v>6500</v>
      </c>
      <c r="H37" s="46">
        <f t="shared" si="14"/>
        <v>-2500</v>
      </c>
      <c r="I37" s="46"/>
      <c r="J37" s="111" t="s">
        <v>71</v>
      </c>
      <c r="R37" s="112"/>
      <c r="S37" s="113"/>
      <c r="T37" s="114">
        <f t="shared" ref="T37:U37" si="21">SUM(T6:T36)</f>
        <v>445948.38709677383</v>
      </c>
      <c r="U37" s="114">
        <f t="shared" si="21"/>
        <v>173100</v>
      </c>
      <c r="AA37" s="79"/>
      <c r="AB37" s="78" t="s">
        <v>72</v>
      </c>
      <c r="AC37" s="115">
        <f>AC36/26</f>
        <v>-985.32351213589072</v>
      </c>
      <c r="AD37" s="79"/>
      <c r="AF37" s="112"/>
      <c r="AG37" s="113"/>
      <c r="AH37" s="114">
        <f t="shared" ref="AH37:AI37" si="22">SUM(AH6:AH36)</f>
        <v>403564.06190744636</v>
      </c>
      <c r="AI37" s="114">
        <f t="shared" si="22"/>
        <v>155276.0359119561</v>
      </c>
      <c r="AN37" s="9"/>
      <c r="AO37" s="9"/>
    </row>
    <row r="38" spans="1:41">
      <c r="A38" s="68">
        <v>43542</v>
      </c>
      <c r="B38" s="51" t="s">
        <v>41</v>
      </c>
      <c r="C38" s="91">
        <v>25000</v>
      </c>
      <c r="D38" s="116">
        <v>8000</v>
      </c>
      <c r="E38" s="39">
        <f t="shared" si="12"/>
        <v>89000</v>
      </c>
      <c r="F38" s="39">
        <f t="shared" si="13"/>
        <v>13000</v>
      </c>
      <c r="G38" s="117">
        <v>9500</v>
      </c>
      <c r="H38" s="39">
        <f t="shared" si="14"/>
        <v>-1500</v>
      </c>
      <c r="I38" s="118"/>
      <c r="J38" s="106" t="s">
        <v>73</v>
      </c>
      <c r="T38">
        <f>T37/26</f>
        <v>17151.861042183609</v>
      </c>
      <c r="U38">
        <f>T37/U37</f>
        <v>2.5762471813793981</v>
      </c>
      <c r="AN38" s="9"/>
      <c r="AO38" s="9"/>
    </row>
    <row r="39" spans="1:41">
      <c r="A39" s="73">
        <v>43543</v>
      </c>
      <c r="B39" s="38" t="s">
        <v>46</v>
      </c>
      <c r="C39" s="91">
        <v>25000</v>
      </c>
      <c r="D39" s="116">
        <v>8000</v>
      </c>
      <c r="E39" s="39">
        <f t="shared" si="12"/>
        <v>89000</v>
      </c>
      <c r="F39" s="39">
        <f t="shared" si="13"/>
        <v>37000</v>
      </c>
      <c r="G39" s="117">
        <v>6500</v>
      </c>
      <c r="H39" s="39">
        <f t="shared" si="14"/>
        <v>1500</v>
      </c>
      <c r="I39" s="118"/>
      <c r="J39" s="106" t="s">
        <v>77</v>
      </c>
      <c r="N39" s="4" t="s">
        <v>78</v>
      </c>
      <c r="AN39" s="9"/>
      <c r="AO39" s="9"/>
    </row>
    <row r="40" spans="1:41">
      <c r="A40" s="73">
        <v>43544</v>
      </c>
      <c r="B40" s="38" t="s">
        <v>49</v>
      </c>
      <c r="C40" s="91">
        <v>25000</v>
      </c>
      <c r="D40" s="116">
        <v>8000</v>
      </c>
      <c r="E40" s="39">
        <f t="shared" si="12"/>
        <v>89000</v>
      </c>
      <c r="F40" s="39">
        <f t="shared" si="13"/>
        <v>30600</v>
      </c>
      <c r="G40" s="117">
        <v>7300</v>
      </c>
      <c r="H40" s="39">
        <f t="shared" si="14"/>
        <v>700</v>
      </c>
      <c r="I40" s="118"/>
      <c r="J40" s="106" t="s">
        <v>75</v>
      </c>
      <c r="N40" s="4" t="s">
        <v>79</v>
      </c>
      <c r="AN40" s="9"/>
      <c r="AO40" s="9"/>
    </row>
    <row r="41" spans="1:41">
      <c r="A41" s="73">
        <v>43545</v>
      </c>
      <c r="B41" s="38" t="s">
        <v>51</v>
      </c>
      <c r="C41" s="91">
        <v>25000</v>
      </c>
      <c r="D41" s="116">
        <v>8000</v>
      </c>
      <c r="E41" s="39">
        <f t="shared" si="12"/>
        <v>89000</v>
      </c>
      <c r="F41" s="39">
        <f t="shared" si="13"/>
        <v>30600</v>
      </c>
      <c r="G41" s="117">
        <v>7300</v>
      </c>
      <c r="H41" s="39">
        <f t="shared" si="14"/>
        <v>700</v>
      </c>
      <c r="I41" s="118"/>
      <c r="J41" s="106" t="s">
        <v>75</v>
      </c>
      <c r="N41" s="119" t="s">
        <v>80</v>
      </c>
      <c r="AB41" s="119"/>
      <c r="AN41" s="9"/>
      <c r="AO41" s="9"/>
    </row>
    <row r="42" spans="1:41">
      <c r="A42" s="73">
        <v>43546</v>
      </c>
      <c r="B42" s="38" t="s">
        <v>29</v>
      </c>
      <c r="C42" s="91">
        <v>25000</v>
      </c>
      <c r="D42" s="116">
        <v>8000</v>
      </c>
      <c r="E42" s="39">
        <f t="shared" si="12"/>
        <v>89000</v>
      </c>
      <c r="F42" s="39">
        <f t="shared" si="13"/>
        <v>53000</v>
      </c>
      <c r="G42" s="120">
        <v>4500</v>
      </c>
      <c r="H42" s="39">
        <f t="shared" si="14"/>
        <v>3500</v>
      </c>
      <c r="I42" s="118"/>
      <c r="J42" s="93"/>
      <c r="AN42" s="9"/>
      <c r="AO42" s="9"/>
    </row>
    <row r="43" spans="1:41">
      <c r="A43" s="73">
        <v>43547</v>
      </c>
      <c r="B43" s="38" t="s">
        <v>33</v>
      </c>
      <c r="C43" s="91">
        <v>25000</v>
      </c>
      <c r="D43" s="116">
        <v>8000</v>
      </c>
      <c r="E43" s="39">
        <f t="shared" si="12"/>
        <v>89000</v>
      </c>
      <c r="F43" s="39">
        <f t="shared" si="13"/>
        <v>57000</v>
      </c>
      <c r="G43" s="120">
        <v>4000</v>
      </c>
      <c r="H43" s="39">
        <f t="shared" si="14"/>
        <v>4000</v>
      </c>
      <c r="I43" s="118"/>
      <c r="J43" s="93"/>
      <c r="AN43" s="9"/>
      <c r="AO43" s="9"/>
    </row>
    <row r="44" spans="1:41">
      <c r="A44" s="96">
        <v>43548</v>
      </c>
      <c r="B44" s="45" t="s">
        <v>37</v>
      </c>
      <c r="C44" s="99">
        <v>0</v>
      </c>
      <c r="D44" s="99">
        <v>4000</v>
      </c>
      <c r="E44" s="46">
        <f t="shared" si="12"/>
        <v>32000</v>
      </c>
      <c r="F44" s="46">
        <f t="shared" si="13"/>
        <v>0</v>
      </c>
      <c r="G44" s="121">
        <v>4000</v>
      </c>
      <c r="H44" s="46">
        <f t="shared" si="14"/>
        <v>0</v>
      </c>
      <c r="I44" s="122"/>
      <c r="J44" s="101"/>
      <c r="AN44" s="9"/>
      <c r="AO44" s="9"/>
    </row>
    <row r="45" spans="1:41">
      <c r="A45" s="68">
        <v>43549</v>
      </c>
      <c r="B45" s="51" t="s">
        <v>41</v>
      </c>
      <c r="C45" s="91">
        <v>25000</v>
      </c>
      <c r="D45" s="116">
        <v>8000</v>
      </c>
      <c r="E45" s="39">
        <f t="shared" si="12"/>
        <v>89000</v>
      </c>
      <c r="F45" s="39">
        <f t="shared" si="13"/>
        <v>29000</v>
      </c>
      <c r="G45" s="117">
        <v>7500</v>
      </c>
      <c r="H45" s="39">
        <f t="shared" si="14"/>
        <v>500</v>
      </c>
      <c r="I45" s="118"/>
      <c r="J45" s="106" t="s">
        <v>76</v>
      </c>
      <c r="AN45" s="9"/>
      <c r="AO45" s="9"/>
    </row>
    <row r="46" spans="1:41">
      <c r="A46" s="73">
        <v>43550</v>
      </c>
      <c r="B46" s="38" t="s">
        <v>46</v>
      </c>
      <c r="C46" s="91">
        <v>25000</v>
      </c>
      <c r="D46" s="116">
        <v>8000</v>
      </c>
      <c r="E46" s="39">
        <f t="shared" si="12"/>
        <v>89000</v>
      </c>
      <c r="F46" s="39">
        <f t="shared" si="13"/>
        <v>41000</v>
      </c>
      <c r="G46" s="120">
        <v>6000</v>
      </c>
      <c r="H46" s="39">
        <f t="shared" si="14"/>
        <v>2000</v>
      </c>
      <c r="I46" s="118"/>
      <c r="J46" s="93"/>
      <c r="AN46" s="9"/>
      <c r="AO46" s="9"/>
    </row>
    <row r="47" spans="1:41">
      <c r="A47" s="73">
        <v>43551</v>
      </c>
      <c r="B47" s="38" t="s">
        <v>49</v>
      </c>
      <c r="C47" s="91">
        <v>25000</v>
      </c>
      <c r="D47" s="116">
        <v>8000</v>
      </c>
      <c r="E47" s="39">
        <f t="shared" si="12"/>
        <v>89000</v>
      </c>
      <c r="F47" s="39">
        <f t="shared" si="13"/>
        <v>45000</v>
      </c>
      <c r="G47" s="120">
        <v>5500</v>
      </c>
      <c r="H47" s="39">
        <f t="shared" si="14"/>
        <v>2500</v>
      </c>
      <c r="I47" s="118"/>
      <c r="J47" s="93"/>
      <c r="AN47" s="9"/>
      <c r="AO47" s="9"/>
    </row>
    <row r="48" spans="1:41">
      <c r="A48" s="73">
        <v>43552</v>
      </c>
      <c r="B48" s="38" t="s">
        <v>51</v>
      </c>
      <c r="C48" s="91">
        <v>25000</v>
      </c>
      <c r="D48" s="116">
        <v>8000</v>
      </c>
      <c r="E48" s="39">
        <f t="shared" si="12"/>
        <v>89000</v>
      </c>
      <c r="F48" s="39">
        <f t="shared" si="13"/>
        <v>45000</v>
      </c>
      <c r="G48" s="120">
        <v>5500</v>
      </c>
      <c r="H48" s="39">
        <f t="shared" si="14"/>
        <v>2500</v>
      </c>
      <c r="J48" s="93"/>
      <c r="AN48" s="9"/>
      <c r="AO48" s="9"/>
    </row>
    <row r="49" spans="1:41">
      <c r="A49" s="73">
        <v>43553</v>
      </c>
      <c r="B49" s="38" t="s">
        <v>29</v>
      </c>
      <c r="C49" s="91">
        <v>25000</v>
      </c>
      <c r="D49" s="116">
        <v>8000</v>
      </c>
      <c r="E49" s="39">
        <f t="shared" si="12"/>
        <v>89000</v>
      </c>
      <c r="F49" s="39">
        <f t="shared" si="13"/>
        <v>53000</v>
      </c>
      <c r="G49" s="120">
        <v>4500</v>
      </c>
      <c r="H49" s="39">
        <f t="shared" si="14"/>
        <v>3500</v>
      </c>
      <c r="I49" s="2"/>
      <c r="J49" s="93"/>
      <c r="AN49" s="9"/>
      <c r="AO49" s="9"/>
    </row>
    <row r="50" spans="1:41">
      <c r="A50" s="73">
        <v>43554</v>
      </c>
      <c r="B50" s="38" t="s">
        <v>33</v>
      </c>
      <c r="C50" s="91">
        <v>25000</v>
      </c>
      <c r="D50" s="116">
        <v>8000</v>
      </c>
      <c r="E50" s="39">
        <f t="shared" si="12"/>
        <v>89000</v>
      </c>
      <c r="F50" s="39">
        <f t="shared" si="13"/>
        <v>57000</v>
      </c>
      <c r="G50" s="120">
        <v>4000</v>
      </c>
      <c r="H50" s="39">
        <f t="shared" si="14"/>
        <v>4000</v>
      </c>
      <c r="I50" s="2"/>
      <c r="J50" s="93"/>
      <c r="AN50" s="9"/>
      <c r="AO50" s="9"/>
    </row>
    <row r="51" spans="1:41" ht="14">
      <c r="A51" s="96">
        <v>43555</v>
      </c>
      <c r="B51" s="45" t="s">
        <v>37</v>
      </c>
      <c r="C51" s="99">
        <v>0</v>
      </c>
      <c r="D51" s="99">
        <v>4000</v>
      </c>
      <c r="E51" s="46">
        <f t="shared" si="12"/>
        <v>32000</v>
      </c>
      <c r="F51" s="46">
        <f t="shared" si="13"/>
        <v>0</v>
      </c>
      <c r="G51" s="121">
        <v>4000</v>
      </c>
      <c r="H51" s="46">
        <f t="shared" si="14"/>
        <v>0</v>
      </c>
      <c r="I51" s="122"/>
      <c r="J51" s="101"/>
      <c r="AN51" s="9"/>
      <c r="AO51" s="9"/>
    </row>
    <row r="52" spans="1:41" ht="13">
      <c r="A52" s="2"/>
      <c r="B52" s="2"/>
      <c r="C52" s="2"/>
      <c r="D52" s="2"/>
      <c r="E52" s="2"/>
      <c r="F52" s="2"/>
      <c r="G52" s="2"/>
      <c r="H52" s="2"/>
      <c r="I52" s="2"/>
      <c r="AN52" s="9"/>
      <c r="AO52" s="9"/>
    </row>
    <row r="53" spans="1:41" ht="13">
      <c r="A53" s="2"/>
      <c r="B53" s="2"/>
      <c r="C53" s="2"/>
      <c r="D53" s="2"/>
      <c r="E53" s="2"/>
      <c r="F53" s="2"/>
      <c r="G53" s="2"/>
      <c r="H53" s="2"/>
      <c r="I53" s="2"/>
      <c r="J53" s="2"/>
      <c r="AN53" s="9"/>
      <c r="AO53" s="9"/>
    </row>
    <row r="54" spans="1:41" ht="13">
      <c r="A54" s="2"/>
      <c r="B54" s="2"/>
      <c r="C54" s="2"/>
      <c r="D54" s="2"/>
      <c r="E54" s="2"/>
      <c r="F54" s="2"/>
      <c r="G54" s="2"/>
      <c r="H54" s="2"/>
      <c r="I54" s="2"/>
      <c r="J54" s="2"/>
      <c r="AN54" s="9"/>
      <c r="AO54" s="9"/>
    </row>
    <row r="55" spans="1:41" ht="13">
      <c r="A55" s="2"/>
      <c r="B55" s="2"/>
      <c r="C55" s="2"/>
      <c r="D55" s="2"/>
      <c r="E55" s="2"/>
      <c r="F55" s="2"/>
      <c r="G55" s="2"/>
      <c r="H55" s="2"/>
      <c r="I55" s="2"/>
      <c r="J55" s="13" t="s">
        <v>81</v>
      </c>
      <c r="L55" s="112" t="s">
        <v>82</v>
      </c>
      <c r="O55" s="113"/>
      <c r="AN55" s="9"/>
      <c r="AO55" s="9"/>
    </row>
    <row r="56" spans="1:41" ht="13">
      <c r="A56" s="2"/>
      <c r="B56" s="2"/>
      <c r="C56" s="2"/>
      <c r="D56" s="2"/>
      <c r="E56" s="2"/>
      <c r="F56" s="2"/>
      <c r="G56" s="2"/>
      <c r="H56" s="2"/>
      <c r="I56" s="2"/>
      <c r="J56" s="2"/>
      <c r="AN56" s="9"/>
      <c r="AO56" s="9"/>
    </row>
    <row r="57" spans="1:41" ht="13">
      <c r="A57" s="2"/>
      <c r="B57" s="2"/>
      <c r="C57" s="2"/>
      <c r="D57" s="2"/>
      <c r="E57" s="2"/>
      <c r="F57" s="2"/>
      <c r="G57" s="2"/>
      <c r="H57" s="2"/>
      <c r="I57" s="2"/>
      <c r="J57" s="2"/>
      <c r="AN57" s="9"/>
      <c r="AO57" s="9"/>
    </row>
    <row r="58" spans="1:41" ht="13">
      <c r="A58" s="2"/>
      <c r="B58" s="2"/>
      <c r="C58" s="2"/>
      <c r="D58" s="2"/>
      <c r="E58" s="2"/>
      <c r="F58" s="2"/>
      <c r="G58" s="2"/>
      <c r="H58" s="2"/>
      <c r="I58" s="2"/>
      <c r="J58" s="2"/>
      <c r="AN58" s="9"/>
      <c r="AO58" s="9"/>
    </row>
    <row r="59" spans="1:41" ht="13">
      <c r="A59" s="2"/>
      <c r="B59" s="2"/>
      <c r="C59" s="2"/>
      <c r="D59" s="2"/>
      <c r="E59" s="2"/>
      <c r="F59" s="2"/>
      <c r="G59" s="2"/>
      <c r="H59" s="2"/>
      <c r="I59" s="2"/>
      <c r="J59" s="2"/>
      <c r="AN59" s="9"/>
      <c r="AO59" s="9"/>
    </row>
    <row r="60" spans="1:41" ht="13">
      <c r="A60" s="2"/>
      <c r="B60" s="2"/>
      <c r="C60" s="2"/>
      <c r="D60" s="2"/>
      <c r="E60" s="2"/>
      <c r="F60" s="2"/>
      <c r="G60" s="2"/>
      <c r="H60" s="2"/>
      <c r="I60" s="2"/>
      <c r="J60" s="2"/>
      <c r="AN60" s="9"/>
      <c r="AO60" s="9"/>
    </row>
    <row r="61" spans="1:41" ht="13">
      <c r="A61" s="2"/>
      <c r="B61" s="2"/>
      <c r="C61" s="2"/>
      <c r="D61" s="2"/>
      <c r="E61" s="2"/>
      <c r="F61" s="2"/>
      <c r="G61" s="2"/>
      <c r="H61" s="2"/>
      <c r="I61" s="2"/>
      <c r="J61" s="2"/>
      <c r="AN61" s="9"/>
      <c r="AO61" s="9"/>
    </row>
    <row r="62" spans="1:41" ht="13">
      <c r="A62" s="2"/>
      <c r="B62" s="2"/>
      <c r="C62" s="2"/>
      <c r="D62" s="2"/>
      <c r="E62" s="2"/>
      <c r="F62" s="2"/>
      <c r="G62" s="2"/>
      <c r="H62" s="2"/>
      <c r="I62" s="2"/>
      <c r="J62" s="2"/>
      <c r="AN62" s="9"/>
      <c r="AO62" s="9"/>
    </row>
    <row r="63" spans="1:41" ht="13">
      <c r="A63" s="2"/>
      <c r="B63" s="2"/>
      <c r="C63" s="2"/>
      <c r="D63" s="2"/>
      <c r="E63" s="2"/>
      <c r="F63" s="2"/>
      <c r="G63" s="2"/>
      <c r="H63" s="2"/>
      <c r="I63" s="2"/>
      <c r="J63" s="2"/>
      <c r="AN63" s="9"/>
      <c r="AO63" s="9"/>
    </row>
    <row r="64" spans="1:41" ht="13">
      <c r="A64" s="2"/>
      <c r="B64" s="2"/>
      <c r="C64" s="2"/>
      <c r="D64" s="2"/>
      <c r="E64" s="2"/>
      <c r="F64" s="2"/>
      <c r="G64" s="2"/>
      <c r="H64" s="2"/>
      <c r="I64" s="2"/>
      <c r="J64" s="2"/>
      <c r="AN64" s="9"/>
      <c r="AO64" s="9"/>
    </row>
    <row r="65" spans="1:41" ht="13">
      <c r="A65" s="2"/>
      <c r="B65" s="2"/>
      <c r="C65" s="2"/>
      <c r="D65" s="2"/>
      <c r="E65" s="2"/>
      <c r="F65" s="2"/>
      <c r="G65" s="2"/>
      <c r="H65" s="2"/>
      <c r="I65" s="2"/>
      <c r="J65" s="2"/>
      <c r="AN65" s="9"/>
      <c r="AO65" s="9"/>
    </row>
    <row r="66" spans="1:41" ht="13">
      <c r="A66" s="2"/>
      <c r="B66" s="2"/>
      <c r="C66" s="2"/>
      <c r="D66" s="2"/>
      <c r="E66" s="2"/>
      <c r="F66" s="2"/>
      <c r="G66" s="2"/>
      <c r="H66" s="2"/>
      <c r="I66" s="2"/>
      <c r="J66" s="2"/>
      <c r="AN66" s="9"/>
      <c r="AO66" s="9"/>
    </row>
    <row r="67" spans="1:41" ht="13">
      <c r="A67" s="2"/>
      <c r="B67" s="2"/>
      <c r="C67" s="2"/>
      <c r="D67" s="2"/>
      <c r="E67" s="2"/>
      <c r="F67" s="2"/>
      <c r="G67" s="2"/>
      <c r="H67" s="2"/>
      <c r="I67" s="2"/>
      <c r="J67" s="2"/>
      <c r="AN67" s="9"/>
      <c r="AO67" s="9"/>
    </row>
    <row r="68" spans="1:41" ht="13">
      <c r="A68" s="2"/>
      <c r="B68" s="2"/>
      <c r="C68" s="2"/>
      <c r="D68" s="2"/>
      <c r="E68" s="2"/>
      <c r="F68" s="2"/>
      <c r="G68" s="2"/>
      <c r="H68" s="2"/>
      <c r="I68" s="2"/>
      <c r="J68" s="2"/>
      <c r="AN68" s="9"/>
      <c r="AO68" s="9"/>
    </row>
    <row r="69" spans="1:41" ht="13">
      <c r="A69" s="2"/>
      <c r="B69" s="2"/>
      <c r="C69" s="2"/>
      <c r="D69" s="2"/>
      <c r="E69" s="2"/>
      <c r="F69" s="2"/>
      <c r="G69" s="2"/>
      <c r="H69" s="2"/>
      <c r="I69" s="2"/>
      <c r="J69" s="2"/>
      <c r="AN69" s="9"/>
      <c r="AO69" s="9"/>
    </row>
    <row r="70" spans="1:41" ht="13">
      <c r="A70" s="2"/>
      <c r="B70" s="2"/>
      <c r="C70" s="2"/>
      <c r="D70" s="2"/>
      <c r="E70" s="2"/>
      <c r="F70" s="2"/>
      <c r="G70" s="2"/>
      <c r="H70" s="2"/>
      <c r="I70" s="2"/>
      <c r="J70" s="2"/>
      <c r="AN70" s="9"/>
      <c r="AO70" s="9"/>
    </row>
    <row r="71" spans="1:41" ht="13">
      <c r="A71" s="2"/>
      <c r="B71" s="2"/>
      <c r="C71" s="2"/>
      <c r="D71" s="2"/>
      <c r="E71" s="2"/>
      <c r="F71" s="2"/>
      <c r="G71" s="2"/>
      <c r="H71" s="2"/>
      <c r="I71" s="2"/>
      <c r="J71" s="2"/>
      <c r="AN71" s="9"/>
      <c r="AO71" s="9"/>
    </row>
    <row r="72" spans="1:41" ht="13">
      <c r="A72" s="2"/>
      <c r="B72" s="2"/>
      <c r="C72" s="2"/>
      <c r="D72" s="2"/>
      <c r="E72" s="2"/>
      <c r="F72" s="2"/>
      <c r="G72" s="2"/>
      <c r="H72" s="2"/>
      <c r="I72" s="2"/>
      <c r="J72" s="2"/>
      <c r="AN72" s="9"/>
      <c r="AO72" s="9"/>
    </row>
    <row r="73" spans="1:41" ht="13">
      <c r="A73" s="2"/>
      <c r="B73" s="2"/>
      <c r="C73" s="2"/>
      <c r="D73" s="2"/>
      <c r="E73" s="2"/>
      <c r="F73" s="2"/>
      <c r="G73" s="2"/>
      <c r="H73" s="2"/>
      <c r="I73" s="2"/>
      <c r="J73" s="2"/>
      <c r="AN73" s="9"/>
      <c r="AO73" s="9"/>
    </row>
    <row r="74" spans="1:41" ht="13">
      <c r="A74" s="2"/>
      <c r="B74" s="2"/>
      <c r="C74" s="2"/>
      <c r="D74" s="2"/>
      <c r="E74" s="2"/>
      <c r="F74" s="2"/>
      <c r="G74" s="2"/>
      <c r="H74" s="2"/>
      <c r="I74" s="2"/>
      <c r="J74" s="2"/>
      <c r="AN74" s="9"/>
      <c r="AO74" s="9"/>
    </row>
    <row r="75" spans="1:41" ht="13">
      <c r="A75" s="2"/>
      <c r="B75" s="2"/>
      <c r="C75" s="2"/>
      <c r="D75" s="2"/>
      <c r="E75" s="2"/>
      <c r="F75" s="2"/>
      <c r="G75" s="2"/>
      <c r="H75" s="2"/>
      <c r="I75" s="2"/>
      <c r="J75" s="2"/>
      <c r="AN75" s="9"/>
      <c r="AO75" s="9"/>
    </row>
    <row r="76" spans="1:41" ht="13">
      <c r="A76" s="2"/>
      <c r="B76" s="2"/>
      <c r="C76" s="2"/>
      <c r="D76" s="2"/>
      <c r="E76" s="2"/>
      <c r="F76" s="2"/>
      <c r="G76" s="2"/>
      <c r="H76" s="2"/>
      <c r="I76" s="2"/>
      <c r="J76" s="2"/>
      <c r="AN76" s="9"/>
      <c r="AO76" s="9"/>
    </row>
    <row r="77" spans="1:41" ht="13">
      <c r="A77" s="2"/>
      <c r="B77" s="2"/>
      <c r="C77" s="2"/>
      <c r="D77" s="2"/>
      <c r="E77" s="2"/>
      <c r="F77" s="2"/>
      <c r="G77" s="2"/>
      <c r="H77" s="2"/>
      <c r="I77" s="2"/>
      <c r="J77" s="2"/>
      <c r="AN77" s="9"/>
      <c r="AO77" s="9"/>
    </row>
    <row r="78" spans="1:41" ht="13">
      <c r="A78" s="2"/>
      <c r="B78" s="2"/>
      <c r="C78" s="2"/>
      <c r="D78" s="2"/>
      <c r="E78" s="2"/>
      <c r="F78" s="2"/>
      <c r="G78" s="2"/>
      <c r="H78" s="2"/>
      <c r="I78" s="2"/>
      <c r="J78" s="2"/>
      <c r="AN78" s="9"/>
      <c r="AO78" s="9"/>
    </row>
    <row r="79" spans="1:41" ht="13">
      <c r="A79" s="2"/>
      <c r="B79" s="2"/>
      <c r="C79" s="2"/>
      <c r="D79" s="2"/>
      <c r="E79" s="2"/>
      <c r="F79" s="2"/>
      <c r="G79" s="2"/>
      <c r="H79" s="2"/>
      <c r="I79" s="2"/>
      <c r="J79" s="2"/>
      <c r="AN79" s="9"/>
      <c r="AO79" s="9"/>
    </row>
    <row r="80" spans="1:41" ht="13">
      <c r="A80" s="2"/>
      <c r="B80" s="2"/>
      <c r="C80" s="2"/>
      <c r="D80" s="2"/>
      <c r="E80" s="2"/>
      <c r="F80" s="2"/>
      <c r="G80" s="2"/>
      <c r="H80" s="2"/>
      <c r="I80" s="2"/>
      <c r="J80" s="2"/>
      <c r="AN80" s="9"/>
      <c r="AO80" s="9"/>
    </row>
    <row r="81" spans="1:41" ht="13">
      <c r="A81" s="2"/>
      <c r="B81" s="2"/>
      <c r="C81" s="2"/>
      <c r="D81" s="2"/>
      <c r="E81" s="2"/>
      <c r="F81" s="2"/>
      <c r="G81" s="2"/>
      <c r="H81" s="2"/>
      <c r="I81" s="2"/>
      <c r="J81" s="2"/>
      <c r="AN81" s="9"/>
      <c r="AO81" s="9"/>
    </row>
    <row r="82" spans="1:41" ht="13">
      <c r="A82" s="2"/>
      <c r="B82" s="2"/>
      <c r="C82" s="2"/>
      <c r="D82" s="2"/>
      <c r="E82" s="2"/>
      <c r="F82" s="2"/>
      <c r="G82" s="2"/>
      <c r="H82" s="2"/>
      <c r="I82" s="2"/>
      <c r="J82" s="2"/>
      <c r="AN82" s="9"/>
      <c r="AO82" s="9"/>
    </row>
    <row r="83" spans="1:41" ht="13">
      <c r="A83" s="2"/>
      <c r="B83" s="2"/>
      <c r="C83" s="2"/>
      <c r="D83" s="2"/>
      <c r="E83" s="2"/>
      <c r="F83" s="2"/>
      <c r="G83" s="2"/>
      <c r="H83" s="2"/>
      <c r="I83" s="2"/>
      <c r="J83" s="2"/>
      <c r="AN83" s="9"/>
      <c r="AO83" s="9"/>
    </row>
    <row r="84" spans="1:41" ht="13">
      <c r="A84" s="2"/>
      <c r="B84" s="2"/>
      <c r="C84" s="2"/>
      <c r="D84" s="2"/>
      <c r="E84" s="2"/>
      <c r="F84" s="2"/>
      <c r="G84" s="2"/>
      <c r="H84" s="2"/>
      <c r="I84" s="2"/>
      <c r="J84" s="2"/>
      <c r="AN84" s="9"/>
      <c r="AO84" s="9"/>
    </row>
    <row r="85" spans="1:41" ht="13">
      <c r="A85" s="2"/>
      <c r="B85" s="2"/>
      <c r="C85" s="2"/>
      <c r="D85" s="2"/>
      <c r="E85" s="2"/>
      <c r="F85" s="2"/>
      <c r="G85" s="2"/>
      <c r="H85" s="2"/>
      <c r="I85" s="2"/>
      <c r="J85" s="2"/>
      <c r="AN85" s="9"/>
      <c r="AO85" s="9"/>
    </row>
    <row r="86" spans="1:41" ht="13">
      <c r="A86" s="2"/>
      <c r="B86" s="2"/>
      <c r="C86" s="2"/>
      <c r="D86" s="2"/>
      <c r="E86" s="2"/>
      <c r="F86" s="2"/>
      <c r="G86" s="2"/>
      <c r="H86" s="2"/>
      <c r="I86" s="2"/>
      <c r="J86" s="2"/>
      <c r="AN86" s="9"/>
      <c r="AO86" s="9"/>
    </row>
    <row r="87" spans="1:41" ht="13">
      <c r="A87" s="2"/>
      <c r="B87" s="2"/>
      <c r="C87" s="2"/>
      <c r="D87" s="2"/>
      <c r="E87" s="2"/>
      <c r="F87" s="2"/>
      <c r="G87" s="2"/>
      <c r="H87" s="2"/>
      <c r="I87" s="2"/>
      <c r="J87" s="2"/>
      <c r="AN87" s="9"/>
      <c r="AO87" s="9"/>
    </row>
    <row r="88" spans="1:41" ht="13">
      <c r="A88" s="2"/>
      <c r="B88" s="2"/>
      <c r="C88" s="2"/>
      <c r="D88" s="2"/>
      <c r="E88" s="2"/>
      <c r="F88" s="2"/>
      <c r="G88" s="2"/>
      <c r="H88" s="2"/>
      <c r="I88" s="2"/>
      <c r="J88" s="2"/>
      <c r="AN88" s="9"/>
      <c r="AO88" s="9"/>
    </row>
    <row r="89" spans="1:41" ht="13">
      <c r="A89" s="2"/>
      <c r="B89" s="2"/>
      <c r="C89" s="2"/>
      <c r="D89" s="2"/>
      <c r="E89" s="2"/>
      <c r="F89" s="2"/>
      <c r="G89" s="2"/>
      <c r="H89" s="2"/>
      <c r="I89" s="2"/>
      <c r="J89" s="2"/>
      <c r="AN89" s="9"/>
      <c r="AO89" s="9"/>
    </row>
    <row r="90" spans="1:41" ht="13">
      <c r="A90" s="2"/>
      <c r="B90" s="2"/>
      <c r="C90" s="2"/>
      <c r="D90" s="2"/>
      <c r="E90" s="2"/>
      <c r="F90" s="2"/>
      <c r="G90" s="2"/>
      <c r="H90" s="2"/>
      <c r="I90" s="2"/>
      <c r="J90" s="2"/>
      <c r="AN90" s="9"/>
      <c r="AO90" s="9"/>
    </row>
    <row r="91" spans="1:41" ht="13">
      <c r="A91" s="2"/>
      <c r="B91" s="2"/>
      <c r="C91" s="2"/>
      <c r="D91" s="2"/>
      <c r="E91" s="2"/>
      <c r="F91" s="2"/>
      <c r="G91" s="2"/>
      <c r="H91" s="2"/>
      <c r="I91" s="2"/>
      <c r="J91" s="2"/>
      <c r="AN91" s="9"/>
      <c r="AO91" s="9"/>
    </row>
    <row r="92" spans="1:41" ht="13">
      <c r="A92" s="2"/>
      <c r="B92" s="2"/>
      <c r="C92" s="2"/>
      <c r="D92" s="2"/>
      <c r="E92" s="2"/>
      <c r="F92" s="2"/>
      <c r="G92" s="2"/>
      <c r="H92" s="2"/>
      <c r="I92" s="2"/>
      <c r="J92" s="2"/>
      <c r="AN92" s="9"/>
      <c r="AO92" s="9"/>
    </row>
    <row r="93" spans="1:41" ht="13">
      <c r="A93" s="2"/>
      <c r="B93" s="2"/>
      <c r="C93" s="2"/>
      <c r="D93" s="2"/>
      <c r="E93" s="2"/>
      <c r="F93" s="2"/>
      <c r="G93" s="2"/>
      <c r="H93" s="2"/>
      <c r="I93" s="2"/>
      <c r="J93" s="2"/>
      <c r="AN93" s="9"/>
      <c r="AO93" s="9"/>
    </row>
    <row r="94" spans="1:41" ht="13">
      <c r="A94" s="2"/>
      <c r="B94" s="2"/>
      <c r="C94" s="2"/>
      <c r="D94" s="2"/>
      <c r="E94" s="2"/>
      <c r="F94" s="2"/>
      <c r="G94" s="2"/>
      <c r="H94" s="2"/>
      <c r="I94" s="2"/>
      <c r="J94" s="2"/>
      <c r="AN94" s="9"/>
      <c r="AO94" s="9"/>
    </row>
    <row r="95" spans="1:41" ht="13">
      <c r="A95" s="2"/>
      <c r="B95" s="2"/>
      <c r="C95" s="2"/>
      <c r="D95" s="2"/>
      <c r="E95" s="2"/>
      <c r="F95" s="2"/>
      <c r="G95" s="2"/>
      <c r="H95" s="2"/>
      <c r="I95" s="2"/>
      <c r="J95" s="2"/>
      <c r="AN95" s="9"/>
      <c r="AO95" s="9"/>
    </row>
    <row r="96" spans="1:41" ht="13">
      <c r="A96" s="2"/>
      <c r="B96" s="2"/>
      <c r="C96" s="2"/>
      <c r="D96" s="2"/>
      <c r="E96" s="2"/>
      <c r="F96" s="2"/>
      <c r="G96" s="2"/>
      <c r="H96" s="2"/>
      <c r="I96" s="2"/>
      <c r="J96" s="2"/>
      <c r="AN96" s="9"/>
      <c r="AO96" s="9"/>
    </row>
    <row r="97" spans="1:41" ht="13">
      <c r="A97" s="2"/>
      <c r="B97" s="2"/>
      <c r="C97" s="2"/>
      <c r="D97" s="2"/>
      <c r="E97" s="2"/>
      <c r="F97" s="2"/>
      <c r="G97" s="2"/>
      <c r="H97" s="2"/>
      <c r="I97" s="2"/>
      <c r="J97" s="2"/>
      <c r="AN97" s="9"/>
      <c r="AO97" s="9"/>
    </row>
    <row r="98" spans="1:41" ht="13">
      <c r="A98" s="2"/>
      <c r="B98" s="2"/>
      <c r="C98" s="2"/>
      <c r="D98" s="2"/>
      <c r="E98" s="2"/>
      <c r="F98" s="2"/>
      <c r="G98" s="2"/>
      <c r="H98" s="2"/>
      <c r="I98" s="2"/>
      <c r="J98" s="2"/>
      <c r="AN98" s="9"/>
      <c r="AO98" s="9"/>
    </row>
    <row r="99" spans="1:41" ht="13">
      <c r="A99" s="2"/>
      <c r="B99" s="2"/>
      <c r="C99" s="2"/>
      <c r="D99" s="2"/>
      <c r="E99" s="2"/>
      <c r="F99" s="2"/>
      <c r="G99" s="2"/>
      <c r="H99" s="2"/>
      <c r="I99" s="2"/>
      <c r="J99" s="2"/>
      <c r="AN99" s="9"/>
      <c r="AO99" s="9"/>
    </row>
    <row r="100" spans="1:41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AN100" s="9"/>
      <c r="AO100" s="9"/>
    </row>
    <row r="101" spans="1:41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AN101" s="9"/>
      <c r="AO101" s="9"/>
    </row>
    <row r="102" spans="1:41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AN102" s="9"/>
      <c r="AO102" s="9"/>
    </row>
    <row r="103" spans="1:41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AN103" s="9"/>
      <c r="AO103" s="9"/>
    </row>
    <row r="104" spans="1:41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AN104" s="9"/>
      <c r="AO104" s="9"/>
    </row>
    <row r="105" spans="1:41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AN105" s="9"/>
      <c r="AO105" s="9"/>
    </row>
    <row r="106" spans="1:41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AN106" s="9"/>
      <c r="AO106" s="9"/>
    </row>
    <row r="107" spans="1:41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AN107" s="9"/>
      <c r="AO107" s="9"/>
    </row>
    <row r="108" spans="1:41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AN108" s="9"/>
      <c r="AO108" s="9"/>
    </row>
    <row r="109" spans="1:41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AN109" s="9"/>
      <c r="AO109" s="9"/>
    </row>
    <row r="110" spans="1:41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AN110" s="9"/>
      <c r="AO110" s="9"/>
    </row>
    <row r="111" spans="1:41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AN111" s="9"/>
      <c r="AO111" s="9"/>
    </row>
    <row r="112" spans="1:41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AN112" s="9"/>
      <c r="AO112" s="9"/>
    </row>
    <row r="113" spans="1:41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AN113" s="9"/>
      <c r="AO113" s="9"/>
    </row>
    <row r="114" spans="1:41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AN114" s="9"/>
      <c r="AO114" s="9"/>
    </row>
    <row r="115" spans="1:41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AN115" s="9"/>
      <c r="AO115" s="9"/>
    </row>
    <row r="116" spans="1:41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AN116" s="9"/>
      <c r="AO116" s="9"/>
    </row>
    <row r="117" spans="1:41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AN117" s="9"/>
      <c r="AO117" s="9"/>
    </row>
    <row r="118" spans="1:41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AN118" s="9"/>
      <c r="AO118" s="9"/>
    </row>
    <row r="119" spans="1:41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AN119" s="9"/>
      <c r="AO119" s="9"/>
    </row>
    <row r="120" spans="1:41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AN120" s="9"/>
      <c r="AO120" s="9"/>
    </row>
    <row r="121" spans="1:41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AN121" s="9"/>
      <c r="AO121" s="9"/>
    </row>
    <row r="122" spans="1:41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AN122" s="9"/>
      <c r="AO122" s="9"/>
    </row>
    <row r="123" spans="1:41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AN123" s="9"/>
      <c r="AO123" s="9"/>
    </row>
    <row r="124" spans="1:41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AN124" s="9"/>
      <c r="AO124" s="9"/>
    </row>
    <row r="125" spans="1:41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AN125" s="9"/>
      <c r="AO125" s="9"/>
    </row>
    <row r="126" spans="1:41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AN126" s="9"/>
      <c r="AO126" s="9"/>
    </row>
    <row r="127" spans="1:41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AN127" s="9"/>
      <c r="AO127" s="9"/>
    </row>
    <row r="128" spans="1:41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AN128" s="9"/>
      <c r="AO128" s="9"/>
    </row>
    <row r="129" spans="1:41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AN129" s="9"/>
      <c r="AO129" s="9"/>
    </row>
    <row r="130" spans="1:41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AN130" s="9"/>
      <c r="AO130" s="9"/>
    </row>
    <row r="131" spans="1:41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AN131" s="9"/>
      <c r="AO131" s="9"/>
    </row>
    <row r="132" spans="1:41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AN132" s="9"/>
      <c r="AO132" s="9"/>
    </row>
    <row r="133" spans="1:41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AN133" s="9"/>
      <c r="AO133" s="9"/>
    </row>
    <row r="134" spans="1:41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AN134" s="9"/>
      <c r="AO134" s="9"/>
    </row>
    <row r="135" spans="1:41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AN135" s="9"/>
      <c r="AO135" s="9"/>
    </row>
    <row r="136" spans="1:41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AN136" s="9"/>
      <c r="AO136" s="9"/>
    </row>
    <row r="137" spans="1:41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AN137" s="9"/>
      <c r="AO137" s="9"/>
    </row>
    <row r="138" spans="1:41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AN138" s="9"/>
      <c r="AO138" s="9"/>
    </row>
    <row r="139" spans="1:41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AN139" s="9"/>
      <c r="AO139" s="9"/>
    </row>
    <row r="140" spans="1:41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AN140" s="9"/>
      <c r="AO140" s="9"/>
    </row>
    <row r="141" spans="1:41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AN141" s="9"/>
      <c r="AO141" s="9"/>
    </row>
    <row r="142" spans="1:41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AN142" s="9"/>
      <c r="AO142" s="9"/>
    </row>
    <row r="143" spans="1:41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AN143" s="9"/>
      <c r="AO143" s="9"/>
    </row>
    <row r="144" spans="1:41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AN144" s="9"/>
      <c r="AO144" s="9"/>
    </row>
    <row r="145" spans="1:41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AN145" s="9"/>
      <c r="AO145" s="9"/>
    </row>
    <row r="146" spans="1:41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AN146" s="9"/>
      <c r="AO146" s="9"/>
    </row>
    <row r="147" spans="1:41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AN147" s="9"/>
      <c r="AO147" s="9"/>
    </row>
    <row r="148" spans="1:41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AN148" s="9"/>
      <c r="AO148" s="9"/>
    </row>
    <row r="149" spans="1:41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AN149" s="9"/>
      <c r="AO149" s="9"/>
    </row>
    <row r="150" spans="1:41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AN150" s="9"/>
      <c r="AO150" s="9"/>
    </row>
    <row r="151" spans="1:41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AN151" s="9"/>
      <c r="AO151" s="9"/>
    </row>
    <row r="152" spans="1:41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AN152" s="9"/>
      <c r="AO152" s="9"/>
    </row>
    <row r="153" spans="1:41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AN153" s="9"/>
      <c r="AO153" s="9"/>
    </row>
    <row r="154" spans="1:41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AN154" s="9"/>
      <c r="AO154" s="9"/>
    </row>
    <row r="155" spans="1:41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AN155" s="9"/>
      <c r="AO155" s="9"/>
    </row>
    <row r="156" spans="1:41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AN156" s="9"/>
      <c r="AO156" s="9"/>
    </row>
    <row r="157" spans="1:41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AN157" s="9"/>
      <c r="AO157" s="9"/>
    </row>
    <row r="158" spans="1:41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AN158" s="9"/>
      <c r="AO158" s="9"/>
    </row>
    <row r="159" spans="1:41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AN159" s="9"/>
      <c r="AO159" s="9"/>
    </row>
    <row r="160" spans="1:41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AN160" s="9"/>
      <c r="AO160" s="9"/>
    </row>
    <row r="161" spans="1:41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AN161" s="9"/>
      <c r="AO161" s="9"/>
    </row>
    <row r="162" spans="1:41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AN162" s="9"/>
      <c r="AO162" s="9"/>
    </row>
    <row r="163" spans="1:41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AN163" s="9"/>
      <c r="AO163" s="9"/>
    </row>
    <row r="164" spans="1:41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AN164" s="9"/>
      <c r="AO164" s="9"/>
    </row>
    <row r="165" spans="1:41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AN165" s="9"/>
      <c r="AO165" s="9"/>
    </row>
    <row r="166" spans="1:41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AN166" s="9"/>
      <c r="AO166" s="9"/>
    </row>
    <row r="167" spans="1:41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AN167" s="9"/>
      <c r="AO167" s="9"/>
    </row>
    <row r="168" spans="1:41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AN168" s="9"/>
      <c r="AO168" s="9"/>
    </row>
    <row r="169" spans="1:41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AN169" s="9"/>
      <c r="AO169" s="9"/>
    </row>
    <row r="170" spans="1:41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AN170" s="9"/>
      <c r="AO170" s="9"/>
    </row>
    <row r="171" spans="1:41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AN171" s="9"/>
      <c r="AO171" s="9"/>
    </row>
    <row r="172" spans="1:41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AN172" s="9"/>
      <c r="AO172" s="9"/>
    </row>
    <row r="173" spans="1:41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AN173" s="9"/>
      <c r="AO173" s="9"/>
    </row>
    <row r="174" spans="1:41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AN174" s="9"/>
      <c r="AO174" s="9"/>
    </row>
    <row r="175" spans="1:41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AN175" s="9"/>
      <c r="AO175" s="9"/>
    </row>
    <row r="176" spans="1:41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AN176" s="9"/>
      <c r="AO176" s="9"/>
    </row>
    <row r="177" spans="1:41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AN177" s="9"/>
      <c r="AO177" s="9"/>
    </row>
    <row r="178" spans="1:41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AN178" s="9"/>
      <c r="AO178" s="9"/>
    </row>
    <row r="179" spans="1:41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AN179" s="9"/>
      <c r="AO179" s="9"/>
    </row>
    <row r="180" spans="1:41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AN180" s="9"/>
      <c r="AO180" s="9"/>
    </row>
    <row r="181" spans="1:41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AN181" s="9"/>
      <c r="AO181" s="9"/>
    </row>
    <row r="182" spans="1:41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AN182" s="9"/>
      <c r="AO182" s="9"/>
    </row>
    <row r="183" spans="1:41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AN183" s="9"/>
      <c r="AO183" s="9"/>
    </row>
    <row r="184" spans="1:41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AN184" s="9"/>
      <c r="AO184" s="9"/>
    </row>
    <row r="185" spans="1:41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AN185" s="9"/>
      <c r="AO185" s="9"/>
    </row>
    <row r="186" spans="1:41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AN186" s="9"/>
      <c r="AO186" s="9"/>
    </row>
    <row r="187" spans="1:41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AN187" s="9"/>
      <c r="AO187" s="9"/>
    </row>
    <row r="188" spans="1:41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AN188" s="9"/>
      <c r="AO188" s="9"/>
    </row>
    <row r="189" spans="1:41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AN189" s="9"/>
      <c r="AO189" s="9"/>
    </row>
    <row r="190" spans="1:41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AN190" s="9"/>
      <c r="AO190" s="9"/>
    </row>
    <row r="191" spans="1:41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AN191" s="9"/>
      <c r="AO191" s="9"/>
    </row>
    <row r="192" spans="1:41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AN192" s="9"/>
      <c r="AO192" s="9"/>
    </row>
    <row r="193" spans="1:41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AN193" s="9"/>
      <c r="AO193" s="9"/>
    </row>
    <row r="194" spans="1:41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AN194" s="9"/>
      <c r="AO194" s="9"/>
    </row>
    <row r="195" spans="1:41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AN195" s="9"/>
      <c r="AO195" s="9"/>
    </row>
    <row r="196" spans="1:41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AN196" s="9"/>
      <c r="AO196" s="9"/>
    </row>
    <row r="197" spans="1:41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AN197" s="9"/>
      <c r="AO197" s="9"/>
    </row>
    <row r="198" spans="1:41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AN198" s="9"/>
      <c r="AO198" s="9"/>
    </row>
    <row r="199" spans="1:41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AN199" s="9"/>
      <c r="AO199" s="9"/>
    </row>
    <row r="200" spans="1:41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AN200" s="9"/>
      <c r="AO200" s="9"/>
    </row>
    <row r="201" spans="1:41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AN201" s="9"/>
      <c r="AO201" s="9"/>
    </row>
    <row r="202" spans="1:41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AN202" s="9"/>
      <c r="AO202" s="9"/>
    </row>
    <row r="203" spans="1:41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AN203" s="9"/>
      <c r="AO203" s="9"/>
    </row>
    <row r="204" spans="1:41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AN204" s="9"/>
      <c r="AO204" s="9"/>
    </row>
    <row r="205" spans="1:41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AN205" s="9"/>
      <c r="AO205" s="9"/>
    </row>
    <row r="206" spans="1:41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AN206" s="9"/>
      <c r="AO206" s="9"/>
    </row>
    <row r="207" spans="1:41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AN207" s="9"/>
      <c r="AO207" s="9"/>
    </row>
    <row r="208" spans="1:41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AN208" s="9"/>
      <c r="AO208" s="9"/>
    </row>
    <row r="209" spans="1:41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AN209" s="9"/>
      <c r="AO209" s="9"/>
    </row>
    <row r="210" spans="1:41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AN210" s="9"/>
      <c r="AO210" s="9"/>
    </row>
    <row r="211" spans="1:41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AN211" s="9"/>
      <c r="AO211" s="9"/>
    </row>
    <row r="212" spans="1:41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AN212" s="9"/>
      <c r="AO212" s="9"/>
    </row>
    <row r="213" spans="1:41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AN213" s="9"/>
      <c r="AO213" s="9"/>
    </row>
    <row r="214" spans="1:41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AN214" s="9"/>
      <c r="AO214" s="9"/>
    </row>
    <row r="215" spans="1:41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AN215" s="9"/>
      <c r="AO215" s="9"/>
    </row>
    <row r="216" spans="1:41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AN216" s="9"/>
      <c r="AO216" s="9"/>
    </row>
    <row r="217" spans="1:41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AN217" s="9"/>
      <c r="AO217" s="9"/>
    </row>
    <row r="218" spans="1:41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AN218" s="9"/>
      <c r="AO218" s="9"/>
    </row>
    <row r="219" spans="1:41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AN219" s="9"/>
      <c r="AO219" s="9"/>
    </row>
    <row r="220" spans="1:41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AN220" s="9"/>
      <c r="AO220" s="9"/>
    </row>
    <row r="221" spans="1:41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AN221" s="9"/>
      <c r="AO221" s="9"/>
    </row>
    <row r="222" spans="1:41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AN222" s="9"/>
      <c r="AO222" s="9"/>
    </row>
    <row r="223" spans="1:41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AN223" s="9"/>
      <c r="AO223" s="9"/>
    </row>
    <row r="224" spans="1:41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AN224" s="9"/>
      <c r="AO224" s="9"/>
    </row>
    <row r="225" spans="1:41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AN225" s="9"/>
      <c r="AO225" s="9"/>
    </row>
    <row r="226" spans="1:41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AN226" s="9"/>
      <c r="AO226" s="9"/>
    </row>
    <row r="227" spans="1:41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AN227" s="9"/>
      <c r="AO227" s="9"/>
    </row>
    <row r="228" spans="1:41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AN228" s="9"/>
      <c r="AO228" s="9"/>
    </row>
    <row r="229" spans="1:41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AN229" s="9"/>
      <c r="AO229" s="9"/>
    </row>
    <row r="230" spans="1:41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AN230" s="9"/>
      <c r="AO230" s="9"/>
    </row>
    <row r="231" spans="1:41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AN231" s="9"/>
      <c r="AO231" s="9"/>
    </row>
    <row r="232" spans="1:41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AN232" s="9"/>
      <c r="AO232" s="9"/>
    </row>
    <row r="233" spans="1:41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AN233" s="9"/>
      <c r="AO233" s="9"/>
    </row>
    <row r="234" spans="1:41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AN234" s="9"/>
      <c r="AO234" s="9"/>
    </row>
    <row r="235" spans="1:41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AN235" s="9"/>
      <c r="AO235" s="9"/>
    </row>
    <row r="236" spans="1:41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AN236" s="9"/>
      <c r="AO236" s="9"/>
    </row>
    <row r="237" spans="1:41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AN237" s="9"/>
      <c r="AO237" s="9"/>
    </row>
    <row r="238" spans="1:41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AN238" s="9"/>
      <c r="AO238" s="9"/>
    </row>
    <row r="239" spans="1:41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AN239" s="9"/>
      <c r="AO239" s="9"/>
    </row>
    <row r="240" spans="1:41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AN240" s="9"/>
      <c r="AO240" s="9"/>
    </row>
    <row r="241" spans="1:41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AN241" s="9"/>
      <c r="AO241" s="9"/>
    </row>
    <row r="242" spans="1:41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AN242" s="9"/>
      <c r="AO242" s="9"/>
    </row>
    <row r="243" spans="1:41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AN243" s="9"/>
      <c r="AO243" s="9"/>
    </row>
    <row r="244" spans="1:41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AN244" s="9"/>
      <c r="AO244" s="9"/>
    </row>
    <row r="245" spans="1:41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AN245" s="9"/>
      <c r="AO245" s="9"/>
    </row>
    <row r="246" spans="1:41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AN246" s="9"/>
      <c r="AO246" s="9"/>
    </row>
    <row r="247" spans="1:41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AN247" s="9"/>
      <c r="AO247" s="9"/>
    </row>
    <row r="248" spans="1:41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AN248" s="9"/>
      <c r="AO248" s="9"/>
    </row>
    <row r="249" spans="1:41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AN249" s="9"/>
      <c r="AO249" s="9"/>
    </row>
    <row r="250" spans="1:41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AN250" s="9"/>
      <c r="AO250" s="9"/>
    </row>
    <row r="251" spans="1:41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AN251" s="9"/>
      <c r="AO251" s="9"/>
    </row>
    <row r="252" spans="1:41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AN252" s="9"/>
      <c r="AO252" s="9"/>
    </row>
    <row r="253" spans="1:41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AN253" s="9"/>
      <c r="AO253" s="9"/>
    </row>
    <row r="254" spans="1:41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AN254" s="9"/>
      <c r="AO254" s="9"/>
    </row>
    <row r="255" spans="1:41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AN255" s="9"/>
      <c r="AO255" s="9"/>
    </row>
    <row r="256" spans="1:41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AN256" s="9"/>
      <c r="AO256" s="9"/>
    </row>
    <row r="257" spans="1:41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AN257" s="9"/>
      <c r="AO257" s="9"/>
    </row>
    <row r="258" spans="1:41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AN258" s="9"/>
      <c r="AO258" s="9"/>
    </row>
    <row r="259" spans="1:41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AN259" s="9"/>
      <c r="AO259" s="9"/>
    </row>
    <row r="260" spans="1:41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AN260" s="9"/>
      <c r="AO260" s="9"/>
    </row>
    <row r="261" spans="1:41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AN261" s="9"/>
      <c r="AO261" s="9"/>
    </row>
    <row r="262" spans="1:41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AN262" s="9"/>
      <c r="AO262" s="9"/>
    </row>
    <row r="263" spans="1:41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AN263" s="9"/>
      <c r="AO263" s="9"/>
    </row>
    <row r="264" spans="1:41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AN264" s="9"/>
      <c r="AO264" s="9"/>
    </row>
    <row r="265" spans="1:41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AN265" s="9"/>
      <c r="AO265" s="9"/>
    </row>
    <row r="266" spans="1:41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AN266" s="9"/>
      <c r="AO266" s="9"/>
    </row>
    <row r="267" spans="1:41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AN267" s="9"/>
      <c r="AO267" s="9"/>
    </row>
    <row r="268" spans="1:41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AN268" s="9"/>
      <c r="AO268" s="9"/>
    </row>
    <row r="269" spans="1:41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AN269" s="9"/>
      <c r="AO269" s="9"/>
    </row>
    <row r="270" spans="1:41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AN270" s="9"/>
      <c r="AO270" s="9"/>
    </row>
    <row r="271" spans="1:41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AN271" s="9"/>
      <c r="AO271" s="9"/>
    </row>
    <row r="272" spans="1:41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AN272" s="9"/>
      <c r="AO272" s="9"/>
    </row>
    <row r="273" spans="1:41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AN273" s="9"/>
      <c r="AO273" s="9"/>
    </row>
    <row r="274" spans="1:41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AN274" s="9"/>
      <c r="AO274" s="9"/>
    </row>
    <row r="275" spans="1:41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AN275" s="9"/>
      <c r="AO275" s="9"/>
    </row>
    <row r="276" spans="1:41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AN276" s="9"/>
      <c r="AO276" s="9"/>
    </row>
    <row r="277" spans="1:41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AN277" s="9"/>
      <c r="AO277" s="9"/>
    </row>
    <row r="278" spans="1:41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AN278" s="9"/>
      <c r="AO278" s="9"/>
    </row>
    <row r="279" spans="1:41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AN279" s="9"/>
      <c r="AO279" s="9"/>
    </row>
    <row r="280" spans="1:41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AN280" s="9"/>
      <c r="AO280" s="9"/>
    </row>
    <row r="281" spans="1:41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AN281" s="9"/>
      <c r="AO281" s="9"/>
    </row>
    <row r="282" spans="1:41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AN282" s="9"/>
      <c r="AO282" s="9"/>
    </row>
    <row r="283" spans="1:41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AN283" s="9"/>
      <c r="AO283" s="9"/>
    </row>
    <row r="284" spans="1:41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AN284" s="9"/>
      <c r="AO284" s="9"/>
    </row>
    <row r="285" spans="1:41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AN285" s="9"/>
      <c r="AO285" s="9"/>
    </row>
    <row r="286" spans="1:41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AN286" s="9"/>
      <c r="AO286" s="9"/>
    </row>
    <row r="287" spans="1:41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AN287" s="9"/>
      <c r="AO287" s="9"/>
    </row>
    <row r="288" spans="1:41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AN288" s="9"/>
      <c r="AO288" s="9"/>
    </row>
    <row r="289" spans="1:41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AN289" s="9"/>
      <c r="AO289" s="9"/>
    </row>
    <row r="290" spans="1:41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AN290" s="9"/>
      <c r="AO290" s="9"/>
    </row>
    <row r="291" spans="1:41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AN291" s="9"/>
      <c r="AO291" s="9"/>
    </row>
    <row r="292" spans="1:41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AN292" s="9"/>
      <c r="AO292" s="9"/>
    </row>
    <row r="293" spans="1:41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AN293" s="9"/>
      <c r="AO293" s="9"/>
    </row>
    <row r="294" spans="1:41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AN294" s="9"/>
      <c r="AO294" s="9"/>
    </row>
    <row r="295" spans="1:41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AN295" s="9"/>
      <c r="AO295" s="9"/>
    </row>
    <row r="296" spans="1:41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AN296" s="9"/>
      <c r="AO296" s="9"/>
    </row>
    <row r="297" spans="1:41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AN297" s="9"/>
      <c r="AO297" s="9"/>
    </row>
    <row r="298" spans="1:41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AN298" s="9"/>
      <c r="AO298" s="9"/>
    </row>
    <row r="299" spans="1:41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AN299" s="9"/>
      <c r="AO299" s="9"/>
    </row>
    <row r="300" spans="1:41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AN300" s="9"/>
      <c r="AO300" s="9"/>
    </row>
    <row r="301" spans="1:41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AN301" s="9"/>
      <c r="AO301" s="9"/>
    </row>
    <row r="302" spans="1:41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AN302" s="9"/>
      <c r="AO302" s="9"/>
    </row>
    <row r="303" spans="1:41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AN303" s="9"/>
      <c r="AO303" s="9"/>
    </row>
    <row r="304" spans="1:41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AN304" s="9"/>
      <c r="AO304" s="9"/>
    </row>
    <row r="305" spans="1:41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AN305" s="9"/>
      <c r="AO305" s="9"/>
    </row>
    <row r="306" spans="1:41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AN306" s="9"/>
      <c r="AO306" s="9"/>
    </row>
    <row r="307" spans="1:41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AN307" s="9"/>
      <c r="AO307" s="9"/>
    </row>
    <row r="308" spans="1:41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AN308" s="9"/>
      <c r="AO308" s="9"/>
    </row>
    <row r="309" spans="1:41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AN309" s="9"/>
      <c r="AO309" s="9"/>
    </row>
    <row r="310" spans="1:41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AN310" s="9"/>
      <c r="AO310" s="9"/>
    </row>
    <row r="311" spans="1:41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AN311" s="9"/>
      <c r="AO311" s="9"/>
    </row>
    <row r="312" spans="1:41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AN312" s="9"/>
      <c r="AO312" s="9"/>
    </row>
    <row r="313" spans="1:41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AN313" s="9"/>
      <c r="AO313" s="9"/>
    </row>
    <row r="314" spans="1:41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AN314" s="9"/>
      <c r="AO314" s="9"/>
    </row>
    <row r="315" spans="1:41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AN315" s="9"/>
      <c r="AO315" s="9"/>
    </row>
    <row r="316" spans="1:41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AN316" s="9"/>
      <c r="AO316" s="9"/>
    </row>
    <row r="317" spans="1:41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AN317" s="9"/>
      <c r="AO317" s="9"/>
    </row>
    <row r="318" spans="1:41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AN318" s="9"/>
      <c r="AO318" s="9"/>
    </row>
    <row r="319" spans="1:41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AN319" s="9"/>
      <c r="AO319" s="9"/>
    </row>
    <row r="320" spans="1:41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AN320" s="9"/>
      <c r="AO320" s="9"/>
    </row>
    <row r="321" spans="1:41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AN321" s="9"/>
      <c r="AO321" s="9"/>
    </row>
    <row r="322" spans="1:41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AN322" s="9"/>
      <c r="AO322" s="9"/>
    </row>
    <row r="323" spans="1:41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AN323" s="9"/>
      <c r="AO323" s="9"/>
    </row>
    <row r="324" spans="1:41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AN324" s="9"/>
      <c r="AO324" s="9"/>
    </row>
    <row r="325" spans="1:41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AN325" s="9"/>
      <c r="AO325" s="9"/>
    </row>
    <row r="326" spans="1:41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AN326" s="9"/>
      <c r="AO326" s="9"/>
    </row>
    <row r="327" spans="1:41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AN327" s="9"/>
      <c r="AO327" s="9"/>
    </row>
    <row r="328" spans="1:41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AN328" s="9"/>
      <c r="AO328" s="9"/>
    </row>
    <row r="329" spans="1:41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AN329" s="9"/>
      <c r="AO329" s="9"/>
    </row>
    <row r="330" spans="1:41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AN330" s="9"/>
      <c r="AO330" s="9"/>
    </row>
    <row r="331" spans="1:41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AN331" s="9"/>
      <c r="AO331" s="9"/>
    </row>
    <row r="332" spans="1:41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AN332" s="9"/>
      <c r="AO332" s="9"/>
    </row>
    <row r="333" spans="1:41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AN333" s="9"/>
      <c r="AO333" s="9"/>
    </row>
    <row r="334" spans="1:41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AN334" s="9"/>
      <c r="AO334" s="9"/>
    </row>
    <row r="335" spans="1:41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AN335" s="9"/>
      <c r="AO335" s="9"/>
    </row>
    <row r="336" spans="1:41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AN336" s="9"/>
      <c r="AO336" s="9"/>
    </row>
    <row r="337" spans="1:41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AN337" s="9"/>
      <c r="AO337" s="9"/>
    </row>
    <row r="338" spans="1:41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AN338" s="9"/>
      <c r="AO338" s="9"/>
    </row>
    <row r="339" spans="1:41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AN339" s="9"/>
      <c r="AO339" s="9"/>
    </row>
    <row r="340" spans="1:41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AN340" s="9"/>
      <c r="AO340" s="9"/>
    </row>
    <row r="341" spans="1:41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AN341" s="9"/>
      <c r="AO341" s="9"/>
    </row>
    <row r="342" spans="1:41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AN342" s="9"/>
      <c r="AO342" s="9"/>
    </row>
    <row r="343" spans="1:41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AN343" s="9"/>
      <c r="AO343" s="9"/>
    </row>
    <row r="344" spans="1:41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AN344" s="9"/>
      <c r="AO344" s="9"/>
    </row>
    <row r="345" spans="1:41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AN345" s="9"/>
      <c r="AO345" s="9"/>
    </row>
    <row r="346" spans="1:41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AN346" s="9"/>
      <c r="AO346" s="9"/>
    </row>
    <row r="347" spans="1:41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AN347" s="9"/>
      <c r="AO347" s="9"/>
    </row>
    <row r="348" spans="1:41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AN348" s="9"/>
      <c r="AO348" s="9"/>
    </row>
    <row r="349" spans="1:41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AN349" s="9"/>
      <c r="AO349" s="9"/>
    </row>
    <row r="350" spans="1:41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AN350" s="9"/>
      <c r="AO350" s="9"/>
    </row>
    <row r="351" spans="1:41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AN351" s="9"/>
      <c r="AO351" s="9"/>
    </row>
    <row r="352" spans="1:41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AN352" s="9"/>
      <c r="AO352" s="9"/>
    </row>
    <row r="353" spans="1:41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AN353" s="9"/>
      <c r="AO353" s="9"/>
    </row>
    <row r="354" spans="1:41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AN354" s="9"/>
      <c r="AO354" s="9"/>
    </row>
    <row r="355" spans="1:41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AN355" s="9"/>
      <c r="AO355" s="9"/>
    </row>
    <row r="356" spans="1:41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AN356" s="9"/>
      <c r="AO356" s="9"/>
    </row>
    <row r="357" spans="1:41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AN357" s="9"/>
      <c r="AO357" s="9"/>
    </row>
    <row r="358" spans="1:41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AN358" s="9"/>
      <c r="AO358" s="9"/>
    </row>
    <row r="359" spans="1:41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AN359" s="9"/>
      <c r="AO359" s="9"/>
    </row>
    <row r="360" spans="1:41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AN360" s="9"/>
      <c r="AO360" s="9"/>
    </row>
    <row r="361" spans="1:41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AN361" s="9"/>
      <c r="AO361" s="9"/>
    </row>
    <row r="362" spans="1:41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AN362" s="9"/>
      <c r="AO362" s="9"/>
    </row>
    <row r="363" spans="1:41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AN363" s="9"/>
      <c r="AO363" s="9"/>
    </row>
    <row r="364" spans="1:41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AN364" s="9"/>
      <c r="AO364" s="9"/>
    </row>
    <row r="365" spans="1:41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AN365" s="9"/>
      <c r="AO365" s="9"/>
    </row>
    <row r="366" spans="1:41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AN366" s="9"/>
      <c r="AO366" s="9"/>
    </row>
    <row r="367" spans="1:41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AN367" s="9"/>
      <c r="AO367" s="9"/>
    </row>
    <row r="368" spans="1:41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AN368" s="9"/>
      <c r="AO368" s="9"/>
    </row>
    <row r="369" spans="1:41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AN369" s="9"/>
      <c r="AO369" s="9"/>
    </row>
    <row r="370" spans="1:41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AN370" s="9"/>
      <c r="AO370" s="9"/>
    </row>
    <row r="371" spans="1:41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AN371" s="9"/>
      <c r="AO371" s="9"/>
    </row>
    <row r="372" spans="1:41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AN372" s="9"/>
      <c r="AO372" s="9"/>
    </row>
    <row r="373" spans="1:41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AN373" s="9"/>
      <c r="AO373" s="9"/>
    </row>
    <row r="374" spans="1:41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AN374" s="9"/>
      <c r="AO374" s="9"/>
    </row>
    <row r="375" spans="1:41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AN375" s="9"/>
      <c r="AO375" s="9"/>
    </row>
    <row r="376" spans="1:41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AN376" s="9"/>
      <c r="AO376" s="9"/>
    </row>
    <row r="377" spans="1:41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AN377" s="9"/>
      <c r="AO377" s="9"/>
    </row>
    <row r="378" spans="1:41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AN378" s="9"/>
      <c r="AO378" s="9"/>
    </row>
    <row r="379" spans="1:41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AN379" s="9"/>
      <c r="AO379" s="9"/>
    </row>
    <row r="380" spans="1:41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AN380" s="9"/>
      <c r="AO380" s="9"/>
    </row>
    <row r="381" spans="1:41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AN381" s="9"/>
      <c r="AO381" s="9"/>
    </row>
    <row r="382" spans="1:41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AN382" s="9"/>
      <c r="AO382" s="9"/>
    </row>
    <row r="383" spans="1:41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AN383" s="9"/>
      <c r="AO383" s="9"/>
    </row>
    <row r="384" spans="1:41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AN384" s="9"/>
      <c r="AO384" s="9"/>
    </row>
    <row r="385" spans="1:41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AN385" s="9"/>
      <c r="AO385" s="9"/>
    </row>
    <row r="386" spans="1:41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AN386" s="9"/>
      <c r="AO386" s="9"/>
    </row>
    <row r="387" spans="1:41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AN387" s="9"/>
      <c r="AO387" s="9"/>
    </row>
    <row r="388" spans="1:41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AN388" s="9"/>
      <c r="AO388" s="9"/>
    </row>
    <row r="389" spans="1:41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AN389" s="9"/>
      <c r="AO389" s="9"/>
    </row>
    <row r="390" spans="1:41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AN390" s="9"/>
      <c r="AO390" s="9"/>
    </row>
    <row r="391" spans="1:41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AN391" s="9"/>
      <c r="AO391" s="9"/>
    </row>
    <row r="392" spans="1:41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AN392" s="9"/>
      <c r="AO392" s="9"/>
    </row>
    <row r="393" spans="1:41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AN393" s="9"/>
      <c r="AO393" s="9"/>
    </row>
    <row r="394" spans="1:41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AN394" s="9"/>
      <c r="AO394" s="9"/>
    </row>
    <row r="395" spans="1:41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AN395" s="9"/>
      <c r="AO395" s="9"/>
    </row>
    <row r="396" spans="1:41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AN396" s="9"/>
      <c r="AO396" s="9"/>
    </row>
    <row r="397" spans="1:41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AN397" s="9"/>
      <c r="AO397" s="9"/>
    </row>
    <row r="398" spans="1:41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AN398" s="9"/>
      <c r="AO398" s="9"/>
    </row>
    <row r="399" spans="1:41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AN399" s="9"/>
      <c r="AO399" s="9"/>
    </row>
    <row r="400" spans="1:41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AN400" s="9"/>
      <c r="AO400" s="9"/>
    </row>
    <row r="401" spans="1:41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AN401" s="9"/>
      <c r="AO401" s="9"/>
    </row>
    <row r="402" spans="1:41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AN402" s="9"/>
      <c r="AO402" s="9"/>
    </row>
    <row r="403" spans="1:41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AN403" s="9"/>
      <c r="AO403" s="9"/>
    </row>
    <row r="404" spans="1:41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AN404" s="9"/>
      <c r="AO404" s="9"/>
    </row>
    <row r="405" spans="1:41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AN405" s="9"/>
      <c r="AO405" s="9"/>
    </row>
    <row r="406" spans="1:41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AN406" s="9"/>
      <c r="AO406" s="9"/>
    </row>
    <row r="407" spans="1:41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AN407" s="9"/>
      <c r="AO407" s="9"/>
    </row>
    <row r="408" spans="1:41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AN408" s="9"/>
      <c r="AO408" s="9"/>
    </row>
    <row r="409" spans="1:41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AN409" s="9"/>
      <c r="AO409" s="9"/>
    </row>
    <row r="410" spans="1:41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AN410" s="9"/>
      <c r="AO410" s="9"/>
    </row>
    <row r="411" spans="1:41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AN411" s="9"/>
      <c r="AO411" s="9"/>
    </row>
    <row r="412" spans="1:41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AN412" s="9"/>
      <c r="AO412" s="9"/>
    </row>
    <row r="413" spans="1:41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AN413" s="9"/>
      <c r="AO413" s="9"/>
    </row>
    <row r="414" spans="1:41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AN414" s="9"/>
      <c r="AO414" s="9"/>
    </row>
    <row r="415" spans="1:41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AN415" s="9"/>
      <c r="AO415" s="9"/>
    </row>
    <row r="416" spans="1:41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AN416" s="9"/>
      <c r="AO416" s="9"/>
    </row>
    <row r="417" spans="1:41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AN417" s="9"/>
      <c r="AO417" s="9"/>
    </row>
    <row r="418" spans="1:41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AN418" s="9"/>
      <c r="AO418" s="9"/>
    </row>
    <row r="419" spans="1:41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AN419" s="9"/>
      <c r="AO419" s="9"/>
    </row>
    <row r="420" spans="1:41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AN420" s="9"/>
      <c r="AO420" s="9"/>
    </row>
    <row r="421" spans="1:41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AN421" s="9"/>
      <c r="AO421" s="9"/>
    </row>
    <row r="422" spans="1:41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AN422" s="9"/>
      <c r="AO422" s="9"/>
    </row>
    <row r="423" spans="1:41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AN423" s="9"/>
      <c r="AO423" s="9"/>
    </row>
    <row r="424" spans="1:41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AN424" s="9"/>
      <c r="AO424" s="9"/>
    </row>
    <row r="425" spans="1:41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AN425" s="9"/>
      <c r="AO425" s="9"/>
    </row>
    <row r="426" spans="1:41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AN426" s="9"/>
      <c r="AO426" s="9"/>
    </row>
    <row r="427" spans="1:41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AN427" s="9"/>
      <c r="AO427" s="9"/>
    </row>
    <row r="428" spans="1:41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AN428" s="9"/>
      <c r="AO428" s="9"/>
    </row>
    <row r="429" spans="1:41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AN429" s="9"/>
      <c r="AO429" s="9"/>
    </row>
    <row r="430" spans="1:41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AN430" s="9"/>
      <c r="AO430" s="9"/>
    </row>
    <row r="431" spans="1:41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AN431" s="9"/>
      <c r="AO431" s="9"/>
    </row>
    <row r="432" spans="1:41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AN432" s="9"/>
      <c r="AO432" s="9"/>
    </row>
    <row r="433" spans="1:41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AN433" s="9"/>
      <c r="AO433" s="9"/>
    </row>
    <row r="434" spans="1:41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AN434" s="9"/>
      <c r="AO434" s="9"/>
    </row>
    <row r="435" spans="1:41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AN435" s="9"/>
      <c r="AO435" s="9"/>
    </row>
    <row r="436" spans="1:41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AN436" s="9"/>
      <c r="AO436" s="9"/>
    </row>
    <row r="437" spans="1:41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AN437" s="9"/>
      <c r="AO437" s="9"/>
    </row>
    <row r="438" spans="1:41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AN438" s="9"/>
      <c r="AO438" s="9"/>
    </row>
    <row r="439" spans="1:41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AN439" s="9"/>
      <c r="AO439" s="9"/>
    </row>
    <row r="440" spans="1:41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AN440" s="9"/>
      <c r="AO440" s="9"/>
    </row>
    <row r="441" spans="1:41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AN441" s="9"/>
      <c r="AO441" s="9"/>
    </row>
    <row r="442" spans="1:41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AN442" s="9"/>
      <c r="AO442" s="9"/>
    </row>
    <row r="443" spans="1:41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AN443" s="9"/>
      <c r="AO443" s="9"/>
    </row>
    <row r="444" spans="1:41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AN444" s="9"/>
      <c r="AO444" s="9"/>
    </row>
    <row r="445" spans="1:41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AN445" s="9"/>
      <c r="AO445" s="9"/>
    </row>
    <row r="446" spans="1:41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AN446" s="9"/>
      <c r="AO446" s="9"/>
    </row>
    <row r="447" spans="1:41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AN447" s="9"/>
      <c r="AO447" s="9"/>
    </row>
    <row r="448" spans="1:41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AN448" s="9"/>
      <c r="AO448" s="9"/>
    </row>
    <row r="449" spans="1:41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AN449" s="9"/>
      <c r="AO449" s="9"/>
    </row>
    <row r="450" spans="1:41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AN450" s="9"/>
      <c r="AO450" s="9"/>
    </row>
    <row r="451" spans="1:41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AN451" s="9"/>
      <c r="AO451" s="9"/>
    </row>
    <row r="452" spans="1:41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AN452" s="9"/>
      <c r="AO452" s="9"/>
    </row>
    <row r="453" spans="1:41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AN453" s="9"/>
      <c r="AO453" s="9"/>
    </row>
    <row r="454" spans="1:41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AN454" s="9"/>
      <c r="AO454" s="9"/>
    </row>
    <row r="455" spans="1:41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AN455" s="9"/>
      <c r="AO455" s="9"/>
    </row>
    <row r="456" spans="1:41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AN456" s="9"/>
      <c r="AO456" s="9"/>
    </row>
    <row r="457" spans="1:41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AN457" s="9"/>
      <c r="AO457" s="9"/>
    </row>
    <row r="458" spans="1:41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AN458" s="9"/>
      <c r="AO458" s="9"/>
    </row>
    <row r="459" spans="1:41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AN459" s="9"/>
      <c r="AO459" s="9"/>
    </row>
    <row r="460" spans="1:41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AN460" s="9"/>
      <c r="AO460" s="9"/>
    </row>
    <row r="461" spans="1:41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AN461" s="9"/>
      <c r="AO461" s="9"/>
    </row>
    <row r="462" spans="1:41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AN462" s="9"/>
      <c r="AO462" s="9"/>
    </row>
    <row r="463" spans="1:41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AN463" s="9"/>
      <c r="AO463" s="9"/>
    </row>
    <row r="464" spans="1:41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AN464" s="9"/>
      <c r="AO464" s="9"/>
    </row>
    <row r="465" spans="1:41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AN465" s="9"/>
      <c r="AO465" s="9"/>
    </row>
    <row r="466" spans="1:41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AN466" s="9"/>
      <c r="AO466" s="9"/>
    </row>
    <row r="467" spans="1:41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AN467" s="9"/>
      <c r="AO467" s="9"/>
    </row>
    <row r="468" spans="1:41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AN468" s="9"/>
      <c r="AO468" s="9"/>
    </row>
    <row r="469" spans="1:41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AN469" s="9"/>
      <c r="AO469" s="9"/>
    </row>
    <row r="470" spans="1:41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AN470" s="9"/>
      <c r="AO470" s="9"/>
    </row>
    <row r="471" spans="1:41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AN471" s="9"/>
      <c r="AO471" s="9"/>
    </row>
    <row r="472" spans="1:41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AN472" s="9"/>
      <c r="AO472" s="9"/>
    </row>
    <row r="473" spans="1:41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AN473" s="9"/>
      <c r="AO473" s="9"/>
    </row>
    <row r="474" spans="1:41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AN474" s="9"/>
      <c r="AO474" s="9"/>
    </row>
    <row r="475" spans="1:41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AN475" s="9"/>
      <c r="AO475" s="9"/>
    </row>
    <row r="476" spans="1:41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AN476" s="9"/>
      <c r="AO476" s="9"/>
    </row>
    <row r="477" spans="1:41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AN477" s="9"/>
      <c r="AO477" s="9"/>
    </row>
    <row r="478" spans="1:41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AN478" s="9"/>
      <c r="AO478" s="9"/>
    </row>
    <row r="479" spans="1:41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AN479" s="9"/>
      <c r="AO479" s="9"/>
    </row>
    <row r="480" spans="1:41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AN480" s="9"/>
      <c r="AO480" s="9"/>
    </row>
    <row r="481" spans="1:41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AN481" s="9"/>
      <c r="AO481" s="9"/>
    </row>
    <row r="482" spans="1:41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AN482" s="9"/>
      <c r="AO482" s="9"/>
    </row>
    <row r="483" spans="1:41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AN483" s="9"/>
      <c r="AO483" s="9"/>
    </row>
    <row r="484" spans="1:41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AN484" s="9"/>
      <c r="AO484" s="9"/>
    </row>
    <row r="485" spans="1:41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AN485" s="9"/>
      <c r="AO485" s="9"/>
    </row>
    <row r="486" spans="1:41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AN486" s="9"/>
      <c r="AO486" s="9"/>
    </row>
    <row r="487" spans="1:41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AN487" s="9"/>
      <c r="AO487" s="9"/>
    </row>
    <row r="488" spans="1:41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AN488" s="9"/>
      <c r="AO488" s="9"/>
    </row>
    <row r="489" spans="1:41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AN489" s="9"/>
      <c r="AO489" s="9"/>
    </row>
    <row r="490" spans="1:41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AN490" s="9"/>
      <c r="AO490" s="9"/>
    </row>
    <row r="491" spans="1:41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AN491" s="9"/>
      <c r="AO491" s="9"/>
    </row>
    <row r="492" spans="1:41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AN492" s="9"/>
      <c r="AO492" s="9"/>
    </row>
    <row r="493" spans="1:41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AN493" s="9"/>
      <c r="AO493" s="9"/>
    </row>
    <row r="494" spans="1:41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AN494" s="9"/>
      <c r="AO494" s="9"/>
    </row>
    <row r="495" spans="1:41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AN495" s="9"/>
      <c r="AO495" s="9"/>
    </row>
    <row r="496" spans="1:41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AN496" s="9"/>
      <c r="AO496" s="9"/>
    </row>
    <row r="497" spans="1:41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AN497" s="9"/>
      <c r="AO497" s="9"/>
    </row>
    <row r="498" spans="1:41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AN498" s="9"/>
      <c r="AO498" s="9"/>
    </row>
    <row r="499" spans="1:41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AN499" s="9"/>
      <c r="AO499" s="9"/>
    </row>
    <row r="500" spans="1:41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AN500" s="9"/>
      <c r="AO500" s="9"/>
    </row>
    <row r="501" spans="1:41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AN501" s="9"/>
      <c r="AO501" s="9"/>
    </row>
    <row r="502" spans="1:41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AN502" s="9"/>
      <c r="AO502" s="9"/>
    </row>
    <row r="503" spans="1:41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AN503" s="9"/>
      <c r="AO503" s="9"/>
    </row>
    <row r="504" spans="1:41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AN504" s="9"/>
      <c r="AO504" s="9"/>
    </row>
    <row r="505" spans="1:41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AN505" s="9"/>
      <c r="AO505" s="9"/>
    </row>
    <row r="506" spans="1:41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AN506" s="9"/>
      <c r="AO506" s="9"/>
    </row>
    <row r="507" spans="1:41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AN507" s="9"/>
      <c r="AO507" s="9"/>
    </row>
    <row r="508" spans="1:41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AN508" s="9"/>
      <c r="AO508" s="9"/>
    </row>
    <row r="509" spans="1:41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AN509" s="9"/>
      <c r="AO509" s="9"/>
    </row>
    <row r="510" spans="1:41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AN510" s="9"/>
      <c r="AO510" s="9"/>
    </row>
    <row r="511" spans="1:41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AN511" s="9"/>
      <c r="AO511" s="9"/>
    </row>
    <row r="512" spans="1:41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AN512" s="9"/>
      <c r="AO512" s="9"/>
    </row>
    <row r="513" spans="1:41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AN513" s="9"/>
      <c r="AO513" s="9"/>
    </row>
    <row r="514" spans="1:41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AN514" s="9"/>
      <c r="AO514" s="9"/>
    </row>
    <row r="515" spans="1:41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AN515" s="9"/>
      <c r="AO515" s="9"/>
    </row>
    <row r="516" spans="1:41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AN516" s="9"/>
      <c r="AO516" s="9"/>
    </row>
    <row r="517" spans="1:41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AN517" s="9"/>
      <c r="AO517" s="9"/>
    </row>
    <row r="518" spans="1:41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AN518" s="9"/>
      <c r="AO518" s="9"/>
    </row>
    <row r="519" spans="1:41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AN519" s="9"/>
      <c r="AO519" s="9"/>
    </row>
    <row r="520" spans="1:41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AN520" s="9"/>
      <c r="AO520" s="9"/>
    </row>
    <row r="521" spans="1:41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AN521" s="9"/>
      <c r="AO521" s="9"/>
    </row>
    <row r="522" spans="1:41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AN522" s="9"/>
      <c r="AO522" s="9"/>
    </row>
    <row r="523" spans="1:41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AN523" s="9"/>
      <c r="AO523" s="9"/>
    </row>
    <row r="524" spans="1:41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AN524" s="9"/>
      <c r="AO524" s="9"/>
    </row>
    <row r="525" spans="1:41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AN525" s="9"/>
      <c r="AO525" s="9"/>
    </row>
    <row r="526" spans="1:41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AN526" s="9"/>
      <c r="AO526" s="9"/>
    </row>
    <row r="527" spans="1:41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AN527" s="9"/>
      <c r="AO527" s="9"/>
    </row>
    <row r="528" spans="1:41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AN528" s="9"/>
      <c r="AO528" s="9"/>
    </row>
    <row r="529" spans="1:41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AN529" s="9"/>
      <c r="AO529" s="9"/>
    </row>
    <row r="530" spans="1:41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AN530" s="9"/>
      <c r="AO530" s="9"/>
    </row>
    <row r="531" spans="1:41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AN531" s="9"/>
      <c r="AO531" s="9"/>
    </row>
    <row r="532" spans="1:41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AN532" s="9"/>
      <c r="AO532" s="9"/>
    </row>
    <row r="533" spans="1:41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AN533" s="9"/>
      <c r="AO533" s="9"/>
    </row>
    <row r="534" spans="1:41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AN534" s="9"/>
      <c r="AO534" s="9"/>
    </row>
    <row r="535" spans="1:41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AN535" s="9"/>
      <c r="AO535" s="9"/>
    </row>
    <row r="536" spans="1:41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AN536" s="9"/>
      <c r="AO536" s="9"/>
    </row>
    <row r="537" spans="1:41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AN537" s="9"/>
      <c r="AO537" s="9"/>
    </row>
    <row r="538" spans="1:41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AN538" s="9"/>
      <c r="AO538" s="9"/>
    </row>
    <row r="539" spans="1:41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AN539" s="9"/>
      <c r="AO539" s="9"/>
    </row>
    <row r="540" spans="1:41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AN540" s="9"/>
      <c r="AO540" s="9"/>
    </row>
    <row r="541" spans="1:41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AN541" s="9"/>
      <c r="AO541" s="9"/>
    </row>
    <row r="542" spans="1:41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AN542" s="9"/>
      <c r="AO542" s="9"/>
    </row>
    <row r="543" spans="1:41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AN543" s="9"/>
      <c r="AO543" s="9"/>
    </row>
    <row r="544" spans="1:41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AN544" s="9"/>
      <c r="AO544" s="9"/>
    </row>
    <row r="545" spans="1:41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AN545" s="9"/>
      <c r="AO545" s="9"/>
    </row>
    <row r="546" spans="1:41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AN546" s="9"/>
      <c r="AO546" s="9"/>
    </row>
    <row r="547" spans="1:41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AN547" s="9"/>
      <c r="AO547" s="9"/>
    </row>
    <row r="548" spans="1:41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AN548" s="9"/>
      <c r="AO548" s="9"/>
    </row>
    <row r="549" spans="1:41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AN549" s="9"/>
      <c r="AO549" s="9"/>
    </row>
    <row r="550" spans="1:41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AN550" s="9"/>
      <c r="AO550" s="9"/>
    </row>
    <row r="551" spans="1:41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AN551" s="9"/>
      <c r="AO551" s="9"/>
    </row>
    <row r="552" spans="1:41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AN552" s="9"/>
      <c r="AO552" s="9"/>
    </row>
    <row r="553" spans="1:41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AN553" s="9"/>
      <c r="AO553" s="9"/>
    </row>
    <row r="554" spans="1:41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AN554" s="9"/>
      <c r="AO554" s="9"/>
    </row>
    <row r="555" spans="1:41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AN555" s="9"/>
      <c r="AO555" s="9"/>
    </row>
    <row r="556" spans="1:41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AN556" s="9"/>
      <c r="AO556" s="9"/>
    </row>
    <row r="557" spans="1:41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AN557" s="9"/>
      <c r="AO557" s="9"/>
    </row>
    <row r="558" spans="1:41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AN558" s="9"/>
      <c r="AO558" s="9"/>
    </row>
    <row r="559" spans="1:41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AN559" s="9"/>
      <c r="AO559" s="9"/>
    </row>
    <row r="560" spans="1:41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AN560" s="9"/>
      <c r="AO560" s="9"/>
    </row>
    <row r="561" spans="1:41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AN561" s="9"/>
      <c r="AO561" s="9"/>
    </row>
    <row r="562" spans="1:41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AN562" s="9"/>
      <c r="AO562" s="9"/>
    </row>
    <row r="563" spans="1:41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AN563" s="9"/>
      <c r="AO563" s="9"/>
    </row>
    <row r="564" spans="1:41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AN564" s="9"/>
      <c r="AO564" s="9"/>
    </row>
    <row r="565" spans="1:41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AN565" s="9"/>
      <c r="AO565" s="9"/>
    </row>
    <row r="566" spans="1:41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AN566" s="9"/>
      <c r="AO566" s="9"/>
    </row>
    <row r="567" spans="1:41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AN567" s="9"/>
      <c r="AO567" s="9"/>
    </row>
    <row r="568" spans="1:41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AN568" s="9"/>
      <c r="AO568" s="9"/>
    </row>
    <row r="569" spans="1:41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AN569" s="9"/>
      <c r="AO569" s="9"/>
    </row>
    <row r="570" spans="1:41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AN570" s="9"/>
      <c r="AO570" s="9"/>
    </row>
    <row r="571" spans="1:41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AN571" s="9"/>
      <c r="AO571" s="9"/>
    </row>
    <row r="572" spans="1:41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AN572" s="9"/>
      <c r="AO572" s="9"/>
    </row>
    <row r="573" spans="1:41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AN573" s="9"/>
      <c r="AO573" s="9"/>
    </row>
    <row r="574" spans="1:41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AN574" s="9"/>
      <c r="AO574" s="9"/>
    </row>
    <row r="575" spans="1:41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AN575" s="9"/>
      <c r="AO575" s="9"/>
    </row>
    <row r="576" spans="1:41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AN576" s="9"/>
      <c r="AO576" s="9"/>
    </row>
    <row r="577" spans="1:41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AN577" s="9"/>
      <c r="AO577" s="9"/>
    </row>
    <row r="578" spans="1:41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AN578" s="9"/>
      <c r="AO578" s="9"/>
    </row>
    <row r="579" spans="1:41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AN579" s="9"/>
      <c r="AO579" s="9"/>
    </row>
    <row r="580" spans="1:41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AN580" s="9"/>
      <c r="AO580" s="9"/>
    </row>
    <row r="581" spans="1:41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AN581" s="9"/>
      <c r="AO581" s="9"/>
    </row>
    <row r="582" spans="1:41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AN582" s="9"/>
      <c r="AO582" s="9"/>
    </row>
    <row r="583" spans="1:41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AN583" s="9"/>
      <c r="AO583" s="9"/>
    </row>
    <row r="584" spans="1:41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AN584" s="9"/>
      <c r="AO584" s="9"/>
    </row>
    <row r="585" spans="1:41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AN585" s="9"/>
      <c r="AO585" s="9"/>
    </row>
    <row r="586" spans="1:41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AN586" s="9"/>
      <c r="AO586" s="9"/>
    </row>
    <row r="587" spans="1:41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AN587" s="9"/>
      <c r="AO587" s="9"/>
    </row>
    <row r="588" spans="1:41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AN588" s="9"/>
      <c r="AO588" s="9"/>
    </row>
    <row r="589" spans="1:41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AN589" s="9"/>
      <c r="AO589" s="9"/>
    </row>
    <row r="590" spans="1:41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AN590" s="9"/>
      <c r="AO590" s="9"/>
    </row>
    <row r="591" spans="1:41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AN591" s="9"/>
      <c r="AO591" s="9"/>
    </row>
    <row r="592" spans="1:41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AN592" s="9"/>
      <c r="AO592" s="9"/>
    </row>
    <row r="593" spans="1:41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AN593" s="9"/>
      <c r="AO593" s="9"/>
    </row>
    <row r="594" spans="1:41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AN594" s="9"/>
      <c r="AO594" s="9"/>
    </row>
    <row r="595" spans="1:41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AN595" s="9"/>
      <c r="AO595" s="9"/>
    </row>
    <row r="596" spans="1:41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AN596" s="9"/>
      <c r="AO596" s="9"/>
    </row>
    <row r="597" spans="1:41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AN597" s="9"/>
      <c r="AO597" s="9"/>
    </row>
    <row r="598" spans="1:41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AN598" s="9"/>
      <c r="AO598" s="9"/>
    </row>
    <row r="599" spans="1:41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AN599" s="9"/>
      <c r="AO599" s="9"/>
    </row>
    <row r="600" spans="1:41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AN600" s="9"/>
      <c r="AO600" s="9"/>
    </row>
    <row r="601" spans="1:41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AN601" s="9"/>
      <c r="AO601" s="9"/>
    </row>
    <row r="602" spans="1:41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AN602" s="9"/>
      <c r="AO602" s="9"/>
    </row>
    <row r="603" spans="1:41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AN603" s="9"/>
      <c r="AO603" s="9"/>
    </row>
    <row r="604" spans="1:41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AN604" s="9"/>
      <c r="AO604" s="9"/>
    </row>
    <row r="605" spans="1:41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AN605" s="9"/>
      <c r="AO605" s="9"/>
    </row>
    <row r="606" spans="1:41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AN606" s="9"/>
      <c r="AO606" s="9"/>
    </row>
    <row r="607" spans="1:41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AN607" s="9"/>
      <c r="AO607" s="9"/>
    </row>
    <row r="608" spans="1:41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AN608" s="9"/>
      <c r="AO608" s="9"/>
    </row>
    <row r="609" spans="1:41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AN609" s="9"/>
      <c r="AO609" s="9"/>
    </row>
    <row r="610" spans="1:41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AN610" s="9"/>
      <c r="AO610" s="9"/>
    </row>
    <row r="611" spans="1:41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AN611" s="9"/>
      <c r="AO611" s="9"/>
    </row>
    <row r="612" spans="1:41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AN612" s="9"/>
      <c r="AO612" s="9"/>
    </row>
    <row r="613" spans="1:41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AN613" s="9"/>
      <c r="AO613" s="9"/>
    </row>
    <row r="614" spans="1:41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AN614" s="9"/>
      <c r="AO614" s="9"/>
    </row>
    <row r="615" spans="1:41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AN615" s="9"/>
      <c r="AO615" s="9"/>
    </row>
    <row r="616" spans="1:41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AN616" s="9"/>
      <c r="AO616" s="9"/>
    </row>
    <row r="617" spans="1:41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AN617" s="9"/>
      <c r="AO617" s="9"/>
    </row>
    <row r="618" spans="1:41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AN618" s="9"/>
      <c r="AO618" s="9"/>
    </row>
    <row r="619" spans="1:41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AN619" s="9"/>
      <c r="AO619" s="9"/>
    </row>
    <row r="620" spans="1:41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AN620" s="9"/>
      <c r="AO620" s="9"/>
    </row>
    <row r="621" spans="1:41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AN621" s="9"/>
      <c r="AO621" s="9"/>
    </row>
    <row r="622" spans="1:41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AN622" s="9"/>
      <c r="AO622" s="9"/>
    </row>
    <row r="623" spans="1:41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AN623" s="9"/>
      <c r="AO623" s="9"/>
    </row>
    <row r="624" spans="1:41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AN624" s="9"/>
      <c r="AO624" s="9"/>
    </row>
    <row r="625" spans="1:41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AN625" s="9"/>
      <c r="AO625" s="9"/>
    </row>
    <row r="626" spans="1:41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AN626" s="9"/>
      <c r="AO626" s="9"/>
    </row>
    <row r="627" spans="1:41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AN627" s="9"/>
      <c r="AO627" s="9"/>
    </row>
    <row r="628" spans="1:41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AN628" s="9"/>
      <c r="AO628" s="9"/>
    </row>
    <row r="629" spans="1:41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AN629" s="9"/>
      <c r="AO629" s="9"/>
    </row>
    <row r="630" spans="1:41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AN630" s="9"/>
      <c r="AO630" s="9"/>
    </row>
    <row r="631" spans="1:41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AN631" s="9"/>
      <c r="AO631" s="9"/>
    </row>
    <row r="632" spans="1:41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AN632" s="9"/>
      <c r="AO632" s="9"/>
    </row>
    <row r="633" spans="1:41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AN633" s="9"/>
      <c r="AO633" s="9"/>
    </row>
    <row r="634" spans="1:41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AN634" s="9"/>
      <c r="AO634" s="9"/>
    </row>
    <row r="635" spans="1:41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AN635" s="9"/>
      <c r="AO635" s="9"/>
    </row>
    <row r="636" spans="1:41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AN636" s="9"/>
      <c r="AO636" s="9"/>
    </row>
    <row r="637" spans="1:41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AN637" s="9"/>
      <c r="AO637" s="9"/>
    </row>
    <row r="638" spans="1:41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AN638" s="9"/>
      <c r="AO638" s="9"/>
    </row>
    <row r="639" spans="1:41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AN639" s="9"/>
      <c r="AO639" s="9"/>
    </row>
    <row r="640" spans="1:41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AN640" s="9"/>
      <c r="AO640" s="9"/>
    </row>
    <row r="641" spans="1:41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AN641" s="9"/>
      <c r="AO641" s="9"/>
    </row>
    <row r="642" spans="1:41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AN642" s="9"/>
      <c r="AO642" s="9"/>
    </row>
    <row r="643" spans="1:41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AN643" s="9"/>
      <c r="AO643" s="9"/>
    </row>
    <row r="644" spans="1:41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AN644" s="9"/>
      <c r="AO644" s="9"/>
    </row>
    <row r="645" spans="1:41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AN645" s="9"/>
      <c r="AO645" s="9"/>
    </row>
    <row r="646" spans="1:41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AN646" s="9"/>
      <c r="AO646" s="9"/>
    </row>
    <row r="647" spans="1:41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AN647" s="9"/>
      <c r="AO647" s="9"/>
    </row>
    <row r="648" spans="1:41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AN648" s="9"/>
      <c r="AO648" s="9"/>
    </row>
    <row r="649" spans="1:41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AN649" s="9"/>
      <c r="AO649" s="9"/>
    </row>
    <row r="650" spans="1:41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AN650" s="9"/>
      <c r="AO650" s="9"/>
    </row>
    <row r="651" spans="1:41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AN651" s="9"/>
      <c r="AO651" s="9"/>
    </row>
    <row r="652" spans="1:41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AN652" s="9"/>
      <c r="AO652" s="9"/>
    </row>
    <row r="653" spans="1:41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AN653" s="9"/>
      <c r="AO653" s="9"/>
    </row>
    <row r="654" spans="1:41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AN654" s="9"/>
      <c r="AO654" s="9"/>
    </row>
    <row r="655" spans="1:41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AN655" s="9"/>
      <c r="AO655" s="9"/>
    </row>
    <row r="656" spans="1:41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AN656" s="9"/>
      <c r="AO656" s="9"/>
    </row>
    <row r="657" spans="1:41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AN657" s="9"/>
      <c r="AO657" s="9"/>
    </row>
    <row r="658" spans="1:41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AN658" s="9"/>
      <c r="AO658" s="9"/>
    </row>
    <row r="659" spans="1:41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AN659" s="9"/>
      <c r="AO659" s="9"/>
    </row>
    <row r="660" spans="1:41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AN660" s="9"/>
      <c r="AO660" s="9"/>
    </row>
    <row r="661" spans="1:41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AN661" s="9"/>
      <c r="AO661" s="9"/>
    </row>
    <row r="662" spans="1:41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AN662" s="9"/>
      <c r="AO662" s="9"/>
    </row>
    <row r="663" spans="1:41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AN663" s="9"/>
      <c r="AO663" s="9"/>
    </row>
    <row r="664" spans="1:41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AN664" s="9"/>
      <c r="AO664" s="9"/>
    </row>
    <row r="665" spans="1:41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AN665" s="9"/>
      <c r="AO665" s="9"/>
    </row>
    <row r="666" spans="1:41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AN666" s="9"/>
      <c r="AO666" s="9"/>
    </row>
    <row r="667" spans="1:41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AN667" s="9"/>
      <c r="AO667" s="9"/>
    </row>
    <row r="668" spans="1:41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AN668" s="9"/>
      <c r="AO668" s="9"/>
    </row>
    <row r="669" spans="1:41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AN669" s="9"/>
      <c r="AO669" s="9"/>
    </row>
    <row r="670" spans="1:41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AN670" s="9"/>
      <c r="AO670" s="9"/>
    </row>
    <row r="671" spans="1:41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AN671" s="9"/>
      <c r="AO671" s="9"/>
    </row>
    <row r="672" spans="1:41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AN672" s="9"/>
      <c r="AO672" s="9"/>
    </row>
    <row r="673" spans="1:41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AN673" s="9"/>
      <c r="AO673" s="9"/>
    </row>
    <row r="674" spans="1:41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AN674" s="9"/>
      <c r="AO674" s="9"/>
    </row>
    <row r="675" spans="1:41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AN675" s="9"/>
      <c r="AO675" s="9"/>
    </row>
    <row r="676" spans="1:41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AN676" s="9"/>
      <c r="AO676" s="9"/>
    </row>
    <row r="677" spans="1:41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AN677" s="9"/>
      <c r="AO677" s="9"/>
    </row>
    <row r="678" spans="1:41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AN678" s="9"/>
      <c r="AO678" s="9"/>
    </row>
    <row r="679" spans="1:41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AN679" s="9"/>
      <c r="AO679" s="9"/>
    </row>
    <row r="680" spans="1:41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AN680" s="9"/>
      <c r="AO680" s="9"/>
    </row>
    <row r="681" spans="1:41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AN681" s="9"/>
      <c r="AO681" s="9"/>
    </row>
    <row r="682" spans="1:41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AN682" s="9"/>
      <c r="AO682" s="9"/>
    </row>
    <row r="683" spans="1:41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AN683" s="9"/>
      <c r="AO683" s="9"/>
    </row>
    <row r="684" spans="1:41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AN684" s="9"/>
      <c r="AO684" s="9"/>
    </row>
    <row r="685" spans="1:41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AN685" s="9"/>
      <c r="AO685" s="9"/>
    </row>
    <row r="686" spans="1:41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AN686" s="9"/>
      <c r="AO686" s="9"/>
    </row>
    <row r="687" spans="1:41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AN687" s="9"/>
      <c r="AO687" s="9"/>
    </row>
    <row r="688" spans="1:41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AN688" s="9"/>
      <c r="AO688" s="9"/>
    </row>
    <row r="689" spans="1:41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AN689" s="9"/>
      <c r="AO689" s="9"/>
    </row>
    <row r="690" spans="1:41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AN690" s="9"/>
      <c r="AO690" s="9"/>
    </row>
    <row r="691" spans="1:41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AN691" s="9"/>
      <c r="AO691" s="9"/>
    </row>
    <row r="692" spans="1:41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AN692" s="9"/>
      <c r="AO692" s="9"/>
    </row>
    <row r="693" spans="1:41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AN693" s="9"/>
      <c r="AO693" s="9"/>
    </row>
    <row r="694" spans="1:41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AN694" s="9"/>
      <c r="AO694" s="9"/>
    </row>
    <row r="695" spans="1:41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AN695" s="9"/>
      <c r="AO695" s="9"/>
    </row>
    <row r="696" spans="1:41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AN696" s="9"/>
      <c r="AO696" s="9"/>
    </row>
    <row r="697" spans="1:41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AN697" s="9"/>
      <c r="AO697" s="9"/>
    </row>
    <row r="698" spans="1:41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AN698" s="9"/>
      <c r="AO698" s="9"/>
    </row>
    <row r="699" spans="1:41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AN699" s="9"/>
      <c r="AO699" s="9"/>
    </row>
    <row r="700" spans="1:41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AN700" s="9"/>
      <c r="AO700" s="9"/>
    </row>
    <row r="701" spans="1:41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AN701" s="9"/>
      <c r="AO701" s="9"/>
    </row>
    <row r="702" spans="1:41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AN702" s="9"/>
      <c r="AO702" s="9"/>
    </row>
    <row r="703" spans="1:41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AN703" s="9"/>
      <c r="AO703" s="9"/>
    </row>
    <row r="704" spans="1:41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AN704" s="9"/>
      <c r="AO704" s="9"/>
    </row>
    <row r="705" spans="1:41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AN705" s="9"/>
      <c r="AO705" s="9"/>
    </row>
    <row r="706" spans="1:41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AN706" s="9"/>
      <c r="AO706" s="9"/>
    </row>
    <row r="707" spans="1:41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AN707" s="9"/>
      <c r="AO707" s="9"/>
    </row>
    <row r="708" spans="1:41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AN708" s="9"/>
      <c r="AO708" s="9"/>
    </row>
    <row r="709" spans="1:41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AN709" s="9"/>
      <c r="AO709" s="9"/>
    </row>
    <row r="710" spans="1:41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AN710" s="9"/>
      <c r="AO710" s="9"/>
    </row>
    <row r="711" spans="1:41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AN711" s="9"/>
      <c r="AO711" s="9"/>
    </row>
    <row r="712" spans="1:41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AN712" s="9"/>
      <c r="AO712" s="9"/>
    </row>
    <row r="713" spans="1:41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AN713" s="9"/>
      <c r="AO713" s="9"/>
    </row>
    <row r="714" spans="1:41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AN714" s="9"/>
      <c r="AO714" s="9"/>
    </row>
    <row r="715" spans="1:41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AN715" s="9"/>
      <c r="AO715" s="9"/>
    </row>
    <row r="716" spans="1:41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AN716" s="9"/>
      <c r="AO716" s="9"/>
    </row>
    <row r="717" spans="1:41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AN717" s="9"/>
      <c r="AO717" s="9"/>
    </row>
    <row r="718" spans="1:41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AN718" s="9"/>
      <c r="AO718" s="9"/>
    </row>
    <row r="719" spans="1:41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AN719" s="9"/>
      <c r="AO719" s="9"/>
    </row>
    <row r="720" spans="1:41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AN720" s="9"/>
      <c r="AO720" s="9"/>
    </row>
    <row r="721" spans="1:41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AN721" s="9"/>
      <c r="AO721" s="9"/>
    </row>
    <row r="722" spans="1:41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AN722" s="9"/>
      <c r="AO722" s="9"/>
    </row>
    <row r="723" spans="1:41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AN723" s="9"/>
      <c r="AO723" s="9"/>
    </row>
    <row r="724" spans="1:41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AN724" s="9"/>
      <c r="AO724" s="9"/>
    </row>
    <row r="725" spans="1:41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AN725" s="9"/>
      <c r="AO725" s="9"/>
    </row>
    <row r="726" spans="1:41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AN726" s="9"/>
      <c r="AO726" s="9"/>
    </row>
    <row r="727" spans="1:41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AN727" s="9"/>
      <c r="AO727" s="9"/>
    </row>
    <row r="728" spans="1:41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AN728" s="9"/>
      <c r="AO728" s="9"/>
    </row>
    <row r="729" spans="1:41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AN729" s="9"/>
      <c r="AO729" s="9"/>
    </row>
    <row r="730" spans="1:41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AN730" s="9"/>
      <c r="AO730" s="9"/>
    </row>
    <row r="731" spans="1:41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AN731" s="9"/>
      <c r="AO731" s="9"/>
    </row>
    <row r="732" spans="1:41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AN732" s="9"/>
      <c r="AO732" s="9"/>
    </row>
    <row r="733" spans="1:41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AN733" s="9"/>
      <c r="AO733" s="9"/>
    </row>
    <row r="734" spans="1:41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AN734" s="9"/>
      <c r="AO734" s="9"/>
    </row>
    <row r="735" spans="1:41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AN735" s="9"/>
      <c r="AO735" s="9"/>
    </row>
    <row r="736" spans="1:41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AN736" s="9"/>
      <c r="AO736" s="9"/>
    </row>
    <row r="737" spans="1:41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AN737" s="9"/>
      <c r="AO737" s="9"/>
    </row>
    <row r="738" spans="1:41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AN738" s="9"/>
      <c r="AO738" s="9"/>
    </row>
    <row r="739" spans="1:41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AN739" s="9"/>
      <c r="AO739" s="9"/>
    </row>
    <row r="740" spans="1:41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AN740" s="9"/>
      <c r="AO740" s="9"/>
    </row>
    <row r="741" spans="1:41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AN741" s="9"/>
      <c r="AO741" s="9"/>
    </row>
    <row r="742" spans="1:41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AN742" s="9"/>
      <c r="AO742" s="9"/>
    </row>
    <row r="743" spans="1:41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AN743" s="9"/>
      <c r="AO743" s="9"/>
    </row>
    <row r="744" spans="1:41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AN744" s="9"/>
      <c r="AO744" s="9"/>
    </row>
    <row r="745" spans="1:41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AN745" s="9"/>
      <c r="AO745" s="9"/>
    </row>
    <row r="746" spans="1:41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AN746" s="9"/>
      <c r="AO746" s="9"/>
    </row>
    <row r="747" spans="1:41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AN747" s="9"/>
      <c r="AO747" s="9"/>
    </row>
    <row r="748" spans="1:41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AN748" s="9"/>
      <c r="AO748" s="9"/>
    </row>
    <row r="749" spans="1:41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AN749" s="9"/>
      <c r="AO749" s="9"/>
    </row>
    <row r="750" spans="1:41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AN750" s="9"/>
      <c r="AO750" s="9"/>
    </row>
    <row r="751" spans="1:41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AN751" s="9"/>
      <c r="AO751" s="9"/>
    </row>
    <row r="752" spans="1:41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AN752" s="9"/>
      <c r="AO752" s="9"/>
    </row>
    <row r="753" spans="1:41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AN753" s="9"/>
      <c r="AO753" s="9"/>
    </row>
    <row r="754" spans="1:41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AN754" s="9"/>
      <c r="AO754" s="9"/>
    </row>
    <row r="755" spans="1:41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AN755" s="9"/>
      <c r="AO755" s="9"/>
    </row>
    <row r="756" spans="1:41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AN756" s="9"/>
      <c r="AO756" s="9"/>
    </row>
    <row r="757" spans="1:41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AN757" s="9"/>
      <c r="AO757" s="9"/>
    </row>
    <row r="758" spans="1:41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AN758" s="9"/>
      <c r="AO758" s="9"/>
    </row>
    <row r="759" spans="1:41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AN759" s="9"/>
      <c r="AO759" s="9"/>
    </row>
    <row r="760" spans="1:41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AN760" s="9"/>
      <c r="AO760" s="9"/>
    </row>
    <row r="761" spans="1:41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AN761" s="9"/>
      <c r="AO761" s="9"/>
    </row>
    <row r="762" spans="1:41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AN762" s="9"/>
      <c r="AO762" s="9"/>
    </row>
    <row r="763" spans="1:41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AN763" s="9"/>
      <c r="AO763" s="9"/>
    </row>
    <row r="764" spans="1:41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AN764" s="9"/>
      <c r="AO764" s="9"/>
    </row>
    <row r="765" spans="1:41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AN765" s="9"/>
      <c r="AO765" s="9"/>
    </row>
    <row r="766" spans="1:41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AN766" s="9"/>
      <c r="AO766" s="9"/>
    </row>
    <row r="767" spans="1:41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AN767" s="9"/>
      <c r="AO767" s="9"/>
    </row>
    <row r="768" spans="1:41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AN768" s="9"/>
      <c r="AO768" s="9"/>
    </row>
    <row r="769" spans="1:41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AN769" s="9"/>
      <c r="AO769" s="9"/>
    </row>
    <row r="770" spans="1:41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AN770" s="9"/>
      <c r="AO770" s="9"/>
    </row>
    <row r="771" spans="1:41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AN771" s="9"/>
      <c r="AO771" s="9"/>
    </row>
    <row r="772" spans="1:41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AN772" s="9"/>
      <c r="AO772" s="9"/>
    </row>
    <row r="773" spans="1:41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AN773" s="9"/>
      <c r="AO773" s="9"/>
    </row>
    <row r="774" spans="1:41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AN774" s="9"/>
      <c r="AO774" s="9"/>
    </row>
    <row r="775" spans="1:41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AN775" s="9"/>
      <c r="AO775" s="9"/>
    </row>
    <row r="776" spans="1:41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AN776" s="9"/>
      <c r="AO776" s="9"/>
    </row>
    <row r="777" spans="1:41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AN777" s="9"/>
      <c r="AO777" s="9"/>
    </row>
    <row r="778" spans="1:41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AN778" s="9"/>
      <c r="AO778" s="9"/>
    </row>
    <row r="779" spans="1:41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AN779" s="9"/>
      <c r="AO779" s="9"/>
    </row>
    <row r="780" spans="1:41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AN780" s="9"/>
      <c r="AO780" s="9"/>
    </row>
    <row r="781" spans="1:41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AN781" s="9"/>
      <c r="AO781" s="9"/>
    </row>
    <row r="782" spans="1:41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AN782" s="9"/>
      <c r="AO782" s="9"/>
    </row>
    <row r="783" spans="1:41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AN783" s="9"/>
      <c r="AO783" s="9"/>
    </row>
    <row r="784" spans="1:41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AN784" s="9"/>
      <c r="AO784" s="9"/>
    </row>
    <row r="785" spans="1:41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AN785" s="9"/>
      <c r="AO785" s="9"/>
    </row>
    <row r="786" spans="1:41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AN786" s="9"/>
      <c r="AO786" s="9"/>
    </row>
    <row r="787" spans="1:41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AN787" s="9"/>
      <c r="AO787" s="9"/>
    </row>
    <row r="788" spans="1:41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AN788" s="9"/>
      <c r="AO788" s="9"/>
    </row>
    <row r="789" spans="1:41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AN789" s="9"/>
      <c r="AO789" s="9"/>
    </row>
    <row r="790" spans="1:41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AN790" s="9"/>
      <c r="AO790" s="9"/>
    </row>
    <row r="791" spans="1:41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AN791" s="9"/>
      <c r="AO791" s="9"/>
    </row>
    <row r="792" spans="1:41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AN792" s="9"/>
      <c r="AO792" s="9"/>
    </row>
    <row r="793" spans="1:41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AN793" s="9"/>
      <c r="AO793" s="9"/>
    </row>
    <row r="794" spans="1:41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AN794" s="9"/>
      <c r="AO794" s="9"/>
    </row>
    <row r="795" spans="1:41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AN795" s="9"/>
      <c r="AO795" s="9"/>
    </row>
    <row r="796" spans="1:41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AN796" s="9"/>
      <c r="AO796" s="9"/>
    </row>
    <row r="797" spans="1:41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AN797" s="9"/>
      <c r="AO797" s="9"/>
    </row>
    <row r="798" spans="1:41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AN798" s="9"/>
      <c r="AO798" s="9"/>
    </row>
    <row r="799" spans="1:41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AN799" s="9"/>
      <c r="AO799" s="9"/>
    </row>
    <row r="800" spans="1:41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AN800" s="9"/>
      <c r="AO800" s="9"/>
    </row>
    <row r="801" spans="1:41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AN801" s="9"/>
      <c r="AO801" s="9"/>
    </row>
    <row r="802" spans="1:41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AN802" s="9"/>
      <c r="AO802" s="9"/>
    </row>
    <row r="803" spans="1:41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AN803" s="9"/>
      <c r="AO803" s="9"/>
    </row>
    <row r="804" spans="1:41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AN804" s="9"/>
      <c r="AO804" s="9"/>
    </row>
    <row r="805" spans="1:41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AN805" s="9"/>
      <c r="AO805" s="9"/>
    </row>
    <row r="806" spans="1:41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AN806" s="9"/>
      <c r="AO806" s="9"/>
    </row>
    <row r="807" spans="1:41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AN807" s="9"/>
      <c r="AO807" s="9"/>
    </row>
    <row r="808" spans="1:41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AN808" s="9"/>
      <c r="AO808" s="9"/>
    </row>
    <row r="809" spans="1:41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AN809" s="9"/>
      <c r="AO809" s="9"/>
    </row>
    <row r="810" spans="1:41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AN810" s="9"/>
      <c r="AO810" s="9"/>
    </row>
    <row r="811" spans="1:41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AN811" s="9"/>
      <c r="AO811" s="9"/>
    </row>
    <row r="812" spans="1:41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AN812" s="9"/>
      <c r="AO812" s="9"/>
    </row>
    <row r="813" spans="1:41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AN813" s="9"/>
      <c r="AO813" s="9"/>
    </row>
    <row r="814" spans="1:41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AN814" s="9"/>
      <c r="AO814" s="9"/>
    </row>
    <row r="815" spans="1:41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AN815" s="9"/>
      <c r="AO815" s="9"/>
    </row>
    <row r="816" spans="1:41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AN816" s="9"/>
      <c r="AO816" s="9"/>
    </row>
    <row r="817" spans="1:41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AN817" s="9"/>
      <c r="AO817" s="9"/>
    </row>
    <row r="818" spans="1:41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AN818" s="9"/>
      <c r="AO818" s="9"/>
    </row>
    <row r="819" spans="1:41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AN819" s="9"/>
      <c r="AO819" s="9"/>
    </row>
    <row r="820" spans="1:41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AN820" s="9"/>
      <c r="AO820" s="9"/>
    </row>
    <row r="821" spans="1:41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AN821" s="9"/>
      <c r="AO821" s="9"/>
    </row>
    <row r="822" spans="1:41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AN822" s="9"/>
      <c r="AO822" s="9"/>
    </row>
    <row r="823" spans="1:41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AN823" s="9"/>
      <c r="AO823" s="9"/>
    </row>
    <row r="824" spans="1:41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AN824" s="9"/>
      <c r="AO824" s="9"/>
    </row>
    <row r="825" spans="1:41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AN825" s="9"/>
      <c r="AO825" s="9"/>
    </row>
    <row r="826" spans="1:41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AN826" s="9"/>
      <c r="AO826" s="9"/>
    </row>
    <row r="827" spans="1:41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AN827" s="9"/>
      <c r="AO827" s="9"/>
    </row>
    <row r="828" spans="1:41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AN828" s="9"/>
      <c r="AO828" s="9"/>
    </row>
    <row r="829" spans="1:41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AN829" s="9"/>
      <c r="AO829" s="9"/>
    </row>
    <row r="830" spans="1:41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AN830" s="9"/>
      <c r="AO830" s="9"/>
    </row>
    <row r="831" spans="1:41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AN831" s="9"/>
      <c r="AO831" s="9"/>
    </row>
    <row r="832" spans="1:41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AN832" s="9"/>
      <c r="AO832" s="9"/>
    </row>
    <row r="833" spans="1:41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AN833" s="9"/>
      <c r="AO833" s="9"/>
    </row>
    <row r="834" spans="1:41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AN834" s="9"/>
      <c r="AO834" s="9"/>
    </row>
    <row r="835" spans="1:41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AN835" s="9"/>
      <c r="AO835" s="9"/>
    </row>
    <row r="836" spans="1:41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AN836" s="9"/>
      <c r="AO836" s="9"/>
    </row>
    <row r="837" spans="1:41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AN837" s="9"/>
      <c r="AO837" s="9"/>
    </row>
    <row r="838" spans="1:41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AN838" s="9"/>
      <c r="AO838" s="9"/>
    </row>
    <row r="839" spans="1:41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AN839" s="9"/>
      <c r="AO839" s="9"/>
    </row>
    <row r="840" spans="1:41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AN840" s="9"/>
      <c r="AO840" s="9"/>
    </row>
    <row r="841" spans="1:41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AN841" s="9"/>
      <c r="AO841" s="9"/>
    </row>
    <row r="842" spans="1:41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AN842" s="9"/>
      <c r="AO842" s="9"/>
    </row>
    <row r="843" spans="1:41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AN843" s="9"/>
      <c r="AO843" s="9"/>
    </row>
    <row r="844" spans="1:41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AN844" s="9"/>
      <c r="AO844" s="9"/>
    </row>
    <row r="845" spans="1:41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AN845" s="9"/>
      <c r="AO845" s="9"/>
    </row>
    <row r="846" spans="1:41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AN846" s="9"/>
      <c r="AO846" s="9"/>
    </row>
    <row r="847" spans="1:41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AN847" s="9"/>
      <c r="AO847" s="9"/>
    </row>
    <row r="848" spans="1:41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AN848" s="9"/>
      <c r="AO848" s="9"/>
    </row>
    <row r="849" spans="1:41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AN849" s="9"/>
      <c r="AO849" s="9"/>
    </row>
    <row r="850" spans="1:41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AN850" s="9"/>
      <c r="AO850" s="9"/>
    </row>
    <row r="851" spans="1:41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AN851" s="9"/>
      <c r="AO851" s="9"/>
    </row>
    <row r="852" spans="1:41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AN852" s="9"/>
      <c r="AO852" s="9"/>
    </row>
    <row r="853" spans="1:41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AN853" s="9"/>
      <c r="AO853" s="9"/>
    </row>
    <row r="854" spans="1:41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AN854" s="9"/>
      <c r="AO854" s="9"/>
    </row>
    <row r="855" spans="1:41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AN855" s="9"/>
      <c r="AO855" s="9"/>
    </row>
    <row r="856" spans="1:41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AN856" s="9"/>
      <c r="AO856" s="9"/>
    </row>
    <row r="857" spans="1:41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AN857" s="9"/>
      <c r="AO857" s="9"/>
    </row>
    <row r="858" spans="1:41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AN858" s="9"/>
      <c r="AO858" s="9"/>
    </row>
    <row r="859" spans="1:41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AN859" s="9"/>
      <c r="AO859" s="9"/>
    </row>
    <row r="860" spans="1:41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AN860" s="9"/>
      <c r="AO860" s="9"/>
    </row>
    <row r="861" spans="1:41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AN861" s="9"/>
      <c r="AO861" s="9"/>
    </row>
    <row r="862" spans="1:41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AN862" s="9"/>
      <c r="AO862" s="9"/>
    </row>
    <row r="863" spans="1:41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AN863" s="9"/>
      <c r="AO863" s="9"/>
    </row>
    <row r="864" spans="1:41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AN864" s="9"/>
      <c r="AO864" s="9"/>
    </row>
    <row r="865" spans="1:41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AN865" s="9"/>
      <c r="AO865" s="9"/>
    </row>
    <row r="866" spans="1:41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AN866" s="9"/>
      <c r="AO866" s="9"/>
    </row>
    <row r="867" spans="1:41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AN867" s="9"/>
      <c r="AO867" s="9"/>
    </row>
    <row r="868" spans="1:41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AN868" s="9"/>
      <c r="AO868" s="9"/>
    </row>
    <row r="869" spans="1:41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AN869" s="9"/>
      <c r="AO869" s="9"/>
    </row>
    <row r="870" spans="1:41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AN870" s="9"/>
      <c r="AO870" s="9"/>
    </row>
    <row r="871" spans="1:41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AN871" s="9"/>
      <c r="AO871" s="9"/>
    </row>
    <row r="872" spans="1:41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AN872" s="9"/>
      <c r="AO872" s="9"/>
    </row>
    <row r="873" spans="1:41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AN873" s="9"/>
      <c r="AO873" s="9"/>
    </row>
    <row r="874" spans="1:41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AN874" s="9"/>
      <c r="AO874" s="9"/>
    </row>
    <row r="875" spans="1:41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AN875" s="9"/>
      <c r="AO875" s="9"/>
    </row>
    <row r="876" spans="1:41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AN876" s="9"/>
      <c r="AO876" s="9"/>
    </row>
    <row r="877" spans="1:41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AN877" s="9"/>
      <c r="AO877" s="9"/>
    </row>
    <row r="878" spans="1:41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AN878" s="9"/>
      <c r="AO878" s="9"/>
    </row>
    <row r="879" spans="1:41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AN879" s="9"/>
      <c r="AO879" s="9"/>
    </row>
    <row r="880" spans="1:41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AN880" s="9"/>
      <c r="AO880" s="9"/>
    </row>
    <row r="881" spans="1:41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AN881" s="9"/>
      <c r="AO881" s="9"/>
    </row>
    <row r="882" spans="1:41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AN882" s="9"/>
      <c r="AO882" s="9"/>
    </row>
    <row r="883" spans="1:41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AN883" s="9"/>
      <c r="AO883" s="9"/>
    </row>
    <row r="884" spans="1:41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AN884" s="9"/>
      <c r="AO884" s="9"/>
    </row>
    <row r="885" spans="1:41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AN885" s="9"/>
      <c r="AO885" s="9"/>
    </row>
    <row r="886" spans="1:41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AN886" s="9"/>
      <c r="AO886" s="9"/>
    </row>
    <row r="887" spans="1:41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AN887" s="9"/>
      <c r="AO887" s="9"/>
    </row>
    <row r="888" spans="1:41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AN888" s="9"/>
      <c r="AO888" s="9"/>
    </row>
    <row r="889" spans="1:41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AN889" s="9"/>
      <c r="AO889" s="9"/>
    </row>
    <row r="890" spans="1:41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AN890" s="9"/>
      <c r="AO890" s="9"/>
    </row>
    <row r="891" spans="1:41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AN891" s="9"/>
      <c r="AO891" s="9"/>
    </row>
    <row r="892" spans="1:41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AN892" s="9"/>
      <c r="AO892" s="9"/>
    </row>
    <row r="893" spans="1:41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AN893" s="9"/>
      <c r="AO893" s="9"/>
    </row>
    <row r="894" spans="1:41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AN894" s="9"/>
      <c r="AO894" s="9"/>
    </row>
    <row r="895" spans="1:41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AN895" s="9"/>
      <c r="AO895" s="9"/>
    </row>
    <row r="896" spans="1:41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AN896" s="9"/>
      <c r="AO896" s="9"/>
    </row>
    <row r="897" spans="1:41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AN897" s="9"/>
      <c r="AO897" s="9"/>
    </row>
    <row r="898" spans="1:41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AN898" s="9"/>
      <c r="AO898" s="9"/>
    </row>
    <row r="899" spans="1:41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AN899" s="9"/>
      <c r="AO899" s="9"/>
    </row>
    <row r="900" spans="1:41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AN900" s="9"/>
      <c r="AO900" s="9"/>
    </row>
    <row r="901" spans="1:41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AN901" s="9"/>
      <c r="AO901" s="9"/>
    </row>
    <row r="902" spans="1:41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AN902" s="9"/>
      <c r="AO902" s="9"/>
    </row>
    <row r="903" spans="1:41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AN903" s="9"/>
      <c r="AO903" s="9"/>
    </row>
    <row r="904" spans="1:41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AN904" s="9"/>
      <c r="AO904" s="9"/>
    </row>
    <row r="905" spans="1:41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AN905" s="9"/>
      <c r="AO905" s="9"/>
    </row>
    <row r="906" spans="1:41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AN906" s="9"/>
      <c r="AO906" s="9"/>
    </row>
    <row r="907" spans="1:41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AN907" s="9"/>
      <c r="AO907" s="9"/>
    </row>
    <row r="908" spans="1:41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AN908" s="9"/>
      <c r="AO908" s="9"/>
    </row>
    <row r="909" spans="1:41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AN909" s="9"/>
      <c r="AO909" s="9"/>
    </row>
    <row r="910" spans="1:41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AN910" s="9"/>
      <c r="AO910" s="9"/>
    </row>
    <row r="911" spans="1:41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AN911" s="9"/>
      <c r="AO911" s="9"/>
    </row>
    <row r="912" spans="1:41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AN912" s="9"/>
      <c r="AO912" s="9"/>
    </row>
    <row r="913" spans="1:41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AN913" s="9"/>
      <c r="AO913" s="9"/>
    </row>
    <row r="914" spans="1:41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AN914" s="9"/>
      <c r="AO914" s="9"/>
    </row>
    <row r="915" spans="1:41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AN915" s="9"/>
      <c r="AO915" s="9"/>
    </row>
    <row r="916" spans="1:41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AN916" s="9"/>
      <c r="AO916" s="9"/>
    </row>
    <row r="917" spans="1:41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AN917" s="9"/>
      <c r="AO917" s="9"/>
    </row>
    <row r="918" spans="1:41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AN918" s="9"/>
      <c r="AO918" s="9"/>
    </row>
    <row r="919" spans="1:41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AN919" s="9"/>
      <c r="AO919" s="9"/>
    </row>
    <row r="920" spans="1:41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AN920" s="9"/>
      <c r="AO920" s="9"/>
    </row>
    <row r="921" spans="1:41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AN921" s="9"/>
      <c r="AO921" s="9"/>
    </row>
    <row r="922" spans="1:41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AN922" s="9"/>
      <c r="AO922" s="9"/>
    </row>
    <row r="923" spans="1:41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AN923" s="9"/>
      <c r="AO923" s="9"/>
    </row>
    <row r="924" spans="1:41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AN924" s="9"/>
      <c r="AO924" s="9"/>
    </row>
    <row r="925" spans="1:41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AN925" s="9"/>
      <c r="AO925" s="9"/>
    </row>
    <row r="926" spans="1:41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AN926" s="9"/>
      <c r="AO926" s="9"/>
    </row>
    <row r="927" spans="1:41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AN927" s="9"/>
      <c r="AO927" s="9"/>
    </row>
    <row r="928" spans="1:41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AN928" s="9"/>
      <c r="AO928" s="9"/>
    </row>
    <row r="929" spans="1:41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AN929" s="9"/>
      <c r="AO929" s="9"/>
    </row>
    <row r="930" spans="1:41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AN930" s="9"/>
      <c r="AO930" s="9"/>
    </row>
    <row r="931" spans="1:41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AN931" s="9"/>
      <c r="AO931" s="9"/>
    </row>
    <row r="932" spans="1:41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AN932" s="9"/>
      <c r="AO932" s="9"/>
    </row>
    <row r="933" spans="1:41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AN933" s="9"/>
      <c r="AO933" s="9"/>
    </row>
    <row r="934" spans="1:41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AN934" s="9"/>
      <c r="AO934" s="9"/>
    </row>
    <row r="935" spans="1:41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AN935" s="9"/>
      <c r="AO935" s="9"/>
    </row>
    <row r="936" spans="1:41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AN936" s="9"/>
      <c r="AO936" s="9"/>
    </row>
    <row r="937" spans="1:41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AN937" s="9"/>
      <c r="AO937" s="9"/>
    </row>
    <row r="938" spans="1:41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AN938" s="9"/>
      <c r="AO938" s="9"/>
    </row>
    <row r="939" spans="1:41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AN939" s="9"/>
      <c r="AO939" s="9"/>
    </row>
    <row r="940" spans="1:41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AN940" s="9"/>
      <c r="AO940" s="9"/>
    </row>
    <row r="941" spans="1:41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AN941" s="9"/>
      <c r="AO941" s="9"/>
    </row>
    <row r="942" spans="1:41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AN942" s="9"/>
      <c r="AO942" s="9"/>
    </row>
    <row r="943" spans="1:41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AN943" s="9"/>
      <c r="AO943" s="9"/>
    </row>
    <row r="944" spans="1:41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AN944" s="9"/>
      <c r="AO944" s="9"/>
    </row>
    <row r="945" spans="1:41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AN945" s="9"/>
      <c r="AO945" s="9"/>
    </row>
    <row r="946" spans="1:41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AN946" s="9"/>
      <c r="AO946" s="9"/>
    </row>
    <row r="947" spans="1:41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AN947" s="9"/>
      <c r="AO947" s="9"/>
    </row>
    <row r="948" spans="1:41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AN948" s="9"/>
      <c r="AO948" s="9"/>
    </row>
    <row r="949" spans="1:41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AN949" s="9"/>
      <c r="AO949" s="9"/>
    </row>
    <row r="950" spans="1:41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AN950" s="9"/>
      <c r="AO950" s="9"/>
    </row>
    <row r="951" spans="1:41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AN951" s="9"/>
      <c r="AO951" s="9"/>
    </row>
    <row r="952" spans="1:41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AN952" s="9"/>
      <c r="AO952" s="9"/>
    </row>
    <row r="953" spans="1:41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AN953" s="9"/>
      <c r="AO953" s="9"/>
    </row>
    <row r="954" spans="1:41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AN954" s="9"/>
      <c r="AO954" s="9"/>
    </row>
    <row r="955" spans="1:41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AN955" s="9"/>
      <c r="AO955" s="9"/>
    </row>
    <row r="956" spans="1:41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AN956" s="9"/>
      <c r="AO956" s="9"/>
    </row>
    <row r="957" spans="1:41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AN957" s="9"/>
      <c r="AO957" s="9"/>
    </row>
    <row r="958" spans="1:41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AN958" s="9"/>
      <c r="AO958" s="9"/>
    </row>
    <row r="959" spans="1:41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AN959" s="9"/>
      <c r="AO959" s="9"/>
    </row>
    <row r="960" spans="1:41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AN960" s="9"/>
      <c r="AO960" s="9"/>
    </row>
    <row r="961" spans="1:41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AN961" s="9"/>
      <c r="AO961" s="9"/>
    </row>
    <row r="962" spans="1:41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AN962" s="9"/>
      <c r="AO962" s="9"/>
    </row>
    <row r="963" spans="1:41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AN963" s="9"/>
      <c r="AO963" s="9"/>
    </row>
    <row r="964" spans="1:41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AN964" s="9"/>
      <c r="AO964" s="9"/>
    </row>
    <row r="965" spans="1:41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AN965" s="9"/>
      <c r="AO965" s="9"/>
    </row>
    <row r="966" spans="1:41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AN966" s="9"/>
      <c r="AO966" s="9"/>
    </row>
    <row r="967" spans="1:41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AN967" s="9"/>
      <c r="AO967" s="9"/>
    </row>
    <row r="968" spans="1:41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AN968" s="9"/>
      <c r="AO968" s="9"/>
    </row>
    <row r="969" spans="1:41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AN969" s="9"/>
      <c r="AO969" s="9"/>
    </row>
    <row r="970" spans="1:41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AN970" s="9"/>
      <c r="AO970" s="9"/>
    </row>
    <row r="971" spans="1:41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AN971" s="9"/>
      <c r="AO971" s="9"/>
    </row>
    <row r="972" spans="1:41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AN972" s="9"/>
      <c r="AO972" s="9"/>
    </row>
    <row r="973" spans="1:41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AN973" s="9"/>
      <c r="AO973" s="9"/>
    </row>
    <row r="974" spans="1:41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AN974" s="9"/>
      <c r="AO974" s="9"/>
    </row>
    <row r="975" spans="1:41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AN975" s="9"/>
      <c r="AO975" s="9"/>
    </row>
    <row r="976" spans="1:41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AN976" s="9"/>
      <c r="AO976" s="9"/>
    </row>
    <row r="977" spans="1:41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AN977" s="9"/>
      <c r="AO977" s="9"/>
    </row>
    <row r="978" spans="1:41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AN978" s="9"/>
      <c r="AO978" s="9"/>
    </row>
    <row r="979" spans="1:41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AN979" s="9"/>
      <c r="AO979" s="9"/>
    </row>
    <row r="980" spans="1:41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AN980" s="9"/>
      <c r="AO980" s="9"/>
    </row>
    <row r="981" spans="1:41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AN981" s="9"/>
      <c r="AO981" s="9"/>
    </row>
    <row r="982" spans="1:41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AN982" s="9"/>
      <c r="AO982" s="9"/>
    </row>
    <row r="983" spans="1:41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AN983" s="9"/>
      <c r="AO983" s="9"/>
    </row>
    <row r="984" spans="1:41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AN984" s="9"/>
      <c r="AO984" s="9"/>
    </row>
    <row r="985" spans="1:41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AN985" s="9"/>
      <c r="AO985" s="9"/>
    </row>
    <row r="986" spans="1:41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AN986" s="9"/>
      <c r="AO986" s="9"/>
    </row>
    <row r="987" spans="1:41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AN987" s="9"/>
      <c r="AO987" s="9"/>
    </row>
    <row r="988" spans="1:41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AN988" s="9"/>
      <c r="AO988" s="9"/>
    </row>
    <row r="989" spans="1:41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AN989" s="9"/>
      <c r="AO989" s="9"/>
    </row>
    <row r="990" spans="1:41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AN990" s="9"/>
      <c r="AO990" s="9"/>
    </row>
    <row r="991" spans="1:41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AN991" s="9"/>
      <c r="AO991" s="9"/>
    </row>
    <row r="992" spans="1:41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AN992" s="9"/>
      <c r="AO992" s="9"/>
    </row>
    <row r="993" spans="1:41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AN993" s="9"/>
      <c r="AO993" s="9"/>
    </row>
    <row r="994" spans="1:41" ht="13">
      <c r="AN994" s="9"/>
      <c r="AO994" s="9"/>
    </row>
    <row r="995" spans="1:41" ht="13">
      <c r="AN995" s="9"/>
      <c r="AO995" s="9"/>
    </row>
    <row r="996" spans="1:41" ht="13">
      <c r="AN996" s="9"/>
      <c r="AO996" s="9"/>
    </row>
    <row r="997" spans="1:41" ht="13">
      <c r="AN997" s="9"/>
      <c r="AO997" s="9"/>
    </row>
    <row r="998" spans="1:41" ht="13">
      <c r="AN998" s="9"/>
      <c r="AO998" s="9"/>
    </row>
    <row r="999" spans="1:41" ht="13">
      <c r="AN999" s="9"/>
      <c r="AO999" s="9"/>
    </row>
    <row r="1000" spans="1:41" ht="13">
      <c r="AN1000" s="9"/>
      <c r="AO1000" s="9"/>
    </row>
    <row r="1001" spans="1:41" ht="13">
      <c r="AN1001" s="9"/>
      <c r="AO1001" s="9"/>
    </row>
    <row r="1002" spans="1:41" ht="13">
      <c r="AN1002" s="9"/>
      <c r="AO1002" s="9"/>
    </row>
    <row r="1003" spans="1:41" ht="13">
      <c r="AN1003" s="9"/>
      <c r="AO1003" s="9"/>
    </row>
    <row r="1004" spans="1:41" ht="13">
      <c r="AN1004" s="9"/>
      <c r="AO1004" s="9"/>
    </row>
    <row r="1005" spans="1:41" ht="13">
      <c r="AN1005" s="9"/>
      <c r="AO1005" s="9"/>
    </row>
    <row r="1006" spans="1:41" ht="13">
      <c r="AN1006" s="9"/>
      <c r="AO1006" s="9"/>
    </row>
    <row r="1007" spans="1:41" ht="13">
      <c r="AN1007" s="9"/>
      <c r="AO1007" s="9"/>
    </row>
  </sheetData>
  <mergeCells count="26">
    <mergeCell ref="A18:B18"/>
    <mergeCell ref="C18:E18"/>
    <mergeCell ref="J18:J20"/>
    <mergeCell ref="A19:B20"/>
    <mergeCell ref="E19:E20"/>
    <mergeCell ref="I19:I20"/>
    <mergeCell ref="AL3:AL5"/>
    <mergeCell ref="AM3:AM5"/>
    <mergeCell ref="W4:W5"/>
    <mergeCell ref="AK4:AK5"/>
    <mergeCell ref="C19:C20"/>
    <mergeCell ref="D19:D20"/>
    <mergeCell ref="F18:H18"/>
    <mergeCell ref="G19:H19"/>
    <mergeCell ref="R3:S5"/>
    <mergeCell ref="T4:T5"/>
    <mergeCell ref="AJ4:AJ5"/>
    <mergeCell ref="T3:U3"/>
    <mergeCell ref="X3:X5"/>
    <mergeCell ref="Y3:Y5"/>
    <mergeCell ref="AH3:AI3"/>
    <mergeCell ref="U4:U5"/>
    <mergeCell ref="V4:V5"/>
    <mergeCell ref="AF3:AG5"/>
    <mergeCell ref="AH4:AH5"/>
    <mergeCell ref="AI4:AI5"/>
  </mergeCells>
  <phoneticPr fontId="68" type="noConversion"/>
  <conditionalFormatting sqref="X6:X36 AL6:AL36">
    <cfRule type="cellIs" dxfId="5" priority="1" operator="greaterThan">
      <formula>240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M30"/>
  <sheetViews>
    <sheetView workbookViewId="0">
      <selection activeCell="A30" sqref="A30"/>
    </sheetView>
  </sheetViews>
  <sheetFormatPr baseColWidth="10" defaultColWidth="12.6640625" defaultRowHeight="15.75" customHeight="1"/>
  <sheetData>
    <row r="1" spans="1:13">
      <c r="A1" s="34"/>
      <c r="B1" s="87"/>
      <c r="C1" s="427" t="s">
        <v>220</v>
      </c>
      <c r="D1" s="428"/>
      <c r="E1" s="428"/>
      <c r="F1" s="428"/>
      <c r="G1" s="428"/>
      <c r="H1" s="538" t="s">
        <v>129</v>
      </c>
      <c r="I1" s="539"/>
      <c r="J1" s="539"/>
      <c r="K1" s="540" t="s">
        <v>303</v>
      </c>
      <c r="L1" s="541"/>
      <c r="M1" s="541"/>
    </row>
    <row r="2" spans="1:13">
      <c r="A2" s="542" t="s">
        <v>10</v>
      </c>
      <c r="B2" s="543"/>
      <c r="C2" s="544" t="s">
        <v>63</v>
      </c>
      <c r="D2" s="542" t="s">
        <v>462</v>
      </c>
      <c r="E2" s="542" t="s">
        <v>18</v>
      </c>
      <c r="F2" s="545" t="s">
        <v>353</v>
      </c>
      <c r="G2" s="546" t="s">
        <v>305</v>
      </c>
      <c r="H2" s="547" t="s">
        <v>130</v>
      </c>
      <c r="I2" s="544" t="s">
        <v>186</v>
      </c>
      <c r="J2" s="542" t="s">
        <v>132</v>
      </c>
      <c r="K2" s="547" t="s">
        <v>253</v>
      </c>
      <c r="L2" s="435" t="s">
        <v>365</v>
      </c>
      <c r="M2" s="548" t="s">
        <v>366</v>
      </c>
    </row>
    <row r="3" spans="1:13">
      <c r="A3" s="483">
        <v>44593</v>
      </c>
      <c r="B3" s="466" t="s">
        <v>46</v>
      </c>
      <c r="C3" s="440">
        <v>0</v>
      </c>
      <c r="D3" s="549">
        <v>0</v>
      </c>
      <c r="E3" s="441">
        <v>14000</v>
      </c>
      <c r="F3" s="441">
        <v>12600</v>
      </c>
      <c r="G3" s="441">
        <v>1300</v>
      </c>
      <c r="H3" s="445"/>
      <c r="I3" s="445"/>
      <c r="J3" s="451" t="s">
        <v>463</v>
      </c>
      <c r="K3" s="440">
        <v>1000</v>
      </c>
      <c r="L3" s="440">
        <v>1734269</v>
      </c>
      <c r="M3" s="476">
        <v>47</v>
      </c>
    </row>
    <row r="4" spans="1:13">
      <c r="A4" s="483">
        <v>44594</v>
      </c>
      <c r="B4" s="466" t="s">
        <v>49</v>
      </c>
      <c r="C4" s="456">
        <v>0</v>
      </c>
      <c r="D4" s="550">
        <v>0.08</v>
      </c>
      <c r="E4" s="441">
        <v>43000</v>
      </c>
      <c r="F4" s="441">
        <v>39000</v>
      </c>
      <c r="G4" s="441">
        <v>3900</v>
      </c>
      <c r="H4" s="445"/>
      <c r="I4" s="445"/>
      <c r="J4" s="466" t="s">
        <v>451</v>
      </c>
      <c r="K4" s="440">
        <v>1000</v>
      </c>
      <c r="L4" s="440">
        <v>1697581</v>
      </c>
      <c r="M4" s="476">
        <v>43</v>
      </c>
    </row>
    <row r="5" spans="1:13">
      <c r="A5" s="483">
        <v>44595</v>
      </c>
      <c r="B5" s="466" t="s">
        <v>51</v>
      </c>
      <c r="C5" s="456">
        <v>0</v>
      </c>
      <c r="D5" s="551">
        <v>0.08</v>
      </c>
      <c r="E5" s="440">
        <v>14100</v>
      </c>
      <c r="F5" s="440">
        <v>12700</v>
      </c>
      <c r="G5" s="440">
        <v>1300</v>
      </c>
      <c r="H5" s="552"/>
      <c r="I5" s="466" t="s">
        <v>464</v>
      </c>
      <c r="J5" s="466" t="s">
        <v>465</v>
      </c>
      <c r="K5" s="440">
        <v>1000</v>
      </c>
      <c r="L5" s="440">
        <v>1739501</v>
      </c>
      <c r="M5" s="476">
        <v>44</v>
      </c>
    </row>
    <row r="6" spans="1:13">
      <c r="A6" s="483">
        <v>44596</v>
      </c>
      <c r="B6" s="466" t="s">
        <v>29</v>
      </c>
      <c r="C6" s="440">
        <v>0</v>
      </c>
      <c r="D6" s="553">
        <v>0</v>
      </c>
      <c r="E6" s="440">
        <v>11700</v>
      </c>
      <c r="F6" s="440">
        <v>10500</v>
      </c>
      <c r="G6" s="440">
        <v>1100</v>
      </c>
      <c r="H6" s="552"/>
      <c r="I6" s="466" t="s">
        <v>464</v>
      </c>
      <c r="J6" s="466" t="s">
        <v>465</v>
      </c>
      <c r="K6" s="440">
        <v>1000</v>
      </c>
      <c r="L6" s="440">
        <v>1787949</v>
      </c>
      <c r="M6" s="476">
        <v>45</v>
      </c>
    </row>
    <row r="7" spans="1:13">
      <c r="A7" s="483">
        <v>44597</v>
      </c>
      <c r="B7" s="466" t="s">
        <v>33</v>
      </c>
      <c r="C7" s="440">
        <v>0</v>
      </c>
      <c r="D7" s="553">
        <v>0</v>
      </c>
      <c r="E7" s="440">
        <v>12200</v>
      </c>
      <c r="F7" s="440">
        <v>11000</v>
      </c>
      <c r="G7" s="440">
        <v>1100</v>
      </c>
      <c r="H7" s="554" t="s">
        <v>466</v>
      </c>
      <c r="I7" s="552"/>
      <c r="J7" s="466" t="s">
        <v>465</v>
      </c>
      <c r="K7" s="440">
        <v>1000</v>
      </c>
      <c r="L7" s="440">
        <v>1835037</v>
      </c>
      <c r="M7" s="476">
        <v>47</v>
      </c>
    </row>
    <row r="8" spans="1:13">
      <c r="A8" s="483">
        <v>44598</v>
      </c>
      <c r="B8" s="466" t="s">
        <v>37</v>
      </c>
      <c r="C8" s="440">
        <v>0</v>
      </c>
      <c r="D8" s="551">
        <v>7.0000000000000007E-2</v>
      </c>
      <c r="E8" s="440">
        <v>13600</v>
      </c>
      <c r="F8" s="440">
        <v>12300</v>
      </c>
      <c r="G8" s="440">
        <v>1200</v>
      </c>
      <c r="H8" s="554" t="s">
        <v>466</v>
      </c>
      <c r="I8" s="552"/>
      <c r="J8" s="552"/>
      <c r="K8" s="476">
        <v>0</v>
      </c>
      <c r="L8" s="440">
        <v>1863317</v>
      </c>
      <c r="M8" s="476">
        <v>47</v>
      </c>
    </row>
    <row r="9" spans="1:13">
      <c r="A9" s="483">
        <v>44599</v>
      </c>
      <c r="B9" s="466" t="s">
        <v>41</v>
      </c>
      <c r="C9" s="440">
        <v>24000</v>
      </c>
      <c r="D9" s="555"/>
      <c r="E9" s="440">
        <v>17500</v>
      </c>
      <c r="F9" s="440">
        <v>16200</v>
      </c>
      <c r="G9" s="440">
        <v>1200</v>
      </c>
      <c r="H9" s="554" t="s">
        <v>466</v>
      </c>
      <c r="I9" s="552"/>
      <c r="J9" s="552"/>
      <c r="K9" s="476">
        <v>0</v>
      </c>
      <c r="L9" s="440">
        <v>1814989</v>
      </c>
      <c r="M9" s="476">
        <v>45</v>
      </c>
    </row>
    <row r="10" spans="1:13">
      <c r="A10" s="483">
        <v>44600</v>
      </c>
      <c r="B10" s="466" t="s">
        <v>46</v>
      </c>
      <c r="C10" s="440">
        <v>24000</v>
      </c>
      <c r="D10" s="553">
        <v>0</v>
      </c>
      <c r="E10" s="440">
        <v>14000</v>
      </c>
      <c r="F10" s="440">
        <v>12700</v>
      </c>
      <c r="G10" s="440">
        <v>1300</v>
      </c>
      <c r="H10" s="552"/>
      <c r="I10" s="466" t="s">
        <v>467</v>
      </c>
      <c r="J10" s="552"/>
      <c r="K10" s="440">
        <v>1000</v>
      </c>
      <c r="L10" s="440">
        <v>1856909</v>
      </c>
      <c r="M10" s="476">
        <v>46</v>
      </c>
    </row>
    <row r="11" spans="1:13">
      <c r="A11" s="556">
        <v>44601</v>
      </c>
      <c r="B11" s="466" t="s">
        <v>49</v>
      </c>
      <c r="C11" s="440">
        <v>24000</v>
      </c>
      <c r="D11" s="557"/>
      <c r="E11" s="440">
        <v>15900</v>
      </c>
      <c r="F11" s="440">
        <v>14400</v>
      </c>
      <c r="G11" s="440">
        <v>1500</v>
      </c>
      <c r="H11" s="552"/>
      <c r="I11" s="466" t="s">
        <v>467</v>
      </c>
      <c r="J11" s="552"/>
      <c r="K11" s="440">
        <v>1000</v>
      </c>
      <c r="L11" s="440">
        <v>1812661</v>
      </c>
      <c r="M11" s="476">
        <v>44</v>
      </c>
    </row>
    <row r="12" spans="1:13">
      <c r="A12" s="556">
        <v>44602</v>
      </c>
      <c r="B12" s="466" t="s">
        <v>51</v>
      </c>
      <c r="C12" s="440">
        <v>24000</v>
      </c>
      <c r="D12" s="557"/>
      <c r="E12" s="440">
        <v>9600</v>
      </c>
      <c r="F12" s="440">
        <v>10300</v>
      </c>
      <c r="G12" s="440">
        <v>1300</v>
      </c>
      <c r="H12" s="445"/>
      <c r="I12" s="552"/>
      <c r="J12" s="552"/>
      <c r="K12" s="440">
        <v>1000</v>
      </c>
      <c r="L12" s="440">
        <v>1780109</v>
      </c>
      <c r="M12" s="476">
        <v>47</v>
      </c>
    </row>
    <row r="13" spans="1:13">
      <c r="A13" s="556">
        <v>44603</v>
      </c>
      <c r="B13" s="466" t="s">
        <v>29</v>
      </c>
      <c r="C13" s="440">
        <v>24000</v>
      </c>
      <c r="D13" s="557"/>
      <c r="E13" s="440">
        <v>7800</v>
      </c>
      <c r="F13" s="440">
        <v>6900</v>
      </c>
      <c r="G13" s="476">
        <v>800</v>
      </c>
      <c r="H13" s="445"/>
      <c r="I13" s="552"/>
      <c r="J13" s="552"/>
      <c r="K13" s="440">
        <v>1000</v>
      </c>
      <c r="L13" s="440">
        <v>1758165</v>
      </c>
      <c r="M13" s="476">
        <v>47</v>
      </c>
    </row>
    <row r="14" spans="1:13">
      <c r="A14" s="556">
        <v>44604</v>
      </c>
      <c r="B14" s="466" t="s">
        <v>33</v>
      </c>
      <c r="C14" s="440">
        <v>14000</v>
      </c>
      <c r="D14" s="557"/>
      <c r="E14" s="440">
        <v>7600</v>
      </c>
      <c r="F14" s="440">
        <v>6700</v>
      </c>
      <c r="G14" s="476">
        <v>800</v>
      </c>
      <c r="H14" s="445"/>
      <c r="I14" s="552"/>
      <c r="J14" s="552"/>
      <c r="K14" s="440">
        <v>1000</v>
      </c>
      <c r="L14" s="440">
        <v>1736765</v>
      </c>
      <c r="M14" s="476">
        <v>47</v>
      </c>
    </row>
    <row r="15" spans="1:13">
      <c r="A15" s="556">
        <v>44605</v>
      </c>
      <c r="B15" s="466" t="s">
        <v>37</v>
      </c>
      <c r="C15" s="476">
        <v>0</v>
      </c>
      <c r="D15" s="557"/>
      <c r="E15" s="440">
        <v>9000</v>
      </c>
      <c r="F15" s="440">
        <v>8000</v>
      </c>
      <c r="G15" s="476">
        <v>900</v>
      </c>
      <c r="H15" s="445"/>
      <c r="I15" s="552"/>
      <c r="J15" s="552"/>
      <c r="K15" s="476">
        <v>0</v>
      </c>
      <c r="L15" s="440">
        <v>1711557</v>
      </c>
      <c r="M15" s="476">
        <v>47</v>
      </c>
    </row>
    <row r="16" spans="1:13">
      <c r="A16" s="556">
        <v>44606</v>
      </c>
      <c r="B16" s="466" t="s">
        <v>41</v>
      </c>
      <c r="C16" s="440">
        <v>24000</v>
      </c>
      <c r="D16" s="555"/>
      <c r="E16" s="440">
        <v>9900</v>
      </c>
      <c r="F16" s="440">
        <v>8900</v>
      </c>
      <c r="G16" s="440">
        <v>1000</v>
      </c>
      <c r="H16" s="445"/>
      <c r="I16" s="552"/>
      <c r="J16" s="552"/>
      <c r="K16" s="476">
        <v>0</v>
      </c>
      <c r="L16" s="440">
        <v>1683629</v>
      </c>
      <c r="M16" s="476">
        <v>46</v>
      </c>
    </row>
    <row r="17" spans="1:13">
      <c r="A17" s="556">
        <v>44607</v>
      </c>
      <c r="B17" s="466" t="s">
        <v>46</v>
      </c>
      <c r="C17" s="440">
        <v>24000</v>
      </c>
      <c r="D17" s="557"/>
      <c r="E17" s="440">
        <v>10200</v>
      </c>
      <c r="F17" s="440">
        <v>9200</v>
      </c>
      <c r="G17" s="440">
        <v>1000</v>
      </c>
      <c r="H17" s="445"/>
      <c r="I17" s="552"/>
      <c r="J17" s="552"/>
      <c r="K17" s="440">
        <v>1000</v>
      </c>
      <c r="L17" s="440">
        <v>1654885</v>
      </c>
      <c r="M17" s="476">
        <v>45</v>
      </c>
    </row>
    <row r="18" spans="1:13">
      <c r="A18" s="556">
        <v>44608</v>
      </c>
      <c r="B18" s="466" t="s">
        <v>49</v>
      </c>
      <c r="C18" s="440">
        <v>24000</v>
      </c>
      <c r="D18" s="557"/>
      <c r="E18" s="440">
        <v>12700</v>
      </c>
      <c r="F18" s="440">
        <v>11500</v>
      </c>
      <c r="G18" s="440">
        <v>1200</v>
      </c>
      <c r="H18" s="445"/>
      <c r="I18" s="552"/>
      <c r="J18" s="552"/>
      <c r="K18" s="440">
        <v>1000</v>
      </c>
      <c r="L18" s="440">
        <v>1619341</v>
      </c>
      <c r="M18" s="476">
        <v>45</v>
      </c>
    </row>
    <row r="19" spans="1:13">
      <c r="A19" s="483">
        <v>44609</v>
      </c>
      <c r="B19" s="466" t="s">
        <v>51</v>
      </c>
      <c r="C19" s="440">
        <v>24000</v>
      </c>
      <c r="D19" s="551">
        <v>0.1</v>
      </c>
      <c r="E19" s="440">
        <v>11500</v>
      </c>
      <c r="F19" s="440">
        <v>10300</v>
      </c>
      <c r="G19" s="440">
        <v>1100</v>
      </c>
      <c r="H19" s="552"/>
      <c r="I19" s="552"/>
      <c r="J19" s="552"/>
      <c r="K19" s="440">
        <v>1000</v>
      </c>
      <c r="L19" s="440">
        <v>1602333</v>
      </c>
      <c r="M19" s="476">
        <v>44</v>
      </c>
    </row>
    <row r="20" spans="1:13">
      <c r="A20" s="483">
        <v>44610</v>
      </c>
      <c r="B20" s="466" t="s">
        <v>29</v>
      </c>
      <c r="C20" s="440">
        <v>24000</v>
      </c>
      <c r="D20" s="551">
        <v>0.1</v>
      </c>
      <c r="E20" s="440">
        <v>9800</v>
      </c>
      <c r="F20" s="440">
        <v>8700</v>
      </c>
      <c r="G20" s="440">
        <v>1000</v>
      </c>
      <c r="H20" s="552"/>
      <c r="I20" s="466" t="s">
        <v>468</v>
      </c>
      <c r="J20" s="552"/>
      <c r="K20" s="440">
        <v>1000</v>
      </c>
      <c r="L20" s="440">
        <v>1605949</v>
      </c>
      <c r="M20" s="476">
        <v>45</v>
      </c>
    </row>
    <row r="21" spans="1:13">
      <c r="A21" s="483">
        <v>44611</v>
      </c>
      <c r="B21" s="466" t="s">
        <v>33</v>
      </c>
      <c r="C21" s="440">
        <v>14000</v>
      </c>
      <c r="D21" s="553">
        <v>0</v>
      </c>
      <c r="E21" s="440">
        <v>8600</v>
      </c>
      <c r="F21" s="440">
        <v>7600</v>
      </c>
      <c r="G21" s="476">
        <v>900</v>
      </c>
      <c r="H21" s="552"/>
      <c r="I21" s="466" t="s">
        <v>468</v>
      </c>
      <c r="J21" s="552"/>
      <c r="K21" s="440">
        <v>1000</v>
      </c>
      <c r="L21" s="440">
        <v>1659829</v>
      </c>
      <c r="M21" s="476">
        <v>47</v>
      </c>
    </row>
    <row r="22" spans="1:13">
      <c r="A22" s="483">
        <v>44612</v>
      </c>
      <c r="B22" s="466" t="s">
        <v>37</v>
      </c>
      <c r="C22" s="440">
        <v>0</v>
      </c>
      <c r="D22" s="551">
        <v>0.1</v>
      </c>
      <c r="E22" s="440">
        <v>12000</v>
      </c>
      <c r="F22" s="440">
        <v>10900</v>
      </c>
      <c r="G22" s="440">
        <v>1100</v>
      </c>
      <c r="H22" s="552"/>
      <c r="I22" s="552"/>
      <c r="J22" s="552"/>
      <c r="K22" s="476">
        <v>0</v>
      </c>
      <c r="L22" s="440">
        <v>1688189</v>
      </c>
      <c r="M22" s="476">
        <v>48</v>
      </c>
    </row>
    <row r="23" spans="1:13">
      <c r="A23" s="483">
        <v>44613</v>
      </c>
      <c r="B23" s="466" t="s">
        <v>41</v>
      </c>
      <c r="C23" s="440">
        <v>24000</v>
      </c>
      <c r="D23" s="555"/>
      <c r="E23" s="440">
        <v>12000</v>
      </c>
      <c r="F23" s="440">
        <v>10800</v>
      </c>
      <c r="G23" s="440">
        <v>1100</v>
      </c>
      <c r="H23" s="466" t="s">
        <v>126</v>
      </c>
      <c r="I23" s="552"/>
      <c r="J23" s="552"/>
      <c r="K23" s="476">
        <v>0</v>
      </c>
      <c r="L23" s="440">
        <v>1654821</v>
      </c>
      <c r="M23" s="476">
        <v>47</v>
      </c>
    </row>
    <row r="24" spans="1:13">
      <c r="A24" s="483">
        <v>44614</v>
      </c>
      <c r="B24" s="466" t="s">
        <v>46</v>
      </c>
      <c r="C24" s="440">
        <v>24000</v>
      </c>
      <c r="D24" s="553">
        <v>0</v>
      </c>
      <c r="E24" s="440">
        <v>13900</v>
      </c>
      <c r="F24" s="440">
        <v>12500</v>
      </c>
      <c r="G24" s="440">
        <v>1300</v>
      </c>
      <c r="H24" s="466" t="s">
        <v>126</v>
      </c>
      <c r="I24" s="466" t="s">
        <v>469</v>
      </c>
      <c r="J24" s="466" t="s">
        <v>399</v>
      </c>
      <c r="K24" s="440">
        <v>1000</v>
      </c>
      <c r="L24" s="440">
        <v>1694285</v>
      </c>
      <c r="M24" s="476">
        <v>47</v>
      </c>
    </row>
    <row r="25" spans="1:13">
      <c r="A25" s="483">
        <v>44615</v>
      </c>
      <c r="B25" s="466" t="s">
        <v>49</v>
      </c>
      <c r="C25" s="440">
        <v>24000</v>
      </c>
      <c r="D25" s="553">
        <v>0</v>
      </c>
      <c r="E25" s="440">
        <v>17800</v>
      </c>
      <c r="F25" s="440">
        <v>16100</v>
      </c>
      <c r="G25" s="440">
        <v>1600</v>
      </c>
      <c r="H25" s="466" t="s">
        <v>126</v>
      </c>
      <c r="I25" s="466" t="s">
        <v>469</v>
      </c>
      <c r="J25" s="466" t="s">
        <v>400</v>
      </c>
      <c r="K25" s="440">
        <v>1000</v>
      </c>
      <c r="L25" s="440">
        <v>1723141</v>
      </c>
      <c r="M25" s="476">
        <v>48</v>
      </c>
    </row>
    <row r="26" spans="1:13">
      <c r="A26" s="483">
        <v>44616</v>
      </c>
      <c r="B26" s="466" t="s">
        <v>51</v>
      </c>
      <c r="C26" s="440">
        <v>24000</v>
      </c>
      <c r="D26" s="553">
        <v>0</v>
      </c>
      <c r="E26" s="440">
        <v>15700</v>
      </c>
      <c r="F26" s="440">
        <v>14100</v>
      </c>
      <c r="G26" s="440">
        <v>1500</v>
      </c>
      <c r="H26" s="466" t="s">
        <v>126</v>
      </c>
      <c r="I26" s="466" t="s">
        <v>470</v>
      </c>
      <c r="J26" s="466" t="s">
        <v>465</v>
      </c>
      <c r="K26" s="440">
        <v>1000</v>
      </c>
      <c r="L26" s="440">
        <v>1757709</v>
      </c>
      <c r="M26" s="476">
        <v>49</v>
      </c>
    </row>
    <row r="27" spans="1:13">
      <c r="A27" s="483">
        <v>44617</v>
      </c>
      <c r="B27" s="466" t="s">
        <v>29</v>
      </c>
      <c r="C27" s="440">
        <v>24000</v>
      </c>
      <c r="D27" s="553">
        <v>0</v>
      </c>
      <c r="E27" s="440">
        <v>9300</v>
      </c>
      <c r="F27" s="440">
        <v>8200</v>
      </c>
      <c r="G27" s="440">
        <v>1000</v>
      </c>
      <c r="H27" s="552"/>
      <c r="I27" s="466" t="s">
        <v>470</v>
      </c>
      <c r="J27" s="466" t="s">
        <v>471</v>
      </c>
      <c r="K27" s="440">
        <v>1000</v>
      </c>
      <c r="L27" s="440">
        <v>1809685</v>
      </c>
      <c r="M27" s="476">
        <v>51</v>
      </c>
    </row>
    <row r="28" spans="1:13">
      <c r="A28" s="483">
        <v>44618</v>
      </c>
      <c r="B28" s="466" t="s">
        <v>33</v>
      </c>
      <c r="C28" s="440">
        <v>14000</v>
      </c>
      <c r="D28" s="553">
        <v>0</v>
      </c>
      <c r="E28" s="440">
        <v>8300</v>
      </c>
      <c r="F28" s="440">
        <v>7300</v>
      </c>
      <c r="G28" s="476">
        <v>900</v>
      </c>
      <c r="H28" s="552"/>
      <c r="I28" s="552"/>
      <c r="J28" s="466" t="s">
        <v>472</v>
      </c>
      <c r="K28" s="440">
        <v>1000</v>
      </c>
      <c r="L28" s="440">
        <v>1864381</v>
      </c>
      <c r="M28" s="476">
        <v>53</v>
      </c>
    </row>
    <row r="29" spans="1:13">
      <c r="A29" s="483">
        <v>44619</v>
      </c>
      <c r="B29" s="466" t="s">
        <v>37</v>
      </c>
      <c r="C29" s="440">
        <v>0</v>
      </c>
      <c r="D29" s="551">
        <v>0.1</v>
      </c>
      <c r="E29" s="440">
        <v>10900</v>
      </c>
      <c r="F29" s="440">
        <v>9800</v>
      </c>
      <c r="G29" s="440">
        <v>1000</v>
      </c>
      <c r="H29" s="552"/>
      <c r="I29" s="552"/>
      <c r="J29" s="466" t="s">
        <v>404</v>
      </c>
      <c r="K29" s="476">
        <v>0</v>
      </c>
      <c r="L29" s="440">
        <v>1880005</v>
      </c>
      <c r="M29" s="476">
        <v>53</v>
      </c>
    </row>
    <row r="30" spans="1:13">
      <c r="A30" s="483">
        <v>44620</v>
      </c>
      <c r="B30" s="466" t="s">
        <v>41</v>
      </c>
      <c r="C30" s="476">
        <v>0</v>
      </c>
      <c r="D30" s="555"/>
      <c r="E30" s="440">
        <v>11400</v>
      </c>
      <c r="F30" s="440">
        <v>10300</v>
      </c>
      <c r="G30" s="440">
        <v>1100</v>
      </c>
      <c r="H30" s="552"/>
      <c r="I30" s="552"/>
      <c r="J30" s="466" t="s">
        <v>429</v>
      </c>
      <c r="K30" s="476">
        <v>0</v>
      </c>
      <c r="L30" s="440">
        <v>1847997</v>
      </c>
      <c r="M30" s="476">
        <v>52</v>
      </c>
    </row>
  </sheetData>
  <phoneticPr fontId="6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L33"/>
  <sheetViews>
    <sheetView tabSelected="1" workbookViewId="0">
      <selection activeCell="A17" sqref="A17"/>
    </sheetView>
  </sheetViews>
  <sheetFormatPr baseColWidth="10" defaultColWidth="12.6640625" defaultRowHeight="15.75" customHeight="1"/>
  <sheetData>
    <row r="1" spans="1:12">
      <c r="C1" s="486" t="s">
        <v>220</v>
      </c>
      <c r="D1" s="523"/>
      <c r="E1" s="523"/>
      <c r="F1" s="524"/>
      <c r="G1" s="489" t="s">
        <v>129</v>
      </c>
      <c r="H1" s="490"/>
      <c r="I1" s="491"/>
      <c r="J1" s="492" t="s">
        <v>303</v>
      </c>
      <c r="K1" s="493"/>
      <c r="L1" s="494"/>
    </row>
    <row r="2" spans="1:12">
      <c r="A2" s="495" t="s">
        <v>10</v>
      </c>
      <c r="B2" s="525"/>
      <c r="C2" s="497" t="s">
        <v>63</v>
      </c>
      <c r="D2" s="498" t="s">
        <v>18</v>
      </c>
      <c r="E2" s="499" t="s">
        <v>353</v>
      </c>
      <c r="F2" s="500" t="s">
        <v>305</v>
      </c>
      <c r="G2" s="501" t="s">
        <v>130</v>
      </c>
      <c r="H2" s="497" t="s">
        <v>186</v>
      </c>
      <c r="I2" s="498" t="s">
        <v>132</v>
      </c>
      <c r="J2" s="501" t="s">
        <v>253</v>
      </c>
      <c r="K2" s="502" t="s">
        <v>365</v>
      </c>
      <c r="L2" s="503" t="s">
        <v>366</v>
      </c>
    </row>
    <row r="3" spans="1:12">
      <c r="A3" s="504">
        <v>44621</v>
      </c>
      <c r="B3" s="505" t="s">
        <v>41</v>
      </c>
      <c r="C3" s="506">
        <v>18000</v>
      </c>
      <c r="D3" s="508">
        <v>13500</v>
      </c>
      <c r="E3" s="508">
        <v>12700</v>
      </c>
      <c r="F3" s="508">
        <v>800</v>
      </c>
      <c r="G3" s="515"/>
      <c r="H3" s="515"/>
      <c r="I3" s="520" t="s">
        <v>400</v>
      </c>
      <c r="J3" s="506">
        <v>1000</v>
      </c>
      <c r="K3" s="506">
        <v>1539256</v>
      </c>
      <c r="L3" s="510">
        <v>36</v>
      </c>
    </row>
    <row r="4" spans="1:12">
      <c r="A4" s="504">
        <v>44622</v>
      </c>
      <c r="B4" s="505" t="s">
        <v>46</v>
      </c>
      <c r="C4" s="506">
        <v>18000</v>
      </c>
      <c r="D4" s="508">
        <v>13600</v>
      </c>
      <c r="E4" s="508">
        <v>12800</v>
      </c>
      <c r="F4" s="508">
        <v>800</v>
      </c>
      <c r="G4" s="515"/>
      <c r="H4" s="515"/>
      <c r="I4" s="520" t="s">
        <v>399</v>
      </c>
      <c r="J4" s="506">
        <v>1000</v>
      </c>
      <c r="K4" s="506">
        <v>1569328</v>
      </c>
      <c r="L4" s="510">
        <v>37</v>
      </c>
    </row>
    <row r="5" spans="1:12">
      <c r="A5" s="504">
        <v>44623</v>
      </c>
      <c r="B5" s="505" t="s">
        <v>49</v>
      </c>
      <c r="C5" s="506">
        <v>18000</v>
      </c>
      <c r="D5" s="533">
        <v>45400</v>
      </c>
      <c r="E5" s="508">
        <v>42100</v>
      </c>
      <c r="F5" s="508">
        <v>3300</v>
      </c>
      <c r="G5" s="515"/>
      <c r="H5" s="515"/>
      <c r="I5" s="520" t="s">
        <v>473</v>
      </c>
      <c r="J5" s="506">
        <v>1000</v>
      </c>
      <c r="K5" s="506">
        <v>1443686</v>
      </c>
      <c r="L5" s="510">
        <v>32</v>
      </c>
    </row>
    <row r="6" spans="1:12">
      <c r="A6" s="504">
        <v>44624</v>
      </c>
      <c r="B6" s="505" t="s">
        <v>51</v>
      </c>
      <c r="C6" s="506">
        <v>18000</v>
      </c>
      <c r="D6" s="508">
        <v>10700</v>
      </c>
      <c r="E6" s="508">
        <v>10200</v>
      </c>
      <c r="F6" s="508">
        <v>500</v>
      </c>
      <c r="G6" s="527"/>
      <c r="H6" s="505" t="s">
        <v>474</v>
      </c>
      <c r="I6" s="527"/>
      <c r="J6" s="506">
        <v>1000</v>
      </c>
      <c r="K6" s="506">
        <v>1445125</v>
      </c>
      <c r="L6" s="510">
        <v>34</v>
      </c>
    </row>
    <row r="7" spans="1:12">
      <c r="A7" s="504">
        <v>44625</v>
      </c>
      <c r="B7" s="505" t="s">
        <v>29</v>
      </c>
      <c r="C7" s="506">
        <v>10000</v>
      </c>
      <c r="D7" s="508">
        <v>9500</v>
      </c>
      <c r="E7" s="508">
        <v>9000</v>
      </c>
      <c r="F7" s="508">
        <v>500</v>
      </c>
      <c r="G7" s="515"/>
      <c r="H7" s="505" t="s">
        <v>474</v>
      </c>
      <c r="I7" s="527"/>
      <c r="J7" s="506">
        <v>1000</v>
      </c>
      <c r="K7" s="506">
        <v>1450440</v>
      </c>
      <c r="L7" s="510">
        <v>35</v>
      </c>
    </row>
    <row r="8" spans="1:12">
      <c r="A8" s="504">
        <v>44626</v>
      </c>
      <c r="B8" s="505" t="s">
        <v>33</v>
      </c>
      <c r="C8" s="506">
        <v>0</v>
      </c>
      <c r="D8" s="508">
        <v>11000</v>
      </c>
      <c r="E8" s="508">
        <v>10500</v>
      </c>
      <c r="F8" s="508">
        <v>500</v>
      </c>
      <c r="G8" s="515"/>
      <c r="H8" s="505" t="s">
        <v>474</v>
      </c>
      <c r="I8" s="527"/>
      <c r="J8" s="506">
        <v>0</v>
      </c>
      <c r="K8" s="506">
        <v>1473910</v>
      </c>
      <c r="L8" s="510">
        <v>36</v>
      </c>
    </row>
    <row r="9" spans="1:12">
      <c r="A9" s="504">
        <v>44627</v>
      </c>
      <c r="B9" s="505" t="s">
        <v>37</v>
      </c>
      <c r="C9" s="506">
        <v>18000</v>
      </c>
      <c r="D9" s="508">
        <v>11300</v>
      </c>
      <c r="E9" s="508">
        <v>10800</v>
      </c>
      <c r="F9" s="508">
        <v>500</v>
      </c>
      <c r="G9" s="515"/>
      <c r="H9" s="505" t="s">
        <v>474</v>
      </c>
      <c r="I9" s="515"/>
      <c r="J9" s="506">
        <v>0</v>
      </c>
      <c r="K9" s="506">
        <v>1436411</v>
      </c>
      <c r="L9" s="510">
        <v>35</v>
      </c>
    </row>
    <row r="10" spans="1:12">
      <c r="A10" s="504">
        <v>44628</v>
      </c>
      <c r="B10" s="505" t="s">
        <v>41</v>
      </c>
      <c r="C10" s="506">
        <v>18000</v>
      </c>
      <c r="D10" s="508">
        <v>12700</v>
      </c>
      <c r="E10" s="508">
        <v>12000</v>
      </c>
      <c r="F10" s="508">
        <v>700</v>
      </c>
      <c r="G10" s="527"/>
      <c r="H10" s="505" t="s">
        <v>475</v>
      </c>
      <c r="I10" s="527"/>
      <c r="J10" s="506">
        <v>1000</v>
      </c>
      <c r="K10" s="506">
        <v>1469390</v>
      </c>
      <c r="L10" s="510">
        <v>36</v>
      </c>
    </row>
    <row r="11" spans="1:12">
      <c r="A11" s="504">
        <v>44629</v>
      </c>
      <c r="B11" s="505" t="s">
        <v>46</v>
      </c>
      <c r="C11" s="506">
        <v>18000</v>
      </c>
      <c r="D11" s="508">
        <v>12800</v>
      </c>
      <c r="E11" s="508">
        <v>12100</v>
      </c>
      <c r="F11" s="508">
        <v>700</v>
      </c>
      <c r="G11" s="515"/>
      <c r="H11" s="505" t="s">
        <v>475</v>
      </c>
      <c r="I11" s="515"/>
      <c r="J11" s="506">
        <v>1000</v>
      </c>
      <c r="K11" s="506">
        <v>1502046</v>
      </c>
      <c r="L11" s="510">
        <v>37</v>
      </c>
    </row>
    <row r="12" spans="1:12">
      <c r="A12" s="504">
        <v>44630</v>
      </c>
      <c r="B12" s="505" t="s">
        <v>49</v>
      </c>
      <c r="C12" s="506">
        <v>18000</v>
      </c>
      <c r="D12" s="508">
        <v>11600</v>
      </c>
      <c r="E12" s="508">
        <v>11000</v>
      </c>
      <c r="F12" s="508">
        <v>600</v>
      </c>
      <c r="G12" s="515"/>
      <c r="H12" s="520" t="s">
        <v>476</v>
      </c>
      <c r="I12" s="515"/>
      <c r="J12" s="506">
        <v>1000</v>
      </c>
      <c r="K12" s="506">
        <v>1538578</v>
      </c>
      <c r="L12" s="510">
        <v>38</v>
      </c>
    </row>
    <row r="13" spans="1:12">
      <c r="A13" s="504">
        <v>44631</v>
      </c>
      <c r="B13" s="505" t="s">
        <v>51</v>
      </c>
      <c r="C13" s="506">
        <v>18000</v>
      </c>
      <c r="D13" s="508">
        <v>10100</v>
      </c>
      <c r="E13" s="508">
        <v>9600</v>
      </c>
      <c r="F13" s="508">
        <v>500</v>
      </c>
      <c r="G13" s="527"/>
      <c r="H13" s="520" t="s">
        <v>476</v>
      </c>
      <c r="I13" s="516"/>
      <c r="J13" s="506">
        <v>1000</v>
      </c>
      <c r="K13" s="506">
        <v>1579955</v>
      </c>
      <c r="L13" s="510">
        <v>40</v>
      </c>
    </row>
    <row r="14" spans="1:12">
      <c r="A14" s="504">
        <v>44632</v>
      </c>
      <c r="B14" s="505" t="s">
        <v>29</v>
      </c>
      <c r="C14" s="506">
        <v>10000</v>
      </c>
      <c r="D14" s="508">
        <v>10300</v>
      </c>
      <c r="E14" s="508">
        <v>8900</v>
      </c>
      <c r="F14" s="508">
        <v>1400</v>
      </c>
      <c r="G14" s="515"/>
      <c r="H14" s="520" t="s">
        <v>477</v>
      </c>
      <c r="I14" s="516"/>
      <c r="J14" s="506">
        <v>1000</v>
      </c>
      <c r="K14" s="506">
        <v>1620686</v>
      </c>
      <c r="L14" s="510">
        <v>41</v>
      </c>
    </row>
    <row r="15" spans="1:12">
      <c r="A15" s="504">
        <v>44633</v>
      </c>
      <c r="B15" s="505" t="s">
        <v>33</v>
      </c>
      <c r="C15" s="506">
        <v>0</v>
      </c>
      <c r="D15" s="508">
        <v>12000</v>
      </c>
      <c r="E15" s="508">
        <v>10500</v>
      </c>
      <c r="F15" s="508">
        <v>1500</v>
      </c>
      <c r="G15" s="515"/>
      <c r="H15" s="520" t="s">
        <v>477</v>
      </c>
      <c r="I15" s="516"/>
      <c r="J15" s="506">
        <v>0</v>
      </c>
      <c r="K15" s="506">
        <v>1640926</v>
      </c>
      <c r="L15" s="510">
        <v>41</v>
      </c>
    </row>
    <row r="16" spans="1:12">
      <c r="A16" s="504">
        <v>44634</v>
      </c>
      <c r="B16" s="505" t="s">
        <v>37</v>
      </c>
      <c r="C16" s="506">
        <v>18000</v>
      </c>
      <c r="D16" s="508">
        <v>13000</v>
      </c>
      <c r="E16" s="508">
        <v>10800</v>
      </c>
      <c r="F16" s="508">
        <v>2200</v>
      </c>
      <c r="G16" s="515"/>
      <c r="H16" s="520" t="s">
        <v>477</v>
      </c>
      <c r="I16" s="516"/>
      <c r="J16" s="506">
        <v>0</v>
      </c>
      <c r="K16" s="506">
        <v>1597936</v>
      </c>
      <c r="L16" s="510">
        <v>39</v>
      </c>
    </row>
    <row r="17" spans="1:12">
      <c r="A17" s="504">
        <v>44635</v>
      </c>
      <c r="B17" s="505" t="s">
        <v>41</v>
      </c>
      <c r="C17" s="506">
        <v>18000</v>
      </c>
      <c r="D17" s="508">
        <v>12200</v>
      </c>
      <c r="E17" s="508">
        <v>11600</v>
      </c>
      <c r="F17" s="508">
        <v>600</v>
      </c>
      <c r="G17" s="528"/>
      <c r="H17" s="505" t="s">
        <v>446</v>
      </c>
      <c r="I17" s="516"/>
      <c r="J17" s="506">
        <v>1000</v>
      </c>
      <c r="K17" s="506">
        <v>1632530</v>
      </c>
      <c r="L17" s="510">
        <v>40</v>
      </c>
    </row>
    <row r="18" spans="1:12">
      <c r="A18" s="504">
        <v>44636</v>
      </c>
      <c r="B18" s="505" t="s">
        <v>46</v>
      </c>
      <c r="C18" s="506">
        <v>18000</v>
      </c>
      <c r="D18" s="508">
        <v>12900</v>
      </c>
      <c r="E18" s="508">
        <v>12100</v>
      </c>
      <c r="F18" s="508">
        <v>800</v>
      </c>
      <c r="G18" s="528"/>
      <c r="H18" s="505" t="s">
        <v>446</v>
      </c>
      <c r="I18" s="515"/>
      <c r="J18" s="506">
        <v>1000</v>
      </c>
      <c r="K18" s="506">
        <v>1664863</v>
      </c>
      <c r="L18" s="510">
        <v>40</v>
      </c>
    </row>
    <row r="19" spans="1:12">
      <c r="A19" s="504">
        <v>44637</v>
      </c>
      <c r="B19" s="505" t="s">
        <v>49</v>
      </c>
      <c r="C19" s="506">
        <v>18000</v>
      </c>
      <c r="D19" s="508">
        <v>11600</v>
      </c>
      <c r="E19" s="508">
        <v>11000</v>
      </c>
      <c r="F19" s="508">
        <v>600</v>
      </c>
      <c r="G19" s="515"/>
      <c r="H19" s="520" t="s">
        <v>478</v>
      </c>
      <c r="I19" s="515"/>
      <c r="J19" s="506">
        <v>1000</v>
      </c>
      <c r="K19" s="506">
        <v>1701395</v>
      </c>
      <c r="L19" s="510">
        <v>41</v>
      </c>
    </row>
    <row r="20" spans="1:12">
      <c r="A20" s="504">
        <v>44638</v>
      </c>
      <c r="B20" s="505" t="s">
        <v>51</v>
      </c>
      <c r="C20" s="506">
        <v>18000</v>
      </c>
      <c r="D20" s="508">
        <v>10200</v>
      </c>
      <c r="E20" s="508">
        <v>9700</v>
      </c>
      <c r="F20" s="508">
        <v>500</v>
      </c>
      <c r="G20" s="520" t="s">
        <v>479</v>
      </c>
      <c r="H20" s="520" t="s">
        <v>478</v>
      </c>
      <c r="I20" s="527"/>
      <c r="J20" s="506">
        <v>1000</v>
      </c>
      <c r="K20" s="506">
        <v>1742449</v>
      </c>
      <c r="L20" s="510">
        <v>42</v>
      </c>
    </row>
    <row r="21" spans="1:12">
      <c r="A21" s="504">
        <v>44639</v>
      </c>
      <c r="B21" s="505" t="s">
        <v>29</v>
      </c>
      <c r="C21" s="506">
        <v>10000</v>
      </c>
      <c r="D21" s="508">
        <v>10200</v>
      </c>
      <c r="E21" s="508">
        <v>9700</v>
      </c>
      <c r="F21" s="508">
        <v>500</v>
      </c>
      <c r="G21" s="520" t="s">
        <v>479</v>
      </c>
      <c r="H21" s="529" t="s">
        <v>422</v>
      </c>
      <c r="I21" s="516"/>
      <c r="J21" s="506">
        <v>1000</v>
      </c>
      <c r="K21" s="506">
        <v>1783503</v>
      </c>
      <c r="L21" s="510">
        <v>43</v>
      </c>
    </row>
    <row r="22" spans="1:12">
      <c r="A22" s="504">
        <v>44640</v>
      </c>
      <c r="B22" s="505" t="s">
        <v>33</v>
      </c>
      <c r="C22" s="506">
        <v>0</v>
      </c>
      <c r="D22" s="508">
        <v>11900</v>
      </c>
      <c r="E22" s="508">
        <v>11300</v>
      </c>
      <c r="F22" s="508">
        <v>600</v>
      </c>
      <c r="G22" s="520" t="s">
        <v>479</v>
      </c>
      <c r="H22" s="529" t="s">
        <v>422</v>
      </c>
      <c r="I22" s="516"/>
      <c r="J22" s="506">
        <v>0</v>
      </c>
      <c r="K22" s="506">
        <v>1804066</v>
      </c>
      <c r="L22" s="510">
        <v>43</v>
      </c>
    </row>
    <row r="23" spans="1:12">
      <c r="A23" s="504">
        <v>44641</v>
      </c>
      <c r="B23" s="505" t="s">
        <v>37</v>
      </c>
      <c r="C23" s="506">
        <v>18000</v>
      </c>
      <c r="D23" s="508">
        <v>12000</v>
      </c>
      <c r="E23" s="508">
        <v>11400</v>
      </c>
      <c r="F23" s="508">
        <v>600</v>
      </c>
      <c r="G23" s="535" t="s">
        <v>480</v>
      </c>
      <c r="H23" s="529" t="s">
        <v>422</v>
      </c>
      <c r="I23" s="516"/>
      <c r="J23" s="506">
        <v>0</v>
      </c>
      <c r="K23" s="506">
        <v>1764306</v>
      </c>
      <c r="L23" s="510">
        <v>42</v>
      </c>
    </row>
    <row r="24" spans="1:12">
      <c r="A24" s="504">
        <v>44642</v>
      </c>
      <c r="B24" s="505" t="s">
        <v>41</v>
      </c>
      <c r="C24" s="506">
        <v>18000</v>
      </c>
      <c r="D24" s="533">
        <v>15200</v>
      </c>
      <c r="E24" s="508">
        <v>14300</v>
      </c>
      <c r="F24" s="508">
        <v>900</v>
      </c>
      <c r="G24" s="520" t="s">
        <v>480</v>
      </c>
      <c r="H24" s="505" t="s">
        <v>481</v>
      </c>
      <c r="I24" s="516"/>
      <c r="J24" s="506">
        <v>1000</v>
      </c>
      <c r="K24" s="506">
        <v>1789210</v>
      </c>
      <c r="L24" s="510">
        <v>42</v>
      </c>
    </row>
    <row r="25" spans="1:12">
      <c r="A25" s="504">
        <v>44643</v>
      </c>
      <c r="B25" s="505" t="s">
        <v>46</v>
      </c>
      <c r="C25" s="506">
        <v>18000</v>
      </c>
      <c r="D25" s="533">
        <v>15000</v>
      </c>
      <c r="E25" s="508">
        <v>14100</v>
      </c>
      <c r="F25" s="508">
        <v>900</v>
      </c>
      <c r="G25" s="520" t="s">
        <v>480</v>
      </c>
      <c r="H25" s="505" t="s">
        <v>481</v>
      </c>
      <c r="I25" s="516"/>
      <c r="J25" s="506">
        <v>1000</v>
      </c>
      <c r="K25" s="506">
        <v>1814760</v>
      </c>
      <c r="L25" s="510">
        <v>43</v>
      </c>
    </row>
    <row r="26" spans="1:12">
      <c r="A26" s="504">
        <v>44644</v>
      </c>
      <c r="B26" s="505" t="s">
        <v>49</v>
      </c>
      <c r="C26" s="506">
        <v>18000</v>
      </c>
      <c r="D26" s="533">
        <v>31900</v>
      </c>
      <c r="E26" s="508">
        <v>29800</v>
      </c>
      <c r="F26" s="508">
        <v>2100</v>
      </c>
      <c r="G26" s="520" t="s">
        <v>480</v>
      </c>
      <c r="H26" s="505" t="s">
        <v>439</v>
      </c>
      <c r="I26" s="515"/>
      <c r="J26" s="506">
        <v>1000</v>
      </c>
      <c r="K26" s="506">
        <v>1740723</v>
      </c>
      <c r="L26" s="510">
        <v>39</v>
      </c>
    </row>
    <row r="27" spans="1:12">
      <c r="A27" s="504">
        <v>44645</v>
      </c>
      <c r="B27" s="505" t="s">
        <v>51</v>
      </c>
      <c r="C27" s="506">
        <v>18000</v>
      </c>
      <c r="D27" s="508">
        <v>10700</v>
      </c>
      <c r="E27" s="508">
        <v>10200</v>
      </c>
      <c r="F27" s="508">
        <v>500</v>
      </c>
      <c r="G27" s="515"/>
      <c r="H27" s="520" t="s">
        <v>439</v>
      </c>
      <c r="I27" s="527"/>
      <c r="J27" s="506">
        <v>1000</v>
      </c>
      <c r="K27" s="506">
        <v>1750162</v>
      </c>
      <c r="L27" s="510">
        <v>40</v>
      </c>
    </row>
    <row r="28" spans="1:12">
      <c r="A28" s="504">
        <v>44646</v>
      </c>
      <c r="B28" s="505" t="s">
        <v>29</v>
      </c>
      <c r="C28" s="506">
        <v>10000</v>
      </c>
      <c r="D28" s="508">
        <v>9400</v>
      </c>
      <c r="E28" s="508">
        <v>9000</v>
      </c>
      <c r="F28" s="508">
        <v>400</v>
      </c>
      <c r="G28" s="515"/>
      <c r="H28" s="529" t="s">
        <v>482</v>
      </c>
      <c r="I28" s="515"/>
      <c r="J28" s="506">
        <v>1000</v>
      </c>
      <c r="K28" s="506">
        <v>1763800</v>
      </c>
      <c r="L28" s="510">
        <v>41</v>
      </c>
    </row>
    <row r="29" spans="1:12">
      <c r="A29" s="504">
        <v>44647</v>
      </c>
      <c r="B29" s="505" t="s">
        <v>33</v>
      </c>
      <c r="C29" s="506">
        <v>0</v>
      </c>
      <c r="D29" s="508">
        <v>10700</v>
      </c>
      <c r="E29" s="508">
        <v>10200</v>
      </c>
      <c r="F29" s="508">
        <v>500</v>
      </c>
      <c r="G29" s="515"/>
      <c r="H29" s="529" t="s">
        <v>482</v>
      </c>
      <c r="I29" s="515"/>
      <c r="J29" s="506">
        <v>0</v>
      </c>
      <c r="K29" s="506">
        <v>1788239</v>
      </c>
      <c r="L29" s="510">
        <v>41</v>
      </c>
    </row>
    <row r="30" spans="1:12">
      <c r="A30" s="504">
        <v>44648</v>
      </c>
      <c r="B30" s="505" t="s">
        <v>37</v>
      </c>
      <c r="C30" s="506">
        <v>18000</v>
      </c>
      <c r="D30" s="508">
        <v>11300</v>
      </c>
      <c r="E30" s="508">
        <v>10800</v>
      </c>
      <c r="F30" s="508">
        <v>500</v>
      </c>
      <c r="G30" s="515"/>
      <c r="H30" s="529" t="s">
        <v>482</v>
      </c>
      <c r="I30" s="515"/>
      <c r="J30" s="506">
        <v>0</v>
      </c>
      <c r="K30" s="506">
        <v>1750740</v>
      </c>
      <c r="L30" s="510">
        <v>40</v>
      </c>
    </row>
    <row r="31" spans="1:12">
      <c r="A31" s="504">
        <v>44649</v>
      </c>
      <c r="B31" s="505" t="s">
        <v>41</v>
      </c>
      <c r="C31" s="506">
        <v>18000</v>
      </c>
      <c r="D31" s="508">
        <v>12200</v>
      </c>
      <c r="E31" s="508">
        <v>11600</v>
      </c>
      <c r="F31" s="508">
        <v>600</v>
      </c>
      <c r="G31" s="527"/>
      <c r="H31" s="520" t="s">
        <v>483</v>
      </c>
      <c r="I31" s="527"/>
      <c r="J31" s="506">
        <v>1000</v>
      </c>
      <c r="K31" s="506">
        <v>1785334</v>
      </c>
      <c r="L31" s="510">
        <v>41</v>
      </c>
    </row>
    <row r="32" spans="1:12">
      <c r="A32" s="504">
        <v>44650</v>
      </c>
      <c r="B32" s="505" t="s">
        <v>46</v>
      </c>
      <c r="C32" s="506">
        <v>18000</v>
      </c>
      <c r="D32" s="508">
        <v>12800</v>
      </c>
      <c r="E32" s="508">
        <v>12100</v>
      </c>
      <c r="F32" s="508">
        <v>700</v>
      </c>
      <c r="G32" s="515"/>
      <c r="H32" s="520" t="s">
        <v>483</v>
      </c>
      <c r="I32" s="515"/>
      <c r="J32" s="506">
        <v>1000</v>
      </c>
      <c r="K32" s="506">
        <v>1817990</v>
      </c>
      <c r="L32" s="510">
        <v>41</v>
      </c>
    </row>
    <row r="33" spans="1:12">
      <c r="A33" s="504">
        <v>44651</v>
      </c>
      <c r="B33" s="505" t="s">
        <v>49</v>
      </c>
      <c r="C33" s="506">
        <v>18000</v>
      </c>
      <c r="D33" s="508">
        <v>11600</v>
      </c>
      <c r="E33" s="508">
        <v>11000</v>
      </c>
      <c r="F33" s="508">
        <v>600</v>
      </c>
      <c r="G33" s="515"/>
      <c r="H33" s="520" t="s">
        <v>484</v>
      </c>
      <c r="I33" s="515"/>
      <c r="J33" s="506">
        <v>1000</v>
      </c>
      <c r="K33" s="506">
        <v>1854522</v>
      </c>
      <c r="L33" s="510">
        <v>42</v>
      </c>
    </row>
  </sheetData>
  <phoneticPr fontId="6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L32"/>
  <sheetViews>
    <sheetView workbookViewId="0"/>
  </sheetViews>
  <sheetFormatPr baseColWidth="10" defaultColWidth="12.6640625" defaultRowHeight="15.75" customHeight="1"/>
  <sheetData>
    <row r="1" spans="1:12">
      <c r="A1" s="786"/>
      <c r="B1" s="809"/>
      <c r="C1" s="854" t="s">
        <v>220</v>
      </c>
      <c r="D1" s="841"/>
      <c r="E1" s="841"/>
      <c r="F1" s="841"/>
      <c r="G1" s="855" t="s">
        <v>129</v>
      </c>
      <c r="H1" s="841"/>
      <c r="I1" s="841"/>
      <c r="J1" s="856" t="s">
        <v>303</v>
      </c>
      <c r="K1" s="841"/>
      <c r="L1" s="841"/>
    </row>
    <row r="2" spans="1:12">
      <c r="A2" s="857" t="s">
        <v>10</v>
      </c>
      <c r="B2" s="842"/>
      <c r="C2" s="497" t="s">
        <v>63</v>
      </c>
      <c r="D2" s="558" t="s">
        <v>485</v>
      </c>
      <c r="E2" s="559" t="s">
        <v>486</v>
      </c>
      <c r="F2" s="560" t="s">
        <v>487</v>
      </c>
      <c r="G2" s="561" t="s">
        <v>130</v>
      </c>
      <c r="H2" s="562" t="s">
        <v>186</v>
      </c>
      <c r="I2" s="558" t="s">
        <v>488</v>
      </c>
      <c r="J2" s="561" t="s">
        <v>253</v>
      </c>
      <c r="K2" s="562" t="s">
        <v>365</v>
      </c>
      <c r="L2" s="558" t="s">
        <v>366</v>
      </c>
    </row>
    <row r="3" spans="1:12">
      <c r="A3" s="504">
        <v>44287</v>
      </c>
      <c r="B3" s="563" t="s">
        <v>51</v>
      </c>
      <c r="C3" s="564">
        <v>22000</v>
      </c>
      <c r="D3" s="564">
        <v>10000</v>
      </c>
      <c r="E3" s="564">
        <v>9400</v>
      </c>
      <c r="F3" s="565">
        <v>600</v>
      </c>
      <c r="G3" s="566"/>
      <c r="H3" s="567" t="s">
        <v>484</v>
      </c>
      <c r="I3" s="563" t="s">
        <v>489</v>
      </c>
      <c r="J3" s="564">
        <v>1000</v>
      </c>
      <c r="K3" s="564">
        <v>1816704</v>
      </c>
      <c r="L3" s="568">
        <v>42</v>
      </c>
    </row>
    <row r="4" spans="1:12">
      <c r="A4" s="504">
        <v>44288</v>
      </c>
      <c r="B4" s="563" t="s">
        <v>29</v>
      </c>
      <c r="C4" s="564">
        <v>12000</v>
      </c>
      <c r="D4" s="564">
        <v>9200</v>
      </c>
      <c r="E4" s="564">
        <v>8600</v>
      </c>
      <c r="F4" s="565">
        <v>600</v>
      </c>
      <c r="G4" s="569"/>
      <c r="H4" s="570"/>
      <c r="I4" s="563" t="s">
        <v>490</v>
      </c>
      <c r="J4" s="564">
        <v>1000</v>
      </c>
      <c r="K4" s="564">
        <v>1785988</v>
      </c>
      <c r="L4" s="568">
        <v>45</v>
      </c>
    </row>
    <row r="5" spans="1:12">
      <c r="A5" s="504">
        <v>44289</v>
      </c>
      <c r="B5" s="563" t="s">
        <v>33</v>
      </c>
      <c r="C5" s="565">
        <v>0</v>
      </c>
      <c r="D5" s="564">
        <v>11500</v>
      </c>
      <c r="E5" s="564">
        <v>10900</v>
      </c>
      <c r="F5" s="565">
        <v>600</v>
      </c>
      <c r="G5" s="569"/>
      <c r="H5" s="570"/>
      <c r="I5" s="563" t="s">
        <v>491</v>
      </c>
      <c r="J5" s="565">
        <v>0</v>
      </c>
      <c r="K5" s="564">
        <v>1747843</v>
      </c>
      <c r="L5" s="568">
        <v>44</v>
      </c>
    </row>
    <row r="6" spans="1:12">
      <c r="A6" s="504">
        <v>44290</v>
      </c>
      <c r="B6" s="571" t="s">
        <v>37</v>
      </c>
      <c r="C6" s="572">
        <v>0</v>
      </c>
      <c r="D6" s="573">
        <v>53100</v>
      </c>
      <c r="E6" s="573">
        <v>50500</v>
      </c>
      <c r="F6" s="574">
        <v>2600</v>
      </c>
      <c r="G6" s="575"/>
      <c r="H6" s="575"/>
      <c r="I6" s="571" t="s">
        <v>492</v>
      </c>
      <c r="J6" s="572">
        <v>0</v>
      </c>
      <c r="K6" s="574">
        <v>1575330</v>
      </c>
      <c r="L6" s="576">
        <v>36</v>
      </c>
    </row>
    <row r="7" spans="1:12">
      <c r="A7" s="504">
        <v>44291</v>
      </c>
      <c r="B7" s="563" t="s">
        <v>41</v>
      </c>
      <c r="C7" s="565">
        <v>0</v>
      </c>
      <c r="D7" s="564">
        <v>11300</v>
      </c>
      <c r="E7" s="564">
        <v>10600</v>
      </c>
      <c r="F7" s="565">
        <v>700</v>
      </c>
      <c r="G7" s="569"/>
      <c r="H7" s="570"/>
      <c r="I7" s="563" t="s">
        <v>420</v>
      </c>
      <c r="J7" s="564">
        <v>1000</v>
      </c>
      <c r="K7" s="564">
        <v>1537831</v>
      </c>
      <c r="L7" s="568">
        <v>35</v>
      </c>
    </row>
    <row r="8" spans="1:12">
      <c r="A8" s="504">
        <v>44292</v>
      </c>
      <c r="B8" s="563" t="s">
        <v>46</v>
      </c>
      <c r="C8" s="564">
        <v>22000</v>
      </c>
      <c r="D8" s="564">
        <v>13800</v>
      </c>
      <c r="E8" s="564">
        <v>12700</v>
      </c>
      <c r="F8" s="564">
        <v>1100</v>
      </c>
      <c r="G8" s="569"/>
      <c r="H8" s="570"/>
      <c r="I8" s="563" t="s">
        <v>420</v>
      </c>
      <c r="J8" s="564">
        <v>1000</v>
      </c>
      <c r="K8" s="564">
        <v>1555257</v>
      </c>
      <c r="L8" s="568">
        <v>35</v>
      </c>
    </row>
    <row r="9" spans="1:12">
      <c r="A9" s="504">
        <v>44293</v>
      </c>
      <c r="B9" s="563" t="s">
        <v>49</v>
      </c>
      <c r="C9" s="564">
        <v>22000</v>
      </c>
      <c r="D9" s="564">
        <v>13500</v>
      </c>
      <c r="E9" s="564">
        <v>12500</v>
      </c>
      <c r="F9" s="564">
        <v>1000</v>
      </c>
      <c r="G9" s="569"/>
      <c r="H9" s="577" t="s">
        <v>439</v>
      </c>
      <c r="I9" s="566"/>
      <c r="J9" s="564">
        <v>1000</v>
      </c>
      <c r="K9" s="564">
        <v>1589652</v>
      </c>
      <c r="L9" s="568">
        <v>36</v>
      </c>
    </row>
    <row r="10" spans="1:12">
      <c r="A10" s="504">
        <v>44294</v>
      </c>
      <c r="B10" s="563" t="s">
        <v>51</v>
      </c>
      <c r="C10" s="564">
        <v>22000</v>
      </c>
      <c r="D10" s="564">
        <v>10900</v>
      </c>
      <c r="E10" s="564">
        <v>10200</v>
      </c>
      <c r="F10" s="565">
        <v>700</v>
      </c>
      <c r="G10" s="569"/>
      <c r="H10" s="577" t="s">
        <v>439</v>
      </c>
      <c r="I10" s="566"/>
      <c r="J10" s="564">
        <v>1000</v>
      </c>
      <c r="K10" s="564">
        <v>1632445</v>
      </c>
      <c r="L10" s="568">
        <v>37</v>
      </c>
    </row>
    <row r="11" spans="1:12">
      <c r="A11" s="504">
        <v>44295</v>
      </c>
      <c r="B11" s="563" t="s">
        <v>29</v>
      </c>
      <c r="C11" s="564">
        <v>12000</v>
      </c>
      <c r="D11" s="564">
        <v>10500</v>
      </c>
      <c r="E11" s="564">
        <v>9900</v>
      </c>
      <c r="F11" s="565">
        <v>600</v>
      </c>
      <c r="G11" s="569"/>
      <c r="H11" s="577" t="s">
        <v>493</v>
      </c>
      <c r="I11" s="566"/>
      <c r="J11" s="564">
        <v>1000</v>
      </c>
      <c r="K11" s="564">
        <v>1676530</v>
      </c>
      <c r="L11" s="568">
        <v>38</v>
      </c>
    </row>
    <row r="12" spans="1:12">
      <c r="A12" s="504">
        <v>44296</v>
      </c>
      <c r="B12" s="563" t="s">
        <v>33</v>
      </c>
      <c r="C12" s="564">
        <v>0</v>
      </c>
      <c r="D12" s="564">
        <v>12700</v>
      </c>
      <c r="E12" s="564">
        <v>11900</v>
      </c>
      <c r="F12" s="565">
        <v>800</v>
      </c>
      <c r="G12" s="569"/>
      <c r="H12" s="577" t="s">
        <v>493</v>
      </c>
      <c r="I12" s="566"/>
      <c r="J12" s="565">
        <v>0</v>
      </c>
      <c r="K12" s="564">
        <v>1697509</v>
      </c>
      <c r="L12" s="568">
        <v>38</v>
      </c>
    </row>
    <row r="13" spans="1:12">
      <c r="A13" s="504">
        <v>44297</v>
      </c>
      <c r="B13" s="571" t="s">
        <v>37</v>
      </c>
      <c r="C13" s="574">
        <v>22000</v>
      </c>
      <c r="D13" s="574">
        <v>11400</v>
      </c>
      <c r="E13" s="574">
        <v>10800</v>
      </c>
      <c r="F13" s="572">
        <v>600</v>
      </c>
      <c r="G13" s="575"/>
      <c r="H13" s="578" t="s">
        <v>493</v>
      </c>
      <c r="I13" s="579"/>
      <c r="J13" s="572">
        <v>0</v>
      </c>
      <c r="K13" s="574">
        <v>1659687</v>
      </c>
      <c r="L13" s="576">
        <v>37</v>
      </c>
    </row>
    <row r="14" spans="1:12">
      <c r="A14" s="504">
        <v>44298</v>
      </c>
      <c r="B14" s="563" t="s">
        <v>41</v>
      </c>
      <c r="C14" s="564">
        <v>22000</v>
      </c>
      <c r="D14" s="564">
        <v>13900</v>
      </c>
      <c r="E14" s="564">
        <v>12900</v>
      </c>
      <c r="F14" s="564">
        <v>1000</v>
      </c>
      <c r="G14" s="569"/>
      <c r="H14" s="577" t="s">
        <v>494</v>
      </c>
      <c r="I14" s="566"/>
      <c r="J14" s="564">
        <v>1000</v>
      </c>
      <c r="K14" s="564">
        <v>1692790</v>
      </c>
      <c r="L14" s="568">
        <v>38</v>
      </c>
    </row>
    <row r="15" spans="1:12">
      <c r="A15" s="504">
        <v>44299</v>
      </c>
      <c r="B15" s="563" t="s">
        <v>46</v>
      </c>
      <c r="C15" s="564">
        <v>22000</v>
      </c>
      <c r="D15" s="564">
        <v>13700</v>
      </c>
      <c r="E15" s="564">
        <v>12700</v>
      </c>
      <c r="F15" s="564">
        <v>1000</v>
      </c>
      <c r="G15" s="569"/>
      <c r="H15" s="577" t="s">
        <v>494</v>
      </c>
      <c r="I15" s="566"/>
      <c r="J15" s="564">
        <v>1000</v>
      </c>
      <c r="K15" s="564">
        <v>1726539</v>
      </c>
      <c r="L15" s="568">
        <v>38</v>
      </c>
    </row>
    <row r="16" spans="1:12">
      <c r="A16" s="504">
        <v>44300</v>
      </c>
      <c r="B16" s="563" t="s">
        <v>49</v>
      </c>
      <c r="C16" s="564">
        <v>22000</v>
      </c>
      <c r="D16" s="564">
        <v>11400</v>
      </c>
      <c r="E16" s="580">
        <v>10500</v>
      </c>
      <c r="F16" s="565">
        <v>900</v>
      </c>
      <c r="G16" s="569"/>
      <c r="H16" s="577" t="s">
        <v>494</v>
      </c>
      <c r="I16" s="566"/>
      <c r="J16" s="564">
        <v>1000</v>
      </c>
      <c r="K16" s="564">
        <v>1767717</v>
      </c>
      <c r="L16" s="568">
        <v>39</v>
      </c>
    </row>
    <row r="17" spans="1:12">
      <c r="A17" s="504">
        <v>44301</v>
      </c>
      <c r="B17" s="563" t="s">
        <v>51</v>
      </c>
      <c r="C17" s="564">
        <v>22000</v>
      </c>
      <c r="D17" s="564">
        <v>11000</v>
      </c>
      <c r="E17" s="564">
        <v>10300</v>
      </c>
      <c r="F17" s="565">
        <v>700</v>
      </c>
      <c r="G17" s="569"/>
      <c r="H17" s="577" t="s">
        <v>494</v>
      </c>
      <c r="I17" s="566"/>
      <c r="J17" s="564">
        <v>1000</v>
      </c>
      <c r="K17" s="564">
        <v>1810187</v>
      </c>
      <c r="L17" s="568">
        <v>41</v>
      </c>
    </row>
    <row r="18" spans="1:12">
      <c r="A18" s="504">
        <v>44302</v>
      </c>
      <c r="B18" s="563" t="s">
        <v>29</v>
      </c>
      <c r="C18" s="564">
        <v>12000</v>
      </c>
      <c r="D18" s="564">
        <v>10100</v>
      </c>
      <c r="E18" s="564">
        <v>9500</v>
      </c>
      <c r="F18" s="565">
        <v>600</v>
      </c>
      <c r="G18" s="569"/>
      <c r="H18" s="577" t="s">
        <v>495</v>
      </c>
      <c r="I18" s="566"/>
      <c r="J18" s="564">
        <v>1000</v>
      </c>
      <c r="K18" s="564">
        <v>1855564</v>
      </c>
      <c r="L18" s="568">
        <v>42</v>
      </c>
    </row>
    <row r="19" spans="1:12">
      <c r="A19" s="504">
        <v>44303</v>
      </c>
      <c r="B19" s="563" t="s">
        <v>33</v>
      </c>
      <c r="C19" s="564">
        <v>0</v>
      </c>
      <c r="D19" s="564">
        <v>12500</v>
      </c>
      <c r="E19" s="564">
        <v>11700</v>
      </c>
      <c r="F19" s="565">
        <v>800</v>
      </c>
      <c r="G19" s="569"/>
      <c r="H19" s="577" t="s">
        <v>495</v>
      </c>
      <c r="I19" s="566"/>
      <c r="J19" s="565">
        <v>0</v>
      </c>
      <c r="K19" s="564">
        <v>1877189</v>
      </c>
      <c r="L19" s="568">
        <v>42</v>
      </c>
    </row>
    <row r="20" spans="1:12">
      <c r="A20" s="504">
        <v>44304</v>
      </c>
      <c r="B20" s="571" t="s">
        <v>37</v>
      </c>
      <c r="C20" s="574">
        <v>22000</v>
      </c>
      <c r="D20" s="573">
        <v>29300</v>
      </c>
      <c r="E20" s="573">
        <v>27900</v>
      </c>
      <c r="F20" s="574">
        <v>1400</v>
      </c>
      <c r="G20" s="575"/>
      <c r="H20" s="578" t="s">
        <v>495</v>
      </c>
      <c r="I20" s="579"/>
      <c r="J20" s="572">
        <v>0</v>
      </c>
      <c r="K20" s="574">
        <v>1803514</v>
      </c>
      <c r="L20" s="576">
        <v>39</v>
      </c>
    </row>
    <row r="21" spans="1:12">
      <c r="A21" s="504">
        <v>44305</v>
      </c>
      <c r="B21" s="563" t="s">
        <v>41</v>
      </c>
      <c r="C21" s="564">
        <v>22000</v>
      </c>
      <c r="D21" s="581">
        <v>13800</v>
      </c>
      <c r="E21" s="580">
        <v>12800</v>
      </c>
      <c r="F21" s="564">
        <v>1000</v>
      </c>
      <c r="G21" s="569"/>
      <c r="H21" s="577" t="s">
        <v>496</v>
      </c>
      <c r="I21" s="566"/>
      <c r="J21" s="564">
        <v>1000</v>
      </c>
      <c r="K21" s="564">
        <v>1820617</v>
      </c>
      <c r="L21" s="568">
        <v>39</v>
      </c>
    </row>
    <row r="22" spans="1:12">
      <c r="A22" s="504">
        <v>44306</v>
      </c>
      <c r="B22" s="563" t="s">
        <v>46</v>
      </c>
      <c r="C22" s="564">
        <v>22000</v>
      </c>
      <c r="D22" s="581">
        <v>13600</v>
      </c>
      <c r="E22" s="580">
        <v>12600</v>
      </c>
      <c r="F22" s="564">
        <v>1000</v>
      </c>
      <c r="G22" s="569"/>
      <c r="H22" s="577" t="s">
        <v>496</v>
      </c>
      <c r="I22" s="566"/>
      <c r="J22" s="564">
        <v>1000</v>
      </c>
      <c r="K22" s="564">
        <v>1854366</v>
      </c>
      <c r="L22" s="568">
        <v>40</v>
      </c>
    </row>
    <row r="23" spans="1:12">
      <c r="A23" s="504">
        <v>44307</v>
      </c>
      <c r="B23" s="563" t="s">
        <v>49</v>
      </c>
      <c r="C23" s="564">
        <v>22000</v>
      </c>
      <c r="D23" s="581">
        <v>18411</v>
      </c>
      <c r="E23" s="580">
        <v>17311</v>
      </c>
      <c r="F23" s="564">
        <v>1100</v>
      </c>
      <c r="G23" s="582" t="s">
        <v>126</v>
      </c>
      <c r="H23" s="577" t="s">
        <v>497</v>
      </c>
      <c r="I23" s="566"/>
      <c r="J23" s="564">
        <v>1000</v>
      </c>
      <c r="K23" s="564">
        <v>1884239</v>
      </c>
      <c r="L23" s="568">
        <v>41</v>
      </c>
    </row>
    <row r="24" spans="1:12">
      <c r="A24" s="504">
        <v>44308</v>
      </c>
      <c r="B24" s="563" t="s">
        <v>51</v>
      </c>
      <c r="C24" s="564">
        <v>22000</v>
      </c>
      <c r="D24" s="581">
        <v>15965</v>
      </c>
      <c r="E24" s="580">
        <v>15165</v>
      </c>
      <c r="F24" s="565">
        <v>800</v>
      </c>
      <c r="G24" s="582" t="s">
        <v>126</v>
      </c>
      <c r="H24" s="577" t="s">
        <v>497</v>
      </c>
      <c r="I24" s="566"/>
      <c r="J24" s="564">
        <v>1000</v>
      </c>
      <c r="K24" s="564">
        <v>1923156</v>
      </c>
      <c r="L24" s="568">
        <v>42</v>
      </c>
    </row>
    <row r="25" spans="1:12">
      <c r="A25" s="504">
        <v>44309</v>
      </c>
      <c r="B25" s="563" t="s">
        <v>29</v>
      </c>
      <c r="C25" s="564">
        <v>12000</v>
      </c>
      <c r="D25" s="581">
        <v>16348</v>
      </c>
      <c r="E25" s="580">
        <v>15648</v>
      </c>
      <c r="F25" s="565">
        <v>700</v>
      </c>
      <c r="G25" s="582" t="s">
        <v>126</v>
      </c>
      <c r="H25" s="577" t="s">
        <v>482</v>
      </c>
      <c r="I25" s="566"/>
      <c r="J25" s="564">
        <v>1000</v>
      </c>
      <c r="K25" s="564">
        <v>1965303</v>
      </c>
      <c r="L25" s="568">
        <v>45</v>
      </c>
    </row>
    <row r="26" spans="1:12">
      <c r="A26" s="504">
        <v>44310</v>
      </c>
      <c r="B26" s="563" t="s">
        <v>33</v>
      </c>
      <c r="C26" s="564">
        <v>0</v>
      </c>
      <c r="D26" s="581">
        <v>20211</v>
      </c>
      <c r="E26" s="580">
        <v>19011</v>
      </c>
      <c r="F26" s="564">
        <v>1200</v>
      </c>
      <c r="G26" s="583" t="s">
        <v>126</v>
      </c>
      <c r="H26" s="577" t="s">
        <v>482</v>
      </c>
      <c r="I26" s="566"/>
      <c r="J26" s="565">
        <v>0</v>
      </c>
      <c r="K26" s="564">
        <v>1976915</v>
      </c>
      <c r="L26" s="568">
        <v>45</v>
      </c>
    </row>
    <row r="27" spans="1:12">
      <c r="A27" s="504">
        <v>44311</v>
      </c>
      <c r="B27" s="571" t="s">
        <v>37</v>
      </c>
      <c r="C27" s="574">
        <v>22000</v>
      </c>
      <c r="D27" s="584">
        <v>17261</v>
      </c>
      <c r="E27" s="573">
        <v>16561</v>
      </c>
      <c r="F27" s="572">
        <v>700</v>
      </c>
      <c r="G27" s="575"/>
      <c r="H27" s="578" t="s">
        <v>482</v>
      </c>
      <c r="I27" s="579"/>
      <c r="J27" s="572">
        <v>0</v>
      </c>
      <c r="K27" s="574">
        <v>1938770</v>
      </c>
      <c r="L27" s="576">
        <v>43</v>
      </c>
    </row>
    <row r="28" spans="1:12">
      <c r="A28" s="504">
        <v>44312</v>
      </c>
      <c r="B28" s="563" t="s">
        <v>41</v>
      </c>
      <c r="C28" s="564">
        <v>22000</v>
      </c>
      <c r="D28" s="581">
        <v>18444</v>
      </c>
      <c r="E28" s="580">
        <v>17344</v>
      </c>
      <c r="F28" s="564">
        <v>1100</v>
      </c>
      <c r="G28" s="569"/>
      <c r="H28" s="577" t="s">
        <v>498</v>
      </c>
      <c r="I28" s="563" t="s">
        <v>399</v>
      </c>
      <c r="J28" s="564">
        <v>1000</v>
      </c>
      <c r="K28" s="564">
        <v>1971227</v>
      </c>
      <c r="L28" s="568">
        <v>44</v>
      </c>
    </row>
    <row r="29" spans="1:12">
      <c r="A29" s="504">
        <v>44313</v>
      </c>
      <c r="B29" s="563" t="s">
        <v>46</v>
      </c>
      <c r="C29" s="564">
        <v>22000</v>
      </c>
      <c r="D29" s="581">
        <v>17673</v>
      </c>
      <c r="E29" s="580">
        <v>16673</v>
      </c>
      <c r="F29" s="564">
        <v>1000</v>
      </c>
      <c r="G29" s="569"/>
      <c r="H29" s="577" t="s">
        <v>498</v>
      </c>
      <c r="I29" s="563" t="s">
        <v>403</v>
      </c>
      <c r="J29" s="564">
        <v>1000</v>
      </c>
      <c r="K29" s="564">
        <v>2004976</v>
      </c>
      <c r="L29" s="568">
        <v>44</v>
      </c>
    </row>
    <row r="30" spans="1:12">
      <c r="A30" s="504">
        <v>44314</v>
      </c>
      <c r="B30" s="563" t="s">
        <v>49</v>
      </c>
      <c r="C30" s="564">
        <v>22000</v>
      </c>
      <c r="D30" s="581">
        <v>18316</v>
      </c>
      <c r="E30" s="580">
        <v>17216</v>
      </c>
      <c r="F30" s="564">
        <v>1100</v>
      </c>
      <c r="G30" s="569"/>
      <c r="H30" s="577" t="s">
        <v>440</v>
      </c>
      <c r="I30" s="563" t="s">
        <v>401</v>
      </c>
      <c r="J30" s="564">
        <v>1000</v>
      </c>
      <c r="K30" s="564">
        <v>2039048</v>
      </c>
      <c r="L30" s="568">
        <v>45</v>
      </c>
    </row>
    <row r="31" spans="1:12">
      <c r="A31" s="504">
        <v>44315</v>
      </c>
      <c r="B31" s="563" t="s">
        <v>51</v>
      </c>
      <c r="C31" s="564">
        <v>22000</v>
      </c>
      <c r="D31" s="581">
        <v>15944</v>
      </c>
      <c r="E31" s="580">
        <v>15244</v>
      </c>
      <c r="F31" s="565">
        <v>700</v>
      </c>
      <c r="G31" s="569"/>
      <c r="H31" s="577" t="s">
        <v>440</v>
      </c>
      <c r="I31" s="563" t="s">
        <v>499</v>
      </c>
      <c r="J31" s="564">
        <v>1000</v>
      </c>
      <c r="K31" s="564">
        <v>2081841</v>
      </c>
      <c r="L31" s="568">
        <v>46</v>
      </c>
    </row>
    <row r="32" spans="1:12">
      <c r="A32" s="504">
        <v>44316</v>
      </c>
      <c r="B32" s="571" t="s">
        <v>29</v>
      </c>
      <c r="C32" s="574">
        <v>12000</v>
      </c>
      <c r="D32" s="584">
        <v>15179</v>
      </c>
      <c r="E32" s="573">
        <v>14579</v>
      </c>
      <c r="F32" s="572">
        <v>600</v>
      </c>
      <c r="G32" s="575"/>
      <c r="H32" s="578" t="s">
        <v>442</v>
      </c>
      <c r="I32" s="571" t="s">
        <v>500</v>
      </c>
      <c r="J32" s="574">
        <v>1000</v>
      </c>
      <c r="K32" s="574">
        <v>2127218</v>
      </c>
      <c r="L32" s="576">
        <v>47</v>
      </c>
    </row>
  </sheetData>
  <mergeCells count="5">
    <mergeCell ref="A1:B1"/>
    <mergeCell ref="C1:F1"/>
    <mergeCell ref="G1:I1"/>
    <mergeCell ref="J1:L1"/>
    <mergeCell ref="A2:B2"/>
  </mergeCells>
  <phoneticPr fontId="6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L33"/>
  <sheetViews>
    <sheetView workbookViewId="0"/>
  </sheetViews>
  <sheetFormatPr baseColWidth="10" defaultColWidth="12.6640625" defaultRowHeight="15.75" customHeight="1"/>
  <sheetData>
    <row r="1" spans="1:12">
      <c r="A1" s="34"/>
      <c r="B1" s="87"/>
      <c r="C1" s="427" t="s">
        <v>220</v>
      </c>
      <c r="D1" s="428"/>
      <c r="E1" s="428"/>
      <c r="F1" s="428"/>
      <c r="G1" s="538" t="s">
        <v>129</v>
      </c>
      <c r="H1" s="539"/>
      <c r="I1" s="539"/>
      <c r="J1" s="540" t="s">
        <v>303</v>
      </c>
      <c r="K1" s="541"/>
      <c r="L1" s="541"/>
    </row>
    <row r="2" spans="1:12">
      <c r="A2" s="542" t="s">
        <v>10</v>
      </c>
      <c r="B2" s="543"/>
      <c r="C2" s="544" t="s">
        <v>63</v>
      </c>
      <c r="D2" s="542" t="s">
        <v>18</v>
      </c>
      <c r="E2" s="545" t="s">
        <v>353</v>
      </c>
      <c r="F2" s="546" t="s">
        <v>305</v>
      </c>
      <c r="G2" s="547" t="s">
        <v>130</v>
      </c>
      <c r="H2" s="544" t="s">
        <v>186</v>
      </c>
      <c r="I2" s="542" t="s">
        <v>132</v>
      </c>
      <c r="J2" s="547" t="s">
        <v>253</v>
      </c>
      <c r="K2" s="435" t="s">
        <v>365</v>
      </c>
      <c r="L2" s="548" t="s">
        <v>366</v>
      </c>
    </row>
    <row r="3" spans="1:12">
      <c r="A3" s="483">
        <v>44317</v>
      </c>
      <c r="B3" s="466" t="s">
        <v>33</v>
      </c>
      <c r="C3" s="476">
        <v>0</v>
      </c>
      <c r="D3" s="441">
        <v>10800</v>
      </c>
      <c r="E3" s="441">
        <v>10000</v>
      </c>
      <c r="F3" s="585">
        <v>800</v>
      </c>
      <c r="G3" s="445"/>
      <c r="H3" s="445"/>
      <c r="I3" s="451" t="s">
        <v>404</v>
      </c>
      <c r="J3" s="476">
        <v>0</v>
      </c>
      <c r="K3" s="440">
        <v>2099959</v>
      </c>
      <c r="L3" s="476">
        <v>47</v>
      </c>
    </row>
    <row r="4" spans="1:12">
      <c r="A4" s="483">
        <v>44318</v>
      </c>
      <c r="B4" s="466" t="s">
        <v>37</v>
      </c>
      <c r="C4" s="476">
        <v>0</v>
      </c>
      <c r="D4" s="441">
        <v>11400</v>
      </c>
      <c r="E4" s="441">
        <v>10600</v>
      </c>
      <c r="F4" s="585">
        <v>800</v>
      </c>
      <c r="G4" s="445"/>
      <c r="H4" s="445"/>
      <c r="I4" s="466" t="s">
        <v>501</v>
      </c>
      <c r="J4" s="476">
        <v>0</v>
      </c>
      <c r="K4" s="440">
        <v>2062137</v>
      </c>
      <c r="L4" s="476">
        <v>45</v>
      </c>
    </row>
    <row r="5" spans="1:12">
      <c r="A5" s="483">
        <v>44319</v>
      </c>
      <c r="B5" s="466" t="s">
        <v>41</v>
      </c>
      <c r="C5" s="440">
        <v>86000</v>
      </c>
      <c r="D5" s="441">
        <v>16000</v>
      </c>
      <c r="E5" s="441">
        <v>14700</v>
      </c>
      <c r="F5" s="441">
        <v>1300</v>
      </c>
      <c r="G5" s="445"/>
      <c r="H5" s="466" t="s">
        <v>445</v>
      </c>
      <c r="I5" s="466" t="s">
        <v>416</v>
      </c>
      <c r="J5" s="440">
        <v>1000</v>
      </c>
      <c r="K5" s="440">
        <v>2087966</v>
      </c>
      <c r="L5" s="476">
        <v>45</v>
      </c>
    </row>
    <row r="6" spans="1:12">
      <c r="A6" s="483">
        <v>44320</v>
      </c>
      <c r="B6" s="466" t="s">
        <v>46</v>
      </c>
      <c r="C6" s="440">
        <v>86000</v>
      </c>
      <c r="D6" s="441">
        <v>14300</v>
      </c>
      <c r="E6" s="441">
        <v>13100</v>
      </c>
      <c r="F6" s="441">
        <v>1200</v>
      </c>
      <c r="G6" s="445"/>
      <c r="H6" s="466" t="s">
        <v>445</v>
      </c>
      <c r="I6" s="466" t="s">
        <v>502</v>
      </c>
      <c r="J6" s="440">
        <v>1000</v>
      </c>
      <c r="K6" s="440">
        <v>2119286</v>
      </c>
      <c r="L6" s="476">
        <v>50</v>
      </c>
    </row>
    <row r="7" spans="1:12">
      <c r="A7" s="483">
        <v>44321</v>
      </c>
      <c r="B7" s="466" t="s">
        <v>49</v>
      </c>
      <c r="C7" s="440">
        <v>34000</v>
      </c>
      <c r="D7" s="456">
        <v>86647</v>
      </c>
      <c r="E7" s="586">
        <v>83147</v>
      </c>
      <c r="F7" s="441">
        <v>3500</v>
      </c>
      <c r="G7" s="445"/>
      <c r="H7" s="466" t="s">
        <v>503</v>
      </c>
      <c r="I7" s="466" t="s">
        <v>504</v>
      </c>
      <c r="J7" s="440">
        <v>1000</v>
      </c>
      <c r="K7" s="440">
        <v>1975897</v>
      </c>
      <c r="L7" s="476">
        <v>42</v>
      </c>
    </row>
    <row r="8" spans="1:12">
      <c r="A8" s="483">
        <v>44322</v>
      </c>
      <c r="B8" s="466" t="s">
        <v>51</v>
      </c>
      <c r="C8" s="440">
        <v>69000</v>
      </c>
      <c r="D8" s="456">
        <v>8000</v>
      </c>
      <c r="E8" s="441">
        <v>9600</v>
      </c>
      <c r="F8" s="585">
        <v>800</v>
      </c>
      <c r="G8" s="445"/>
      <c r="H8" s="466" t="s">
        <v>503</v>
      </c>
      <c r="I8" s="552"/>
      <c r="J8" s="440">
        <v>1000</v>
      </c>
      <c r="K8" s="440">
        <v>2005721</v>
      </c>
      <c r="L8" s="476">
        <v>43</v>
      </c>
    </row>
    <row r="9" spans="1:12">
      <c r="A9" s="483">
        <v>44323</v>
      </c>
      <c r="B9" s="466" t="s">
        <v>29</v>
      </c>
      <c r="C9" s="440">
        <v>86000</v>
      </c>
      <c r="D9" s="456">
        <v>8000</v>
      </c>
      <c r="E9" s="441">
        <v>8500</v>
      </c>
      <c r="F9" s="585">
        <v>700</v>
      </c>
      <c r="G9" s="445"/>
      <c r="H9" s="466" t="s">
        <v>503</v>
      </c>
      <c r="I9" s="552"/>
      <c r="J9" s="440">
        <v>1000</v>
      </c>
      <c r="K9" s="440">
        <v>2056421</v>
      </c>
      <c r="L9" s="476">
        <v>45</v>
      </c>
    </row>
    <row r="10" spans="1:12">
      <c r="A10" s="483">
        <v>44324</v>
      </c>
      <c r="B10" s="466" t="s">
        <v>33</v>
      </c>
      <c r="C10" s="440">
        <v>73000</v>
      </c>
      <c r="D10" s="441">
        <v>11800</v>
      </c>
      <c r="E10" s="441">
        <v>10900</v>
      </c>
      <c r="F10" s="585">
        <v>900</v>
      </c>
      <c r="G10" s="445"/>
      <c r="H10" s="552"/>
      <c r="I10" s="552"/>
      <c r="J10" s="476">
        <v>0</v>
      </c>
      <c r="K10" s="440">
        <v>2085077</v>
      </c>
      <c r="L10" s="476">
        <v>45</v>
      </c>
    </row>
    <row r="11" spans="1:12">
      <c r="A11" s="483">
        <v>44325</v>
      </c>
      <c r="B11" s="466" t="s">
        <v>37</v>
      </c>
      <c r="C11" s="476">
        <v>0</v>
      </c>
      <c r="D11" s="441">
        <v>10000</v>
      </c>
      <c r="E11" s="441">
        <v>9200</v>
      </c>
      <c r="F11" s="585">
        <v>800</v>
      </c>
      <c r="G11" s="445"/>
      <c r="H11" s="445"/>
      <c r="I11" s="445"/>
      <c r="J11" s="476">
        <v>0</v>
      </c>
      <c r="K11" s="440">
        <v>2049193</v>
      </c>
      <c r="L11" s="476">
        <v>44</v>
      </c>
    </row>
    <row r="12" spans="1:12">
      <c r="A12" s="483">
        <v>44326</v>
      </c>
      <c r="B12" s="466" t="s">
        <v>41</v>
      </c>
      <c r="C12" s="440">
        <v>86000</v>
      </c>
      <c r="D12" s="441">
        <v>15300</v>
      </c>
      <c r="E12" s="441">
        <v>14100</v>
      </c>
      <c r="F12" s="441">
        <v>1200</v>
      </c>
      <c r="G12" s="445"/>
      <c r="H12" s="466" t="s">
        <v>454</v>
      </c>
      <c r="I12" s="552"/>
      <c r="J12" s="440">
        <v>1000</v>
      </c>
      <c r="K12" s="440">
        <v>2077283</v>
      </c>
      <c r="L12" s="476">
        <v>44</v>
      </c>
    </row>
    <row r="13" spans="1:12">
      <c r="A13" s="483">
        <v>44327</v>
      </c>
      <c r="B13" s="466" t="s">
        <v>46</v>
      </c>
      <c r="C13" s="440">
        <v>86000</v>
      </c>
      <c r="D13" s="441">
        <v>13700</v>
      </c>
      <c r="E13" s="441">
        <v>12600</v>
      </c>
      <c r="F13" s="441">
        <v>1100</v>
      </c>
      <c r="G13" s="445"/>
      <c r="H13" s="466" t="s">
        <v>454</v>
      </c>
      <c r="I13" s="552"/>
      <c r="J13" s="440">
        <v>1000</v>
      </c>
      <c r="K13" s="440">
        <v>2110864</v>
      </c>
      <c r="L13" s="476">
        <v>45</v>
      </c>
    </row>
    <row r="14" spans="1:12">
      <c r="A14" s="483">
        <v>44328</v>
      </c>
      <c r="B14" s="466" t="s">
        <v>49</v>
      </c>
      <c r="C14" s="440">
        <v>86000</v>
      </c>
      <c r="D14" s="441">
        <v>12600</v>
      </c>
      <c r="E14" s="441">
        <v>11600</v>
      </c>
      <c r="F14" s="441">
        <v>1000</v>
      </c>
      <c r="G14" s="445"/>
      <c r="H14" s="466" t="s">
        <v>505</v>
      </c>
      <c r="I14" s="552"/>
      <c r="J14" s="440">
        <v>1000</v>
      </c>
      <c r="K14" s="440">
        <v>2149290</v>
      </c>
      <c r="L14" s="476">
        <v>46</v>
      </c>
    </row>
    <row r="15" spans="1:12">
      <c r="A15" s="556">
        <v>44329</v>
      </c>
      <c r="B15" s="466" t="s">
        <v>51</v>
      </c>
      <c r="C15" s="440">
        <v>86000</v>
      </c>
      <c r="D15" s="456">
        <v>11100</v>
      </c>
      <c r="E15" s="441">
        <v>9600</v>
      </c>
      <c r="F15" s="585">
        <v>800</v>
      </c>
      <c r="G15" s="445"/>
      <c r="H15" s="466" t="s">
        <v>505</v>
      </c>
      <c r="I15" s="552"/>
      <c r="J15" s="440">
        <v>1000</v>
      </c>
      <c r="K15" s="440">
        <v>2196114</v>
      </c>
      <c r="L15" s="476">
        <v>47</v>
      </c>
    </row>
    <row r="16" spans="1:12">
      <c r="A16" s="556">
        <v>44330</v>
      </c>
      <c r="B16" s="466" t="s">
        <v>29</v>
      </c>
      <c r="C16" s="440">
        <v>86000</v>
      </c>
      <c r="D16" s="456">
        <v>9900</v>
      </c>
      <c r="E16" s="441">
        <v>8500</v>
      </c>
      <c r="F16" s="585">
        <v>700</v>
      </c>
      <c r="G16" s="445"/>
      <c r="H16" s="466" t="s">
        <v>506</v>
      </c>
      <c r="I16" s="552"/>
      <c r="J16" s="440">
        <v>1000</v>
      </c>
      <c r="K16" s="440">
        <v>2246814</v>
      </c>
      <c r="L16" s="476">
        <v>48</v>
      </c>
    </row>
    <row r="17" spans="1:12">
      <c r="A17" s="556">
        <v>44331</v>
      </c>
      <c r="B17" s="466" t="s">
        <v>33</v>
      </c>
      <c r="C17" s="440">
        <v>73000</v>
      </c>
      <c r="D17" s="456">
        <v>12500</v>
      </c>
      <c r="E17" s="441">
        <v>11100</v>
      </c>
      <c r="F17" s="441">
        <v>1000</v>
      </c>
      <c r="G17" s="445"/>
      <c r="H17" s="466" t="s">
        <v>506</v>
      </c>
      <c r="I17" s="552"/>
      <c r="J17" s="476">
        <v>0</v>
      </c>
      <c r="K17" s="440">
        <v>2274501</v>
      </c>
      <c r="L17" s="476">
        <v>48</v>
      </c>
    </row>
    <row r="18" spans="1:12">
      <c r="A18" s="556">
        <v>44332</v>
      </c>
      <c r="B18" s="466" t="s">
        <v>37</v>
      </c>
      <c r="C18" s="476">
        <v>0</v>
      </c>
      <c r="D18" s="456">
        <v>10400</v>
      </c>
      <c r="E18" s="441">
        <v>9200</v>
      </c>
      <c r="F18" s="585">
        <v>800</v>
      </c>
      <c r="G18" s="445"/>
      <c r="H18" s="451" t="s">
        <v>506</v>
      </c>
      <c r="I18" s="445"/>
      <c r="J18" s="476">
        <v>0</v>
      </c>
      <c r="K18" s="440">
        <v>2238617</v>
      </c>
      <c r="L18" s="476">
        <v>48</v>
      </c>
    </row>
    <row r="19" spans="1:12">
      <c r="A19" s="483">
        <v>44333</v>
      </c>
      <c r="B19" s="466" t="s">
        <v>41</v>
      </c>
      <c r="C19" s="440">
        <v>86000</v>
      </c>
      <c r="D19" s="441">
        <v>15700</v>
      </c>
      <c r="E19" s="441">
        <v>14400</v>
      </c>
      <c r="F19" s="441">
        <v>1300</v>
      </c>
      <c r="G19" s="445"/>
      <c r="H19" s="552"/>
      <c r="I19" s="552"/>
      <c r="J19" s="440">
        <v>1000</v>
      </c>
      <c r="K19" s="440">
        <v>2265415</v>
      </c>
      <c r="L19" s="476">
        <v>48</v>
      </c>
    </row>
    <row r="20" spans="1:12">
      <c r="A20" s="483">
        <v>44334</v>
      </c>
      <c r="B20" s="466" t="s">
        <v>46</v>
      </c>
      <c r="C20" s="440">
        <v>52000</v>
      </c>
      <c r="D20" s="456">
        <v>60853</v>
      </c>
      <c r="E20" s="586">
        <v>57653</v>
      </c>
      <c r="F20" s="441">
        <v>3200</v>
      </c>
      <c r="G20" s="445"/>
      <c r="H20" s="466" t="s">
        <v>474</v>
      </c>
      <c r="I20" s="466" t="s">
        <v>507</v>
      </c>
      <c r="J20" s="440">
        <v>1000</v>
      </c>
      <c r="K20" s="440">
        <v>2157760</v>
      </c>
      <c r="L20" s="476">
        <v>43</v>
      </c>
    </row>
    <row r="21" spans="1:12">
      <c r="A21" s="483">
        <v>44335</v>
      </c>
      <c r="B21" s="466" t="s">
        <v>49</v>
      </c>
      <c r="C21" s="440">
        <v>69000</v>
      </c>
      <c r="D21" s="441">
        <v>12600</v>
      </c>
      <c r="E21" s="441">
        <v>11600</v>
      </c>
      <c r="F21" s="441">
        <v>1000</v>
      </c>
      <c r="G21" s="445"/>
      <c r="H21" s="466" t="s">
        <v>474</v>
      </c>
      <c r="I21" s="552"/>
      <c r="J21" s="440">
        <v>1000</v>
      </c>
      <c r="K21" s="440">
        <v>2179186</v>
      </c>
      <c r="L21" s="476">
        <v>43</v>
      </c>
    </row>
    <row r="22" spans="1:12">
      <c r="A22" s="483">
        <v>44336</v>
      </c>
      <c r="B22" s="466" t="s">
        <v>51</v>
      </c>
      <c r="C22" s="440">
        <v>86000</v>
      </c>
      <c r="D22" s="441">
        <v>10400</v>
      </c>
      <c r="E22" s="441">
        <v>9600</v>
      </c>
      <c r="F22" s="585">
        <v>800</v>
      </c>
      <c r="G22" s="445"/>
      <c r="H22" s="466" t="s">
        <v>508</v>
      </c>
      <c r="I22" s="552"/>
      <c r="J22" s="440">
        <v>1000</v>
      </c>
      <c r="K22" s="440">
        <v>2226010</v>
      </c>
      <c r="L22" s="476">
        <v>44</v>
      </c>
    </row>
    <row r="23" spans="1:12">
      <c r="A23" s="483">
        <v>44337</v>
      </c>
      <c r="B23" s="466" t="s">
        <v>29</v>
      </c>
      <c r="C23" s="440">
        <v>86000</v>
      </c>
      <c r="D23" s="441">
        <v>9400</v>
      </c>
      <c r="E23" s="441">
        <v>8500</v>
      </c>
      <c r="F23" s="585">
        <v>900</v>
      </c>
      <c r="G23" s="587" t="s">
        <v>509</v>
      </c>
      <c r="H23" s="466" t="s">
        <v>508</v>
      </c>
      <c r="I23" s="552"/>
      <c r="J23" s="440">
        <v>1000</v>
      </c>
      <c r="K23" s="440">
        <v>2276064</v>
      </c>
      <c r="L23" s="476">
        <v>46</v>
      </c>
    </row>
    <row r="24" spans="1:12">
      <c r="A24" s="556">
        <v>44338</v>
      </c>
      <c r="B24" s="466" t="s">
        <v>33</v>
      </c>
      <c r="C24" s="440">
        <v>73000</v>
      </c>
      <c r="D24" s="456">
        <v>12400</v>
      </c>
      <c r="E24" s="441">
        <v>10900</v>
      </c>
      <c r="F24" s="441">
        <v>1100</v>
      </c>
      <c r="G24" s="587" t="s">
        <v>509</v>
      </c>
      <c r="H24" s="466" t="s">
        <v>510</v>
      </c>
      <c r="I24" s="552"/>
      <c r="J24" s="476">
        <v>0</v>
      </c>
      <c r="K24" s="440">
        <v>2304074</v>
      </c>
      <c r="L24" s="476">
        <v>46</v>
      </c>
    </row>
    <row r="25" spans="1:12">
      <c r="A25" s="556">
        <v>44339</v>
      </c>
      <c r="B25" s="466" t="s">
        <v>37</v>
      </c>
      <c r="C25" s="476">
        <v>0</v>
      </c>
      <c r="D25" s="456">
        <v>10700</v>
      </c>
      <c r="E25" s="441">
        <v>9400</v>
      </c>
      <c r="F25" s="585">
        <v>900</v>
      </c>
      <c r="G25" s="587" t="s">
        <v>509</v>
      </c>
      <c r="H25" s="451" t="s">
        <v>510</v>
      </c>
      <c r="I25" s="445"/>
      <c r="J25" s="476">
        <v>0</v>
      </c>
      <c r="K25" s="440">
        <v>2267221</v>
      </c>
      <c r="L25" s="476">
        <v>46</v>
      </c>
    </row>
    <row r="26" spans="1:12">
      <c r="A26" s="483">
        <v>44340</v>
      </c>
      <c r="B26" s="466" t="s">
        <v>41</v>
      </c>
      <c r="C26" s="440">
        <v>86000</v>
      </c>
      <c r="D26" s="456">
        <v>20500</v>
      </c>
      <c r="E26" s="441">
        <v>18900</v>
      </c>
      <c r="F26" s="441">
        <v>1600</v>
      </c>
      <c r="G26" s="587" t="s">
        <v>509</v>
      </c>
      <c r="H26" s="466" t="s">
        <v>475</v>
      </c>
      <c r="I26" s="552"/>
      <c r="J26" s="440">
        <v>1000</v>
      </c>
      <c r="K26" s="440">
        <v>2275931</v>
      </c>
      <c r="L26" s="476">
        <v>45</v>
      </c>
    </row>
    <row r="27" spans="1:12">
      <c r="A27" s="483">
        <v>44341</v>
      </c>
      <c r="B27" s="466" t="s">
        <v>46</v>
      </c>
      <c r="C27" s="440">
        <v>86000</v>
      </c>
      <c r="D27" s="441">
        <v>13700</v>
      </c>
      <c r="E27" s="441">
        <v>12600</v>
      </c>
      <c r="F27" s="441">
        <v>1100</v>
      </c>
      <c r="G27" s="445"/>
      <c r="H27" s="466" t="s">
        <v>475</v>
      </c>
      <c r="I27" s="552"/>
      <c r="J27" s="440">
        <v>1000</v>
      </c>
      <c r="K27" s="440">
        <v>2309512</v>
      </c>
      <c r="L27" s="476">
        <v>45</v>
      </c>
    </row>
    <row r="28" spans="1:12">
      <c r="A28" s="483">
        <v>44342</v>
      </c>
      <c r="B28" s="466" t="s">
        <v>49</v>
      </c>
      <c r="C28" s="440">
        <v>86000</v>
      </c>
      <c r="D28" s="441">
        <v>12600</v>
      </c>
      <c r="E28" s="441">
        <v>11600</v>
      </c>
      <c r="F28" s="441">
        <v>1000</v>
      </c>
      <c r="G28" s="445"/>
      <c r="H28" s="466" t="s">
        <v>494</v>
      </c>
      <c r="I28" s="552"/>
      <c r="J28" s="440">
        <v>1000</v>
      </c>
      <c r="K28" s="440">
        <v>2347938</v>
      </c>
      <c r="L28" s="476">
        <v>46</v>
      </c>
    </row>
    <row r="29" spans="1:12">
      <c r="A29" s="483">
        <v>44343</v>
      </c>
      <c r="B29" s="466" t="s">
        <v>51</v>
      </c>
      <c r="C29" s="440">
        <v>86000</v>
      </c>
      <c r="D29" s="441">
        <v>10400</v>
      </c>
      <c r="E29" s="441">
        <v>9600</v>
      </c>
      <c r="F29" s="585">
        <v>800</v>
      </c>
      <c r="G29" s="445"/>
      <c r="H29" s="466" t="s">
        <v>494</v>
      </c>
      <c r="I29" s="552"/>
      <c r="J29" s="440">
        <v>1000</v>
      </c>
      <c r="K29" s="440">
        <v>2394762</v>
      </c>
      <c r="L29" s="476">
        <v>47</v>
      </c>
    </row>
    <row r="30" spans="1:12">
      <c r="A30" s="483">
        <v>44344</v>
      </c>
      <c r="B30" s="466" t="s">
        <v>29</v>
      </c>
      <c r="C30" s="440">
        <v>86000</v>
      </c>
      <c r="D30" s="441">
        <v>9200</v>
      </c>
      <c r="E30" s="441">
        <v>8500</v>
      </c>
      <c r="F30" s="585">
        <v>700</v>
      </c>
      <c r="G30" s="445"/>
      <c r="H30" s="466" t="s">
        <v>511</v>
      </c>
      <c r="I30" s="552"/>
      <c r="J30" s="440">
        <v>1000</v>
      </c>
      <c r="K30" s="440">
        <v>2445462</v>
      </c>
      <c r="L30" s="476">
        <v>49</v>
      </c>
    </row>
    <row r="31" spans="1:12">
      <c r="A31" s="483">
        <v>44345</v>
      </c>
      <c r="B31" s="466" t="s">
        <v>33</v>
      </c>
      <c r="C31" s="440">
        <v>73000</v>
      </c>
      <c r="D31" s="441">
        <v>12100</v>
      </c>
      <c r="E31" s="441">
        <v>11100</v>
      </c>
      <c r="F31" s="441">
        <v>1000</v>
      </c>
      <c r="G31" s="445"/>
      <c r="H31" s="466" t="s">
        <v>511</v>
      </c>
      <c r="I31" s="552"/>
      <c r="J31" s="476">
        <v>0</v>
      </c>
      <c r="K31" s="440">
        <v>2473149</v>
      </c>
      <c r="L31" s="476">
        <v>49</v>
      </c>
    </row>
    <row r="32" spans="1:12">
      <c r="A32" s="483">
        <v>44346</v>
      </c>
      <c r="B32" s="466" t="s">
        <v>37</v>
      </c>
      <c r="C32" s="476">
        <v>0</v>
      </c>
      <c r="D32" s="441">
        <v>11400</v>
      </c>
      <c r="E32" s="441">
        <v>10500</v>
      </c>
      <c r="F32" s="585">
        <v>900</v>
      </c>
      <c r="G32" s="466" t="s">
        <v>512</v>
      </c>
      <c r="H32" s="451" t="s">
        <v>511</v>
      </c>
      <c r="I32" s="445"/>
      <c r="J32" s="476">
        <v>0</v>
      </c>
      <c r="K32" s="440">
        <v>2432420</v>
      </c>
      <c r="L32" s="476">
        <v>48</v>
      </c>
    </row>
    <row r="33" spans="1:12">
      <c r="A33" s="483">
        <v>44347</v>
      </c>
      <c r="B33" s="466" t="s">
        <v>41</v>
      </c>
      <c r="C33" s="440">
        <v>86000</v>
      </c>
      <c r="D33" s="441">
        <v>15200</v>
      </c>
      <c r="E33" s="441">
        <v>14000</v>
      </c>
      <c r="F33" s="441">
        <v>1200</v>
      </c>
      <c r="G33" s="552"/>
      <c r="H33" s="445"/>
      <c r="I33" s="445"/>
      <c r="J33" s="440">
        <v>1000</v>
      </c>
      <c r="K33" s="440">
        <v>2461156</v>
      </c>
      <c r="L33" s="476">
        <v>48</v>
      </c>
    </row>
  </sheetData>
  <phoneticPr fontId="6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L32"/>
  <sheetViews>
    <sheetView workbookViewId="0"/>
  </sheetViews>
  <sheetFormatPr baseColWidth="10" defaultColWidth="12.6640625" defaultRowHeight="15.75" customHeight="1"/>
  <sheetData>
    <row r="1" spans="1:12">
      <c r="A1" s="34"/>
      <c r="B1" s="87"/>
      <c r="C1" s="427" t="s">
        <v>220</v>
      </c>
      <c r="D1" s="428"/>
      <c r="E1" s="428"/>
      <c r="F1" s="428"/>
      <c r="G1" s="588" t="s">
        <v>129</v>
      </c>
      <c r="H1" s="589"/>
      <c r="I1" s="589"/>
      <c r="J1" s="590" t="s">
        <v>303</v>
      </c>
      <c r="K1" s="591"/>
      <c r="L1" s="591"/>
    </row>
    <row r="2" spans="1:12">
      <c r="A2" s="542" t="s">
        <v>10</v>
      </c>
      <c r="B2" s="543"/>
      <c r="C2" s="544" t="s">
        <v>63</v>
      </c>
      <c r="D2" s="592" t="s">
        <v>18</v>
      </c>
      <c r="E2" s="545" t="s">
        <v>353</v>
      </c>
      <c r="F2" s="593" t="s">
        <v>305</v>
      </c>
      <c r="G2" s="547" t="s">
        <v>130</v>
      </c>
      <c r="H2" s="544" t="s">
        <v>186</v>
      </c>
      <c r="I2" s="592" t="s">
        <v>132</v>
      </c>
      <c r="J2" s="547" t="s">
        <v>253</v>
      </c>
      <c r="K2" s="435" t="s">
        <v>365</v>
      </c>
      <c r="L2" s="594" t="s">
        <v>366</v>
      </c>
    </row>
    <row r="3" spans="1:12">
      <c r="A3" s="483">
        <v>44348</v>
      </c>
      <c r="B3" s="466" t="s">
        <v>46</v>
      </c>
      <c r="C3" s="440">
        <v>34000</v>
      </c>
      <c r="D3" s="456">
        <v>7769</v>
      </c>
      <c r="E3" s="586">
        <v>38800</v>
      </c>
      <c r="F3" s="441">
        <v>3400</v>
      </c>
      <c r="G3" s="552"/>
      <c r="H3" s="552"/>
      <c r="I3" s="595" t="s">
        <v>513</v>
      </c>
      <c r="J3" s="440">
        <v>1000</v>
      </c>
      <c r="K3" s="440">
        <v>2387850</v>
      </c>
      <c r="L3" s="476">
        <v>44</v>
      </c>
    </row>
    <row r="4" spans="1:12">
      <c r="A4" s="483">
        <v>44349</v>
      </c>
      <c r="B4" s="466" t="s">
        <v>49</v>
      </c>
      <c r="C4" s="440">
        <v>49000</v>
      </c>
      <c r="D4" s="441">
        <v>5719</v>
      </c>
      <c r="E4" s="441">
        <v>13200</v>
      </c>
      <c r="F4" s="441">
        <v>1100</v>
      </c>
      <c r="G4" s="552"/>
      <c r="H4" s="552"/>
      <c r="I4" s="466" t="s">
        <v>401</v>
      </c>
      <c r="J4" s="440">
        <v>1000</v>
      </c>
      <c r="K4" s="440">
        <v>2432661</v>
      </c>
      <c r="L4" s="476">
        <v>45</v>
      </c>
    </row>
    <row r="5" spans="1:12">
      <c r="A5" s="483">
        <v>44350</v>
      </c>
      <c r="B5" s="466" t="s">
        <v>51</v>
      </c>
      <c r="C5" s="440">
        <v>49000</v>
      </c>
      <c r="D5" s="441">
        <v>5348</v>
      </c>
      <c r="E5" s="441">
        <v>10100</v>
      </c>
      <c r="F5" s="441">
        <v>900</v>
      </c>
      <c r="G5" s="552"/>
      <c r="H5" s="552"/>
      <c r="I5" s="466" t="s">
        <v>434</v>
      </c>
      <c r="J5" s="440">
        <v>1000</v>
      </c>
      <c r="K5" s="440">
        <v>2488131</v>
      </c>
      <c r="L5" s="476">
        <v>46</v>
      </c>
    </row>
    <row r="6" spans="1:12">
      <c r="A6" s="454">
        <v>44351</v>
      </c>
      <c r="B6" s="455" t="s">
        <v>29</v>
      </c>
      <c r="C6" s="456">
        <v>49000</v>
      </c>
      <c r="D6" s="456">
        <v>7866</v>
      </c>
      <c r="E6" s="441">
        <v>9800</v>
      </c>
      <c r="F6" s="441">
        <v>700</v>
      </c>
      <c r="G6" s="552"/>
      <c r="H6" s="552"/>
      <c r="I6" s="466" t="s">
        <v>514</v>
      </c>
      <c r="J6" s="440">
        <v>1000</v>
      </c>
      <c r="K6" s="440">
        <v>2545216</v>
      </c>
      <c r="L6" s="476">
        <v>52</v>
      </c>
    </row>
    <row r="7" spans="1:12">
      <c r="A7" s="483">
        <v>44352</v>
      </c>
      <c r="B7" s="466" t="s">
        <v>33</v>
      </c>
      <c r="C7" s="440">
        <v>41000</v>
      </c>
      <c r="D7" s="441">
        <v>7863</v>
      </c>
      <c r="E7" s="441">
        <v>9500</v>
      </c>
      <c r="F7" s="441">
        <v>700</v>
      </c>
      <c r="G7" s="552"/>
      <c r="H7" s="552"/>
      <c r="I7" s="466" t="s">
        <v>515</v>
      </c>
      <c r="J7" s="440">
        <v>0</v>
      </c>
      <c r="K7" s="440">
        <v>2589270</v>
      </c>
      <c r="L7" s="476">
        <v>53</v>
      </c>
    </row>
    <row r="8" spans="1:12">
      <c r="A8" s="483">
        <v>44353</v>
      </c>
      <c r="B8" s="466" t="s">
        <v>37</v>
      </c>
      <c r="C8" s="440">
        <v>0</v>
      </c>
      <c r="D8" s="456">
        <v>14023</v>
      </c>
      <c r="E8" s="586">
        <v>62800</v>
      </c>
      <c r="F8" s="441">
        <v>5500</v>
      </c>
      <c r="G8" s="552"/>
      <c r="H8" s="552"/>
      <c r="I8" s="595" t="s">
        <v>516</v>
      </c>
      <c r="J8" s="440">
        <v>0</v>
      </c>
      <c r="K8" s="440">
        <v>2367661</v>
      </c>
      <c r="L8" s="476">
        <v>43</v>
      </c>
    </row>
    <row r="9" spans="1:12">
      <c r="A9" s="483">
        <v>44354</v>
      </c>
      <c r="B9" s="466" t="s">
        <v>41</v>
      </c>
      <c r="C9" s="440">
        <v>34000</v>
      </c>
      <c r="D9" s="441">
        <v>7572</v>
      </c>
      <c r="E9" s="441">
        <v>15200</v>
      </c>
      <c r="F9" s="441">
        <v>1400</v>
      </c>
      <c r="G9" s="552"/>
      <c r="H9" s="552"/>
      <c r="I9" s="466" t="s">
        <v>517</v>
      </c>
      <c r="J9" s="440">
        <v>1000</v>
      </c>
      <c r="K9" s="440">
        <v>2391043</v>
      </c>
      <c r="L9" s="476">
        <v>43</v>
      </c>
    </row>
    <row r="10" spans="1:12">
      <c r="A10" s="483">
        <v>44355</v>
      </c>
      <c r="B10" s="466" t="s">
        <v>46</v>
      </c>
      <c r="C10" s="440">
        <v>49000</v>
      </c>
      <c r="D10" s="441">
        <v>8029</v>
      </c>
      <c r="E10" s="441">
        <v>14600</v>
      </c>
      <c r="F10" s="441">
        <v>1200</v>
      </c>
      <c r="G10" s="552"/>
      <c r="H10" s="552"/>
      <c r="I10" s="466" t="s">
        <v>452</v>
      </c>
      <c r="J10" s="440">
        <v>1000</v>
      </c>
      <c r="K10" s="440">
        <v>2431009</v>
      </c>
      <c r="L10" s="476">
        <v>43</v>
      </c>
    </row>
    <row r="11" spans="1:12">
      <c r="A11" s="483">
        <v>44356</v>
      </c>
      <c r="B11" s="466" t="s">
        <v>49</v>
      </c>
      <c r="C11" s="440">
        <v>49000</v>
      </c>
      <c r="D11" s="441">
        <v>8005</v>
      </c>
      <c r="E11" s="441">
        <v>13200</v>
      </c>
      <c r="F11" s="441">
        <v>1100</v>
      </c>
      <c r="G11" s="552"/>
      <c r="H11" s="552"/>
      <c r="I11" s="466" t="s">
        <v>401</v>
      </c>
      <c r="J11" s="440">
        <v>1000</v>
      </c>
      <c r="K11" s="440">
        <v>2475820</v>
      </c>
      <c r="L11" s="476">
        <v>44</v>
      </c>
    </row>
    <row r="12" spans="1:12">
      <c r="A12" s="483">
        <v>44357</v>
      </c>
      <c r="B12" s="466" t="s">
        <v>51</v>
      </c>
      <c r="C12" s="440">
        <v>49000</v>
      </c>
      <c r="D12" s="441">
        <v>7545</v>
      </c>
      <c r="E12" s="441">
        <v>10100</v>
      </c>
      <c r="F12" s="441">
        <v>900</v>
      </c>
      <c r="G12" s="552"/>
      <c r="H12" s="552"/>
      <c r="I12" s="466" t="s">
        <v>458</v>
      </c>
      <c r="J12" s="440">
        <v>1000</v>
      </c>
      <c r="K12" s="440">
        <v>2531290</v>
      </c>
      <c r="L12" s="476">
        <v>46</v>
      </c>
    </row>
    <row r="13" spans="1:12">
      <c r="A13" s="483">
        <v>44358</v>
      </c>
      <c r="B13" s="466" t="s">
        <v>29</v>
      </c>
      <c r="C13" s="440">
        <v>49000</v>
      </c>
      <c r="D13" s="441">
        <v>8073</v>
      </c>
      <c r="E13" s="441">
        <v>9800</v>
      </c>
      <c r="F13" s="441">
        <v>700</v>
      </c>
      <c r="G13" s="552"/>
      <c r="H13" s="552"/>
      <c r="I13" s="466" t="s">
        <v>459</v>
      </c>
      <c r="J13" s="440">
        <v>1000</v>
      </c>
      <c r="K13" s="440">
        <v>2588375</v>
      </c>
      <c r="L13" s="476">
        <v>47</v>
      </c>
    </row>
    <row r="14" spans="1:12">
      <c r="A14" s="483">
        <v>44359</v>
      </c>
      <c r="B14" s="466" t="s">
        <v>33</v>
      </c>
      <c r="C14" s="440">
        <v>41000</v>
      </c>
      <c r="D14" s="441">
        <v>8540</v>
      </c>
      <c r="E14" s="441">
        <v>11800</v>
      </c>
      <c r="F14" s="441">
        <v>900</v>
      </c>
      <c r="G14" s="552"/>
      <c r="H14" s="552"/>
      <c r="I14" s="466" t="s">
        <v>515</v>
      </c>
      <c r="J14" s="440">
        <v>0</v>
      </c>
      <c r="K14" s="440">
        <v>2624354</v>
      </c>
      <c r="L14" s="476">
        <v>48</v>
      </c>
    </row>
    <row r="15" spans="1:12">
      <c r="A15" s="483">
        <v>44360</v>
      </c>
      <c r="B15" s="466" t="s">
        <v>37</v>
      </c>
      <c r="C15" s="440">
        <v>0</v>
      </c>
      <c r="D15" s="441">
        <v>8069</v>
      </c>
      <c r="E15" s="441">
        <v>9400</v>
      </c>
      <c r="F15" s="441">
        <v>800</v>
      </c>
      <c r="G15" s="552"/>
      <c r="H15" s="552"/>
      <c r="I15" s="466" t="s">
        <v>518</v>
      </c>
      <c r="J15" s="440">
        <v>0</v>
      </c>
      <c r="K15" s="440">
        <v>2590408</v>
      </c>
      <c r="L15" s="476">
        <v>47</v>
      </c>
    </row>
    <row r="16" spans="1:12">
      <c r="A16" s="483">
        <v>44361</v>
      </c>
      <c r="B16" s="466" t="s">
        <v>41</v>
      </c>
      <c r="C16" s="440">
        <v>0</v>
      </c>
      <c r="D16" s="441">
        <v>9500</v>
      </c>
      <c r="E16" s="441">
        <v>15800</v>
      </c>
      <c r="F16" s="441">
        <v>1400</v>
      </c>
      <c r="G16" s="552"/>
      <c r="H16" s="552"/>
      <c r="I16" s="466" t="s">
        <v>429</v>
      </c>
      <c r="J16" s="440">
        <v>1000</v>
      </c>
      <c r="K16" s="440">
        <v>2533852</v>
      </c>
      <c r="L16" s="476">
        <v>46</v>
      </c>
    </row>
    <row r="17" spans="1:12">
      <c r="A17" s="483">
        <v>44362</v>
      </c>
      <c r="B17" s="466" t="s">
        <v>46</v>
      </c>
      <c r="C17" s="440">
        <v>49000</v>
      </c>
      <c r="D17" s="441">
        <v>9500</v>
      </c>
      <c r="E17" s="441">
        <v>14600</v>
      </c>
      <c r="F17" s="441">
        <v>1200</v>
      </c>
      <c r="G17" s="552"/>
      <c r="H17" s="552"/>
      <c r="I17" s="466" t="s">
        <v>519</v>
      </c>
      <c r="J17" s="440">
        <v>1000</v>
      </c>
      <c r="K17" s="440">
        <v>2573818</v>
      </c>
      <c r="L17" s="476">
        <v>46</v>
      </c>
    </row>
    <row r="18" spans="1:12">
      <c r="A18" s="483">
        <v>44363</v>
      </c>
      <c r="B18" s="466" t="s">
        <v>49</v>
      </c>
      <c r="C18" s="440">
        <v>49000</v>
      </c>
      <c r="D18" s="441">
        <v>9500</v>
      </c>
      <c r="E18" s="441">
        <v>13900</v>
      </c>
      <c r="F18" s="441">
        <v>1200</v>
      </c>
      <c r="G18" s="552"/>
      <c r="H18" s="552"/>
      <c r="I18" s="466" t="s">
        <v>401</v>
      </c>
      <c r="J18" s="440">
        <v>1000</v>
      </c>
      <c r="K18" s="440">
        <v>2616045</v>
      </c>
      <c r="L18" s="476">
        <v>47</v>
      </c>
    </row>
    <row r="19" spans="1:12">
      <c r="A19" s="483">
        <v>44364</v>
      </c>
      <c r="B19" s="466" t="s">
        <v>51</v>
      </c>
      <c r="C19" s="440">
        <v>49000</v>
      </c>
      <c r="D19" s="441">
        <v>9500</v>
      </c>
      <c r="E19" s="441">
        <v>10600</v>
      </c>
      <c r="F19" s="441">
        <v>900</v>
      </c>
      <c r="G19" s="552"/>
      <c r="H19" s="552"/>
      <c r="I19" s="466" t="s">
        <v>399</v>
      </c>
      <c r="J19" s="440">
        <v>1000</v>
      </c>
      <c r="K19" s="440">
        <v>2669900</v>
      </c>
      <c r="L19" s="476">
        <v>51</v>
      </c>
    </row>
    <row r="20" spans="1:12">
      <c r="A20" s="483">
        <v>44365</v>
      </c>
      <c r="B20" s="466" t="s">
        <v>29</v>
      </c>
      <c r="C20" s="440">
        <v>0</v>
      </c>
      <c r="D20" s="441">
        <v>43500</v>
      </c>
      <c r="E20" s="586">
        <v>73000</v>
      </c>
      <c r="F20" s="441">
        <v>6400</v>
      </c>
      <c r="G20" s="552"/>
      <c r="H20" s="552"/>
      <c r="I20" s="595" t="s">
        <v>520</v>
      </c>
      <c r="J20" s="440">
        <v>1000</v>
      </c>
      <c r="K20" s="440">
        <v>2458438</v>
      </c>
      <c r="L20" s="476">
        <v>42</v>
      </c>
    </row>
    <row r="21" spans="1:12">
      <c r="A21" s="483">
        <v>44366</v>
      </c>
      <c r="B21" s="466" t="s">
        <v>33</v>
      </c>
      <c r="C21" s="440">
        <v>24000</v>
      </c>
      <c r="D21" s="441">
        <v>7500</v>
      </c>
      <c r="E21" s="441">
        <v>12200</v>
      </c>
      <c r="F21" s="441">
        <v>1000</v>
      </c>
      <c r="G21" s="552"/>
      <c r="H21" s="552"/>
      <c r="I21" s="466" t="s">
        <v>420</v>
      </c>
      <c r="J21" s="440">
        <v>0</v>
      </c>
      <c r="K21" s="440">
        <v>2478802</v>
      </c>
      <c r="L21" s="476">
        <v>42</v>
      </c>
    </row>
    <row r="22" spans="1:12">
      <c r="A22" s="483">
        <v>44367</v>
      </c>
      <c r="B22" s="466" t="s">
        <v>37</v>
      </c>
      <c r="C22" s="440">
        <v>0</v>
      </c>
      <c r="D22" s="441">
        <v>7500</v>
      </c>
      <c r="E22" s="441">
        <v>9400</v>
      </c>
      <c r="F22" s="441">
        <v>800</v>
      </c>
      <c r="G22" s="552"/>
      <c r="H22" s="552"/>
      <c r="I22" s="466" t="s">
        <v>420</v>
      </c>
      <c r="J22" s="440">
        <v>0</v>
      </c>
      <c r="K22" s="440">
        <v>2444856</v>
      </c>
      <c r="L22" s="476">
        <v>41</v>
      </c>
    </row>
    <row r="23" spans="1:12">
      <c r="A23" s="483">
        <v>44368</v>
      </c>
      <c r="B23" s="466" t="s">
        <v>41</v>
      </c>
      <c r="C23" s="440">
        <v>49000</v>
      </c>
      <c r="D23" s="441">
        <v>7500</v>
      </c>
      <c r="E23" s="441">
        <v>15200</v>
      </c>
      <c r="F23" s="441">
        <v>1400</v>
      </c>
      <c r="G23" s="471"/>
      <c r="H23" s="466" t="s">
        <v>470</v>
      </c>
      <c r="I23" s="552"/>
      <c r="J23" s="440">
        <v>1000</v>
      </c>
      <c r="K23" s="440">
        <v>2482238</v>
      </c>
      <c r="L23" s="476">
        <v>42</v>
      </c>
    </row>
    <row r="24" spans="1:12">
      <c r="A24" s="483">
        <v>44369</v>
      </c>
      <c r="B24" s="466" t="s">
        <v>46</v>
      </c>
      <c r="C24" s="440">
        <v>49000</v>
      </c>
      <c r="D24" s="441">
        <v>7500</v>
      </c>
      <c r="E24" s="441">
        <v>14600</v>
      </c>
      <c r="F24" s="441">
        <v>1200</v>
      </c>
      <c r="G24" s="471"/>
      <c r="H24" s="466" t="s">
        <v>470</v>
      </c>
      <c r="I24" s="552"/>
      <c r="J24" s="440">
        <v>1000</v>
      </c>
      <c r="K24" s="440">
        <v>2522204</v>
      </c>
      <c r="L24" s="476">
        <v>42</v>
      </c>
    </row>
    <row r="25" spans="1:12">
      <c r="A25" s="483">
        <v>44370</v>
      </c>
      <c r="B25" s="466" t="s">
        <v>49</v>
      </c>
      <c r="C25" s="440">
        <v>49000</v>
      </c>
      <c r="D25" s="441">
        <v>7500</v>
      </c>
      <c r="E25" s="441">
        <v>13200</v>
      </c>
      <c r="F25" s="441">
        <v>1100</v>
      </c>
      <c r="G25" s="471"/>
      <c r="H25" s="552"/>
      <c r="I25" s="552"/>
      <c r="J25" s="440">
        <v>1000</v>
      </c>
      <c r="K25" s="440">
        <v>2567015</v>
      </c>
      <c r="L25" s="476">
        <v>43</v>
      </c>
    </row>
    <row r="26" spans="1:12">
      <c r="A26" s="483">
        <v>44371</v>
      </c>
      <c r="B26" s="466" t="s">
        <v>51</v>
      </c>
      <c r="C26" s="440">
        <v>49000</v>
      </c>
      <c r="D26" s="441">
        <v>7500</v>
      </c>
      <c r="E26" s="441">
        <v>14300</v>
      </c>
      <c r="F26" s="441">
        <v>1200</v>
      </c>
      <c r="G26" s="471"/>
      <c r="H26" s="552"/>
      <c r="I26" s="552"/>
      <c r="J26" s="440">
        <v>1000</v>
      </c>
      <c r="K26" s="440">
        <v>2607950</v>
      </c>
      <c r="L26" s="476">
        <v>44</v>
      </c>
    </row>
    <row r="27" spans="1:12">
      <c r="A27" s="483">
        <v>44372</v>
      </c>
      <c r="B27" s="466" t="s">
        <v>29</v>
      </c>
      <c r="C27" s="440">
        <v>49000</v>
      </c>
      <c r="D27" s="441">
        <v>7500</v>
      </c>
      <c r="E27" s="441">
        <v>9800</v>
      </c>
      <c r="F27" s="441">
        <v>700</v>
      </c>
      <c r="G27" s="552"/>
      <c r="H27" s="466" t="s">
        <v>521</v>
      </c>
      <c r="I27" s="552"/>
      <c r="J27" s="440">
        <v>1000</v>
      </c>
      <c r="K27" s="440">
        <v>2665035</v>
      </c>
      <c r="L27" s="476">
        <v>45</v>
      </c>
    </row>
    <row r="28" spans="1:12">
      <c r="A28" s="483">
        <v>44373</v>
      </c>
      <c r="B28" s="466" t="s">
        <v>33</v>
      </c>
      <c r="C28" s="440">
        <v>41000</v>
      </c>
      <c r="D28" s="441">
        <v>7500</v>
      </c>
      <c r="E28" s="441">
        <v>11800</v>
      </c>
      <c r="F28" s="441">
        <v>900</v>
      </c>
      <c r="G28" s="552"/>
      <c r="H28" s="466" t="s">
        <v>521</v>
      </c>
      <c r="I28" s="552"/>
      <c r="J28" s="440">
        <v>0</v>
      </c>
      <c r="K28" s="440">
        <v>2701014</v>
      </c>
      <c r="L28" s="476">
        <v>46</v>
      </c>
    </row>
    <row r="29" spans="1:12">
      <c r="A29" s="483">
        <v>44374</v>
      </c>
      <c r="B29" s="466" t="s">
        <v>37</v>
      </c>
      <c r="C29" s="440">
        <v>0</v>
      </c>
      <c r="D29" s="441">
        <v>7500</v>
      </c>
      <c r="E29" s="441">
        <v>9400</v>
      </c>
      <c r="F29" s="441">
        <v>800</v>
      </c>
      <c r="G29" s="552"/>
      <c r="H29" s="466" t="s">
        <v>521</v>
      </c>
      <c r="I29" s="552"/>
      <c r="J29" s="440">
        <v>0</v>
      </c>
      <c r="K29" s="440">
        <v>2667068</v>
      </c>
      <c r="L29" s="476">
        <v>45</v>
      </c>
    </row>
    <row r="30" spans="1:12">
      <c r="A30" s="483">
        <v>44375</v>
      </c>
      <c r="B30" s="466" t="s">
        <v>41</v>
      </c>
      <c r="C30" s="440">
        <v>49000</v>
      </c>
      <c r="D30" s="441">
        <v>7500</v>
      </c>
      <c r="E30" s="441">
        <v>15200</v>
      </c>
      <c r="F30" s="441">
        <v>1400</v>
      </c>
      <c r="G30" s="552"/>
      <c r="H30" s="466" t="s">
        <v>522</v>
      </c>
      <c r="I30" s="552"/>
      <c r="J30" s="440">
        <v>1000</v>
      </c>
      <c r="K30" s="440">
        <v>2704450</v>
      </c>
      <c r="L30" s="476">
        <v>46</v>
      </c>
    </row>
    <row r="31" spans="1:12">
      <c r="A31" s="483">
        <v>44376</v>
      </c>
      <c r="B31" s="466" t="s">
        <v>46</v>
      </c>
      <c r="C31" s="440">
        <v>49000</v>
      </c>
      <c r="D31" s="441">
        <v>7500</v>
      </c>
      <c r="E31" s="441">
        <v>14600</v>
      </c>
      <c r="F31" s="441">
        <v>1200</v>
      </c>
      <c r="G31" s="552"/>
      <c r="H31" s="466" t="s">
        <v>522</v>
      </c>
      <c r="I31" s="552"/>
      <c r="J31" s="440">
        <v>1000</v>
      </c>
      <c r="K31" s="440">
        <v>2744416</v>
      </c>
      <c r="L31" s="476">
        <v>46</v>
      </c>
    </row>
    <row r="32" spans="1:12">
      <c r="A32" s="483">
        <v>44377</v>
      </c>
      <c r="B32" s="466" t="s">
        <v>49</v>
      </c>
      <c r="C32" s="440">
        <v>49000</v>
      </c>
      <c r="D32" s="441">
        <v>7500</v>
      </c>
      <c r="E32" s="441">
        <v>13300</v>
      </c>
      <c r="F32" s="441">
        <v>1100</v>
      </c>
      <c r="G32" s="552"/>
      <c r="H32" s="466" t="s">
        <v>523</v>
      </c>
      <c r="I32" s="552"/>
      <c r="J32" s="440">
        <v>1000</v>
      </c>
      <c r="K32" s="440">
        <v>2788904</v>
      </c>
      <c r="L32" s="476">
        <v>47</v>
      </c>
    </row>
  </sheetData>
  <phoneticPr fontId="6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AK33"/>
  <sheetViews>
    <sheetView workbookViewId="0"/>
  </sheetViews>
  <sheetFormatPr baseColWidth="10" defaultColWidth="12.6640625" defaultRowHeight="15.75" customHeight="1"/>
  <sheetData>
    <row r="1" spans="1:37">
      <c r="A1" s="34"/>
      <c r="B1" s="87"/>
      <c r="C1" s="427" t="s">
        <v>220</v>
      </c>
      <c r="D1" s="428"/>
      <c r="E1" s="428"/>
      <c r="F1" s="428"/>
      <c r="G1" s="428"/>
      <c r="H1" s="428"/>
      <c r="I1" s="428"/>
      <c r="J1" s="428"/>
      <c r="K1" s="428"/>
      <c r="L1" s="596" t="s">
        <v>524</v>
      </c>
      <c r="M1" s="597"/>
      <c r="N1" s="597"/>
      <c r="O1" s="597"/>
      <c r="P1" s="597"/>
      <c r="Q1" s="597"/>
      <c r="R1" s="427" t="s">
        <v>8</v>
      </c>
      <c r="S1" s="428"/>
      <c r="T1" s="428"/>
      <c r="U1" s="428"/>
      <c r="V1" s="428"/>
      <c r="W1" s="428"/>
      <c r="X1" s="428"/>
      <c r="Y1" s="428"/>
      <c r="Z1" s="429" t="s">
        <v>525</v>
      </c>
      <c r="AA1" s="430"/>
      <c r="AB1" s="429" t="s">
        <v>15</v>
      </c>
      <c r="AC1" s="430"/>
      <c r="AD1" s="430"/>
      <c r="AE1" s="430"/>
      <c r="AF1" s="429" t="s">
        <v>129</v>
      </c>
      <c r="AG1" s="430"/>
      <c r="AH1" s="430"/>
      <c r="AI1" s="429" t="s">
        <v>303</v>
      </c>
      <c r="AJ1" s="430"/>
      <c r="AK1" s="430"/>
    </row>
    <row r="2" spans="1:37">
      <c r="A2" s="435" t="s">
        <v>10</v>
      </c>
      <c r="B2" s="598"/>
      <c r="C2" s="599" t="s">
        <v>63</v>
      </c>
      <c r="D2" s="436" t="s">
        <v>359</v>
      </c>
      <c r="E2" s="435" t="s">
        <v>353</v>
      </c>
      <c r="F2" s="436" t="s">
        <v>305</v>
      </c>
      <c r="G2" s="435" t="s">
        <v>354</v>
      </c>
      <c r="H2" s="436" t="s">
        <v>355</v>
      </c>
      <c r="I2" s="436" t="s">
        <v>356</v>
      </c>
      <c r="J2" s="436" t="s">
        <v>357</v>
      </c>
      <c r="K2" s="436" t="s">
        <v>526</v>
      </c>
      <c r="L2" s="600" t="s">
        <v>359</v>
      </c>
      <c r="M2" s="435" t="s">
        <v>354</v>
      </c>
      <c r="N2" s="436" t="s">
        <v>355</v>
      </c>
      <c r="O2" s="436" t="s">
        <v>356</v>
      </c>
      <c r="P2" s="436" t="s">
        <v>357</v>
      </c>
      <c r="Q2" s="436" t="s">
        <v>526</v>
      </c>
      <c r="R2" s="435" t="s">
        <v>359</v>
      </c>
      <c r="S2" s="435" t="s">
        <v>354</v>
      </c>
      <c r="T2" s="435" t="s">
        <v>360</v>
      </c>
      <c r="U2" s="436" t="s">
        <v>355</v>
      </c>
      <c r="V2" s="435" t="s">
        <v>360</v>
      </c>
      <c r="W2" s="437" t="s">
        <v>362</v>
      </c>
      <c r="X2" s="436" t="s">
        <v>357</v>
      </c>
      <c r="Y2" s="436" t="s">
        <v>526</v>
      </c>
      <c r="Z2" s="435" t="s">
        <v>527</v>
      </c>
      <c r="AA2" s="435" t="s">
        <v>8</v>
      </c>
      <c r="AB2" s="435" t="s">
        <v>528</v>
      </c>
      <c r="AC2" s="435" t="s">
        <v>529</v>
      </c>
      <c r="AD2" s="435" t="s">
        <v>113</v>
      </c>
      <c r="AE2" s="436" t="s">
        <v>530</v>
      </c>
      <c r="AF2" s="435" t="s">
        <v>130</v>
      </c>
      <c r="AG2" s="601" t="s">
        <v>186</v>
      </c>
      <c r="AH2" s="436" t="s">
        <v>132</v>
      </c>
      <c r="AI2" s="435" t="s">
        <v>253</v>
      </c>
      <c r="AJ2" s="435" t="s">
        <v>365</v>
      </c>
      <c r="AK2" s="436" t="s">
        <v>366</v>
      </c>
    </row>
    <row r="3" spans="1:37">
      <c r="A3" s="483">
        <v>44378</v>
      </c>
      <c r="B3" s="466" t="s">
        <v>51</v>
      </c>
      <c r="C3" s="440">
        <v>45000</v>
      </c>
      <c r="D3" s="440">
        <v>7069</v>
      </c>
      <c r="E3" s="440">
        <v>6974</v>
      </c>
      <c r="F3" s="440">
        <v>95</v>
      </c>
      <c r="G3" s="440">
        <v>6009</v>
      </c>
      <c r="H3" s="441">
        <v>24035</v>
      </c>
      <c r="I3" s="441">
        <v>4</v>
      </c>
      <c r="J3" s="441">
        <v>1060</v>
      </c>
      <c r="K3" s="443">
        <v>0.15</v>
      </c>
      <c r="L3" s="602">
        <v>6679</v>
      </c>
      <c r="M3" s="603">
        <v>4797</v>
      </c>
      <c r="N3" s="603">
        <v>28712</v>
      </c>
      <c r="O3" s="604">
        <v>6</v>
      </c>
      <c r="P3" s="603">
        <v>1390</v>
      </c>
      <c r="Q3" s="605">
        <v>0.21</v>
      </c>
      <c r="R3" s="441">
        <v>6679</v>
      </c>
      <c r="S3" s="441">
        <v>4797</v>
      </c>
      <c r="T3" s="606">
        <v>0.8</v>
      </c>
      <c r="U3" s="441">
        <v>28712</v>
      </c>
      <c r="V3" s="443">
        <v>1.19</v>
      </c>
      <c r="W3" s="442">
        <v>6</v>
      </c>
      <c r="X3" s="441">
        <v>1390</v>
      </c>
      <c r="Y3" s="443">
        <v>0.21</v>
      </c>
      <c r="Z3" s="441">
        <v>21150</v>
      </c>
      <c r="AA3" s="441">
        <v>25267</v>
      </c>
      <c r="AB3" s="441">
        <v>36140</v>
      </c>
      <c r="AC3" s="441">
        <v>31601</v>
      </c>
      <c r="AD3" s="443">
        <v>0.87</v>
      </c>
      <c r="AE3" s="441">
        <v>0</v>
      </c>
      <c r="AF3" s="444"/>
      <c r="AG3" s="445"/>
      <c r="AH3" s="439" t="s">
        <v>519</v>
      </c>
      <c r="AI3" s="440">
        <v>1000</v>
      </c>
      <c r="AJ3" s="440">
        <v>2500532</v>
      </c>
      <c r="AK3" s="440">
        <v>84</v>
      </c>
    </row>
    <row r="4" spans="1:37">
      <c r="A4" s="483">
        <v>44379</v>
      </c>
      <c r="B4" s="466" t="s">
        <v>29</v>
      </c>
      <c r="C4" s="440">
        <v>45000</v>
      </c>
      <c r="D4" s="440">
        <v>7646</v>
      </c>
      <c r="E4" s="440">
        <v>7547</v>
      </c>
      <c r="F4" s="440">
        <v>99</v>
      </c>
      <c r="G4" s="440">
        <v>6499</v>
      </c>
      <c r="H4" s="441">
        <v>25996</v>
      </c>
      <c r="I4" s="441">
        <v>4</v>
      </c>
      <c r="J4" s="441">
        <v>1147</v>
      </c>
      <c r="K4" s="443">
        <v>0.15</v>
      </c>
      <c r="L4" s="602">
        <v>6270</v>
      </c>
      <c r="M4" s="603">
        <v>4544</v>
      </c>
      <c r="N4" s="603">
        <v>26995</v>
      </c>
      <c r="O4" s="604">
        <v>5.9</v>
      </c>
      <c r="P4" s="603">
        <v>1334</v>
      </c>
      <c r="Q4" s="605">
        <v>0.21</v>
      </c>
      <c r="R4" s="441">
        <v>6270</v>
      </c>
      <c r="S4" s="449">
        <v>4544</v>
      </c>
      <c r="T4" s="606">
        <v>0.7</v>
      </c>
      <c r="U4" s="441">
        <v>26995</v>
      </c>
      <c r="V4" s="443">
        <v>1.04</v>
      </c>
      <c r="W4" s="442">
        <v>5.9</v>
      </c>
      <c r="X4" s="441">
        <v>1334</v>
      </c>
      <c r="Y4" s="443">
        <v>0.21</v>
      </c>
      <c r="Z4" s="441">
        <v>22877</v>
      </c>
      <c r="AA4" s="441">
        <v>23756</v>
      </c>
      <c r="AB4" s="441">
        <v>37180</v>
      </c>
      <c r="AC4" s="441">
        <v>26084</v>
      </c>
      <c r="AD4" s="606">
        <v>0.7</v>
      </c>
      <c r="AE4" s="441">
        <v>0</v>
      </c>
      <c r="AF4" s="444"/>
      <c r="AG4" s="439" t="s">
        <v>531</v>
      </c>
      <c r="AH4" s="439" t="s">
        <v>532</v>
      </c>
      <c r="AI4" s="440">
        <v>1000</v>
      </c>
      <c r="AJ4" s="440">
        <v>2520007</v>
      </c>
      <c r="AK4" s="440">
        <v>84</v>
      </c>
    </row>
    <row r="5" spans="1:37">
      <c r="A5" s="483">
        <v>44380</v>
      </c>
      <c r="B5" s="466" t="s">
        <v>33</v>
      </c>
      <c r="C5" s="440">
        <v>36000</v>
      </c>
      <c r="D5" s="440">
        <v>8788</v>
      </c>
      <c r="E5" s="440">
        <v>8673</v>
      </c>
      <c r="F5" s="440">
        <v>115</v>
      </c>
      <c r="G5" s="440">
        <v>7470</v>
      </c>
      <c r="H5" s="441">
        <v>29879</v>
      </c>
      <c r="I5" s="441">
        <v>4</v>
      </c>
      <c r="J5" s="441">
        <v>1318</v>
      </c>
      <c r="K5" s="443">
        <v>0.15</v>
      </c>
      <c r="L5" s="602">
        <v>7295</v>
      </c>
      <c r="M5" s="603">
        <v>5297</v>
      </c>
      <c r="N5" s="603">
        <v>30831</v>
      </c>
      <c r="O5" s="604">
        <v>5.8</v>
      </c>
      <c r="P5" s="603">
        <v>1518</v>
      </c>
      <c r="Q5" s="605">
        <v>0.21</v>
      </c>
      <c r="R5" s="441">
        <v>7295</v>
      </c>
      <c r="S5" s="449">
        <v>5297</v>
      </c>
      <c r="T5" s="606">
        <v>0.71</v>
      </c>
      <c r="U5" s="441">
        <v>30831</v>
      </c>
      <c r="V5" s="443">
        <v>1.03</v>
      </c>
      <c r="W5" s="442">
        <v>5.8</v>
      </c>
      <c r="X5" s="441">
        <v>1518</v>
      </c>
      <c r="Y5" s="443">
        <v>0.21</v>
      </c>
      <c r="Z5" s="441">
        <v>26294</v>
      </c>
      <c r="AA5" s="441">
        <v>27131</v>
      </c>
      <c r="AB5" s="441">
        <v>34840</v>
      </c>
      <c r="AC5" s="441">
        <v>28735</v>
      </c>
      <c r="AD5" s="443">
        <v>0.82</v>
      </c>
      <c r="AE5" s="441">
        <v>0</v>
      </c>
      <c r="AF5" s="444"/>
      <c r="AG5" s="439" t="s">
        <v>531</v>
      </c>
      <c r="AH5" s="439" t="s">
        <v>404</v>
      </c>
      <c r="AI5" s="440">
        <v>0</v>
      </c>
      <c r="AJ5" s="440">
        <v>2526956</v>
      </c>
      <c r="AK5" s="440">
        <v>83</v>
      </c>
    </row>
    <row r="6" spans="1:37">
      <c r="A6" s="483">
        <v>44381</v>
      </c>
      <c r="B6" s="439" t="s">
        <v>37</v>
      </c>
      <c r="C6" s="441">
        <v>0</v>
      </c>
      <c r="D6" s="440">
        <v>8607</v>
      </c>
      <c r="E6" s="440">
        <v>8501</v>
      </c>
      <c r="F6" s="440">
        <v>106</v>
      </c>
      <c r="G6" s="440">
        <v>7316</v>
      </c>
      <c r="H6" s="441">
        <v>29264</v>
      </c>
      <c r="I6" s="441">
        <v>4</v>
      </c>
      <c r="J6" s="441">
        <v>1291</v>
      </c>
      <c r="K6" s="443">
        <v>0.15</v>
      </c>
      <c r="L6" s="602">
        <v>7474</v>
      </c>
      <c r="M6" s="603">
        <v>5366</v>
      </c>
      <c r="N6" s="603">
        <v>32358</v>
      </c>
      <c r="O6" s="604">
        <v>6</v>
      </c>
      <c r="P6" s="603">
        <v>1590</v>
      </c>
      <c r="Q6" s="605">
        <v>0.21</v>
      </c>
      <c r="R6" s="441">
        <v>7474</v>
      </c>
      <c r="S6" s="441">
        <v>5366</v>
      </c>
      <c r="T6" s="606">
        <v>0.73</v>
      </c>
      <c r="U6" s="441">
        <v>32358</v>
      </c>
      <c r="V6" s="443">
        <v>1.1100000000000001</v>
      </c>
      <c r="W6" s="442">
        <v>6</v>
      </c>
      <c r="X6" s="441">
        <v>1590</v>
      </c>
      <c r="Y6" s="443">
        <v>0.21</v>
      </c>
      <c r="Z6" s="441">
        <v>25752</v>
      </c>
      <c r="AA6" s="441">
        <v>28475</v>
      </c>
      <c r="AB6" s="441">
        <v>33280</v>
      </c>
      <c r="AC6" s="441">
        <v>28981</v>
      </c>
      <c r="AD6" s="443">
        <v>0.87</v>
      </c>
      <c r="AE6" s="441">
        <v>0</v>
      </c>
      <c r="AF6" s="444"/>
      <c r="AG6" s="439" t="s">
        <v>531</v>
      </c>
      <c r="AH6" s="439" t="s">
        <v>533</v>
      </c>
      <c r="AI6" s="440">
        <v>0</v>
      </c>
      <c r="AJ6" s="440">
        <v>2498465</v>
      </c>
      <c r="AK6" s="440">
        <v>81</v>
      </c>
    </row>
    <row r="7" spans="1:37">
      <c r="A7" s="483">
        <v>44382</v>
      </c>
      <c r="B7" s="466" t="s">
        <v>41</v>
      </c>
      <c r="C7" s="440">
        <v>45000</v>
      </c>
      <c r="D7" s="440">
        <v>10228</v>
      </c>
      <c r="E7" s="440">
        <v>10100</v>
      </c>
      <c r="F7" s="440">
        <v>128</v>
      </c>
      <c r="G7" s="440">
        <v>8694</v>
      </c>
      <c r="H7" s="441">
        <v>34775</v>
      </c>
      <c r="I7" s="441">
        <v>4</v>
      </c>
      <c r="J7" s="441">
        <v>1534</v>
      </c>
      <c r="K7" s="443">
        <v>0.15</v>
      </c>
      <c r="L7" s="602">
        <v>8172</v>
      </c>
      <c r="M7" s="603">
        <v>6184</v>
      </c>
      <c r="N7" s="603">
        <v>36282</v>
      </c>
      <c r="O7" s="604">
        <v>5.9</v>
      </c>
      <c r="P7" s="603">
        <v>1426</v>
      </c>
      <c r="Q7" s="605">
        <v>0.17</v>
      </c>
      <c r="R7" s="441">
        <v>8172</v>
      </c>
      <c r="S7" s="441">
        <v>6184</v>
      </c>
      <c r="T7" s="606">
        <v>0.71</v>
      </c>
      <c r="U7" s="441">
        <v>36282</v>
      </c>
      <c r="V7" s="443">
        <v>1.04</v>
      </c>
      <c r="W7" s="442">
        <v>5.9</v>
      </c>
      <c r="X7" s="441">
        <v>1426</v>
      </c>
      <c r="Y7" s="443">
        <v>0.17</v>
      </c>
      <c r="Z7" s="441">
        <v>30602</v>
      </c>
      <c r="AA7" s="441">
        <v>31928</v>
      </c>
      <c r="AB7" s="441">
        <v>33540</v>
      </c>
      <c r="AC7" s="441">
        <v>26571</v>
      </c>
      <c r="AD7" s="606">
        <v>0.79</v>
      </c>
      <c r="AE7" s="441">
        <v>5357</v>
      </c>
      <c r="AF7" s="447" t="s">
        <v>534</v>
      </c>
      <c r="AG7" s="439" t="s">
        <v>535</v>
      </c>
      <c r="AH7" s="439" t="s">
        <v>429</v>
      </c>
      <c r="AI7" s="440">
        <v>1000</v>
      </c>
      <c r="AJ7" s="440">
        <v>2509970</v>
      </c>
      <c r="AK7" s="440">
        <v>81</v>
      </c>
    </row>
    <row r="8" spans="1:37">
      <c r="A8" s="483">
        <v>44383</v>
      </c>
      <c r="B8" s="466" t="s">
        <v>46</v>
      </c>
      <c r="C8" s="440">
        <v>45000</v>
      </c>
      <c r="D8" s="440">
        <v>8936</v>
      </c>
      <c r="E8" s="440">
        <v>8826</v>
      </c>
      <c r="F8" s="440">
        <v>110</v>
      </c>
      <c r="G8" s="440">
        <v>7596</v>
      </c>
      <c r="H8" s="441">
        <v>30382</v>
      </c>
      <c r="I8" s="441">
        <v>4</v>
      </c>
      <c r="J8" s="441">
        <v>1340</v>
      </c>
      <c r="K8" s="443">
        <v>0.15</v>
      </c>
      <c r="L8" s="602">
        <v>9130</v>
      </c>
      <c r="M8" s="603">
        <v>6938</v>
      </c>
      <c r="N8" s="603">
        <v>33755</v>
      </c>
      <c r="O8" s="604">
        <v>4.9000000000000004</v>
      </c>
      <c r="P8" s="603">
        <v>1353</v>
      </c>
      <c r="Q8" s="605">
        <v>0.15</v>
      </c>
      <c r="R8" s="449">
        <v>9130</v>
      </c>
      <c r="S8" s="449">
        <v>6938</v>
      </c>
      <c r="T8" s="443">
        <v>0.91</v>
      </c>
      <c r="U8" s="441">
        <v>33755</v>
      </c>
      <c r="V8" s="443">
        <v>1.1100000000000001</v>
      </c>
      <c r="W8" s="442">
        <v>4.9000000000000004</v>
      </c>
      <c r="X8" s="441">
        <v>1353</v>
      </c>
      <c r="Y8" s="443">
        <v>0.15</v>
      </c>
      <c r="Z8" s="450">
        <v>26737</v>
      </c>
      <c r="AA8" s="450">
        <v>29704</v>
      </c>
      <c r="AB8" s="450">
        <v>33800</v>
      </c>
      <c r="AC8" s="450">
        <v>33110</v>
      </c>
      <c r="AD8" s="443">
        <v>0.98</v>
      </c>
      <c r="AE8" s="441">
        <v>1952</v>
      </c>
      <c r="AF8" s="445"/>
      <c r="AG8" s="439" t="s">
        <v>535</v>
      </c>
      <c r="AH8" s="439" t="s">
        <v>399</v>
      </c>
      <c r="AI8" s="440">
        <v>1000</v>
      </c>
      <c r="AJ8" s="440">
        <v>2525463</v>
      </c>
      <c r="AK8" s="440">
        <v>84</v>
      </c>
    </row>
    <row r="9" spans="1:37">
      <c r="A9" s="454">
        <v>44384</v>
      </c>
      <c r="B9" s="455" t="s">
        <v>49</v>
      </c>
      <c r="C9" s="456">
        <v>22000</v>
      </c>
      <c r="D9" s="456">
        <v>37499</v>
      </c>
      <c r="E9" s="456">
        <v>36819</v>
      </c>
      <c r="F9" s="456">
        <v>680</v>
      </c>
      <c r="G9" s="456">
        <v>31874</v>
      </c>
      <c r="H9" s="456">
        <v>127497</v>
      </c>
      <c r="I9" s="441">
        <v>4</v>
      </c>
      <c r="J9" s="441">
        <v>5625</v>
      </c>
      <c r="K9" s="443">
        <v>0.15</v>
      </c>
      <c r="L9" s="602">
        <v>39632</v>
      </c>
      <c r="M9" s="602">
        <v>31113</v>
      </c>
      <c r="N9" s="602">
        <v>152635</v>
      </c>
      <c r="O9" s="607">
        <v>4.9000000000000004</v>
      </c>
      <c r="P9" s="602">
        <v>8519</v>
      </c>
      <c r="Q9" s="605">
        <v>0.21</v>
      </c>
      <c r="R9" s="456">
        <v>39632</v>
      </c>
      <c r="S9" s="456">
        <v>31113</v>
      </c>
      <c r="T9" s="443">
        <v>0.98</v>
      </c>
      <c r="U9" s="456">
        <v>152635</v>
      </c>
      <c r="V9" s="443">
        <v>1.2</v>
      </c>
      <c r="W9" s="457">
        <v>4.9000000000000004</v>
      </c>
      <c r="X9" s="441">
        <v>8519</v>
      </c>
      <c r="Y9" s="443">
        <v>0.21</v>
      </c>
      <c r="Z9" s="441">
        <v>112197</v>
      </c>
      <c r="AA9" s="441">
        <v>134319</v>
      </c>
      <c r="AB9" s="449">
        <v>34840</v>
      </c>
      <c r="AC9" s="441">
        <v>44154</v>
      </c>
      <c r="AD9" s="606">
        <v>1.27</v>
      </c>
      <c r="AE9" s="441">
        <v>92116</v>
      </c>
      <c r="AF9" s="444"/>
      <c r="AG9" s="445"/>
      <c r="AH9" s="439" t="s">
        <v>536</v>
      </c>
      <c r="AI9" s="440">
        <v>1000</v>
      </c>
      <c r="AJ9" s="440">
        <v>2430721</v>
      </c>
      <c r="AK9" s="440">
        <v>73</v>
      </c>
    </row>
    <row r="10" spans="1:37">
      <c r="A10" s="483">
        <v>44385</v>
      </c>
      <c r="B10" s="466" t="s">
        <v>51</v>
      </c>
      <c r="C10" s="440">
        <v>22000</v>
      </c>
      <c r="D10" s="440">
        <v>6614</v>
      </c>
      <c r="E10" s="440">
        <v>6518</v>
      </c>
      <c r="F10" s="440">
        <v>96</v>
      </c>
      <c r="G10" s="440">
        <v>5622</v>
      </c>
      <c r="H10" s="441">
        <v>22488</v>
      </c>
      <c r="I10" s="441">
        <v>4</v>
      </c>
      <c r="J10" s="441">
        <v>992</v>
      </c>
      <c r="K10" s="443">
        <v>0.15</v>
      </c>
      <c r="L10" s="440">
        <v>6502</v>
      </c>
      <c r="M10" s="440">
        <v>5202</v>
      </c>
      <c r="N10" s="440">
        <v>26008</v>
      </c>
      <c r="O10" s="452">
        <v>5</v>
      </c>
      <c r="P10" s="441">
        <v>1300</v>
      </c>
      <c r="Q10" s="443">
        <v>0.2</v>
      </c>
      <c r="R10" s="441">
        <v>8076</v>
      </c>
      <c r="S10" s="441">
        <v>6525</v>
      </c>
      <c r="T10" s="606">
        <v>1.25</v>
      </c>
      <c r="U10" s="441">
        <v>32595</v>
      </c>
      <c r="V10" s="606">
        <v>1.25</v>
      </c>
      <c r="W10" s="442">
        <v>5</v>
      </c>
      <c r="X10" s="441">
        <v>1551</v>
      </c>
      <c r="Y10" s="443">
        <v>0.19</v>
      </c>
      <c r="Z10" s="441">
        <v>22887</v>
      </c>
      <c r="AA10" s="441">
        <v>28684</v>
      </c>
      <c r="AB10" s="441">
        <v>34840</v>
      </c>
      <c r="AC10" s="441">
        <v>45327</v>
      </c>
      <c r="AD10" s="606">
        <v>1.3</v>
      </c>
      <c r="AE10" s="441">
        <v>75473</v>
      </c>
      <c r="AF10" s="444"/>
      <c r="AG10" s="439" t="s">
        <v>537</v>
      </c>
      <c r="AH10" s="439" t="s">
        <v>538</v>
      </c>
      <c r="AI10" s="440">
        <v>1000</v>
      </c>
      <c r="AJ10" s="440">
        <v>2430690</v>
      </c>
      <c r="AK10" s="440">
        <v>73</v>
      </c>
    </row>
    <row r="11" spans="1:37">
      <c r="A11" s="483">
        <v>44386</v>
      </c>
      <c r="B11" s="466" t="s">
        <v>29</v>
      </c>
      <c r="C11" s="440">
        <v>45000</v>
      </c>
      <c r="D11" s="440">
        <v>6872</v>
      </c>
      <c r="E11" s="440">
        <v>6773</v>
      </c>
      <c r="F11" s="440">
        <v>99</v>
      </c>
      <c r="G11" s="440">
        <v>5841</v>
      </c>
      <c r="H11" s="441">
        <v>23365</v>
      </c>
      <c r="I11" s="441">
        <v>4</v>
      </c>
      <c r="J11" s="441">
        <v>1031</v>
      </c>
      <c r="K11" s="443">
        <v>0.15</v>
      </c>
      <c r="L11" s="440">
        <v>6753</v>
      </c>
      <c r="M11" s="440">
        <v>5402</v>
      </c>
      <c r="N11" s="440">
        <v>27012</v>
      </c>
      <c r="O11" s="452">
        <v>5</v>
      </c>
      <c r="P11" s="449">
        <v>1351</v>
      </c>
      <c r="Q11" s="443">
        <v>0.2</v>
      </c>
      <c r="R11" s="441">
        <v>6885</v>
      </c>
      <c r="S11" s="449">
        <v>5423</v>
      </c>
      <c r="T11" s="443">
        <v>1</v>
      </c>
      <c r="U11" s="441">
        <v>27533</v>
      </c>
      <c r="V11" s="443">
        <v>1.02</v>
      </c>
      <c r="W11" s="442">
        <v>5.0999999999999996</v>
      </c>
      <c r="X11" s="441">
        <v>1462</v>
      </c>
      <c r="Y11" s="443">
        <v>0.21</v>
      </c>
      <c r="Z11" s="441">
        <v>23771</v>
      </c>
      <c r="AA11" s="441">
        <v>24229</v>
      </c>
      <c r="AB11" s="441">
        <v>33280</v>
      </c>
      <c r="AC11" s="441">
        <v>47434</v>
      </c>
      <c r="AD11" s="606">
        <v>1.43</v>
      </c>
      <c r="AE11" s="441">
        <v>52268</v>
      </c>
      <c r="AF11" s="444"/>
      <c r="AG11" s="439" t="s">
        <v>537</v>
      </c>
      <c r="AH11" s="439" t="s">
        <v>538</v>
      </c>
      <c r="AI11" s="440">
        <v>1000</v>
      </c>
      <c r="AJ11" s="440">
        <v>2452862</v>
      </c>
      <c r="AK11" s="440">
        <v>75</v>
      </c>
    </row>
    <row r="12" spans="1:37">
      <c r="A12" s="483">
        <v>44387</v>
      </c>
      <c r="B12" s="466" t="s">
        <v>33</v>
      </c>
      <c r="C12" s="440">
        <v>36000</v>
      </c>
      <c r="D12" s="440">
        <v>8514</v>
      </c>
      <c r="E12" s="440">
        <v>8399</v>
      </c>
      <c r="F12" s="440">
        <v>115</v>
      </c>
      <c r="G12" s="440">
        <v>7237</v>
      </c>
      <c r="H12" s="441">
        <v>28948</v>
      </c>
      <c r="I12" s="441">
        <v>4</v>
      </c>
      <c r="J12" s="441">
        <v>1277</v>
      </c>
      <c r="K12" s="443">
        <v>0.15</v>
      </c>
      <c r="L12" s="440">
        <v>8300</v>
      </c>
      <c r="M12" s="440">
        <v>6640</v>
      </c>
      <c r="N12" s="440">
        <v>33200</v>
      </c>
      <c r="O12" s="452">
        <v>5</v>
      </c>
      <c r="P12" s="449">
        <v>1660</v>
      </c>
      <c r="Q12" s="443">
        <v>0.2</v>
      </c>
      <c r="R12" s="441">
        <v>7888</v>
      </c>
      <c r="S12" s="449">
        <v>6046</v>
      </c>
      <c r="T12" s="443">
        <v>0.91</v>
      </c>
      <c r="U12" s="441">
        <v>31800</v>
      </c>
      <c r="V12" s="443">
        <v>0.96</v>
      </c>
      <c r="W12" s="442">
        <v>5.3</v>
      </c>
      <c r="X12" s="441">
        <v>1842</v>
      </c>
      <c r="Y12" s="443">
        <v>0.23</v>
      </c>
      <c r="Z12" s="441">
        <v>29216</v>
      </c>
      <c r="AA12" s="441">
        <v>27984</v>
      </c>
      <c r="AB12" s="441">
        <v>33280</v>
      </c>
      <c r="AC12" s="441">
        <v>43647</v>
      </c>
      <c r="AD12" s="606">
        <v>1.31</v>
      </c>
      <c r="AE12" s="441">
        <v>36605</v>
      </c>
      <c r="AF12" s="444"/>
      <c r="AG12" s="446"/>
      <c r="AH12" s="439" t="s">
        <v>538</v>
      </c>
      <c r="AI12" s="440">
        <v>0</v>
      </c>
      <c r="AJ12" s="440">
        <v>2460966</v>
      </c>
      <c r="AK12" s="440">
        <v>75</v>
      </c>
    </row>
    <row r="13" spans="1:37">
      <c r="A13" s="483">
        <v>44388</v>
      </c>
      <c r="B13" s="466" t="s">
        <v>37</v>
      </c>
      <c r="C13" s="440">
        <v>0</v>
      </c>
      <c r="D13" s="440">
        <v>7833</v>
      </c>
      <c r="E13" s="440">
        <v>7727</v>
      </c>
      <c r="F13" s="440">
        <v>106</v>
      </c>
      <c r="G13" s="440">
        <v>6658</v>
      </c>
      <c r="H13" s="441">
        <v>26632</v>
      </c>
      <c r="I13" s="441">
        <v>4</v>
      </c>
      <c r="J13" s="441">
        <v>1175</v>
      </c>
      <c r="K13" s="443">
        <v>0.15</v>
      </c>
      <c r="L13" s="440">
        <v>7659</v>
      </c>
      <c r="M13" s="440">
        <v>6127</v>
      </c>
      <c r="N13" s="440">
        <v>30636</v>
      </c>
      <c r="O13" s="452">
        <v>5</v>
      </c>
      <c r="P13" s="441">
        <v>1532</v>
      </c>
      <c r="Q13" s="443">
        <v>0.2</v>
      </c>
      <c r="R13" s="441">
        <v>8123</v>
      </c>
      <c r="S13" s="441">
        <v>6410</v>
      </c>
      <c r="T13" s="443">
        <v>1.05</v>
      </c>
      <c r="U13" s="441">
        <v>33789</v>
      </c>
      <c r="V13" s="443">
        <v>1.1000000000000001</v>
      </c>
      <c r="W13" s="442">
        <v>5.3</v>
      </c>
      <c r="X13" s="441">
        <v>1713</v>
      </c>
      <c r="Y13" s="443">
        <v>0.21</v>
      </c>
      <c r="Z13" s="441">
        <v>26960</v>
      </c>
      <c r="AA13" s="441">
        <v>29734</v>
      </c>
      <c r="AB13" s="441">
        <v>32500</v>
      </c>
      <c r="AC13" s="441">
        <v>36317</v>
      </c>
      <c r="AD13" s="443">
        <v>1.1200000000000001</v>
      </c>
      <c r="AE13" s="441">
        <v>30022</v>
      </c>
      <c r="AF13" s="444"/>
      <c r="AG13" s="446"/>
      <c r="AH13" s="439" t="s">
        <v>539</v>
      </c>
      <c r="AI13" s="440">
        <v>0</v>
      </c>
      <c r="AJ13" s="440">
        <v>2435172</v>
      </c>
      <c r="AK13" s="440">
        <v>74</v>
      </c>
    </row>
    <row r="14" spans="1:37">
      <c r="A14" s="483">
        <v>44389</v>
      </c>
      <c r="B14" s="466" t="s">
        <v>41</v>
      </c>
      <c r="C14" s="440">
        <v>45000</v>
      </c>
      <c r="D14" s="440">
        <v>8353</v>
      </c>
      <c r="E14" s="440">
        <v>8233</v>
      </c>
      <c r="F14" s="440">
        <v>120</v>
      </c>
      <c r="G14" s="440">
        <v>7100</v>
      </c>
      <c r="H14" s="441">
        <v>28400</v>
      </c>
      <c r="I14" s="441">
        <v>4</v>
      </c>
      <c r="J14" s="441">
        <v>1253</v>
      </c>
      <c r="K14" s="443">
        <v>0.15</v>
      </c>
      <c r="L14" s="440">
        <v>8228</v>
      </c>
      <c r="M14" s="441">
        <v>6582</v>
      </c>
      <c r="N14" s="441">
        <v>39494</v>
      </c>
      <c r="O14" s="442">
        <v>6</v>
      </c>
      <c r="P14" s="449">
        <v>1646</v>
      </c>
      <c r="Q14" s="443">
        <v>0.2</v>
      </c>
      <c r="R14" s="441">
        <v>7413</v>
      </c>
      <c r="S14" s="441">
        <v>5740</v>
      </c>
      <c r="T14" s="443">
        <v>0.87</v>
      </c>
      <c r="U14" s="441">
        <v>30134</v>
      </c>
      <c r="V14" s="606">
        <v>0.76</v>
      </c>
      <c r="W14" s="442">
        <v>5.2</v>
      </c>
      <c r="X14" s="441">
        <v>1673</v>
      </c>
      <c r="Y14" s="443">
        <v>0.23</v>
      </c>
      <c r="Z14" s="441">
        <v>34755</v>
      </c>
      <c r="AA14" s="441">
        <v>26518</v>
      </c>
      <c r="AB14" s="441">
        <v>33540</v>
      </c>
      <c r="AC14" s="441">
        <v>38917</v>
      </c>
      <c r="AD14" s="443">
        <v>1.1599999999999999</v>
      </c>
      <c r="AE14" s="441">
        <v>17623</v>
      </c>
      <c r="AF14" s="444"/>
      <c r="AG14" s="439" t="s">
        <v>540</v>
      </c>
      <c r="AH14" s="552"/>
      <c r="AI14" s="440">
        <v>1000</v>
      </c>
      <c r="AJ14" s="440">
        <v>2452773</v>
      </c>
      <c r="AK14" s="440">
        <v>75</v>
      </c>
    </row>
    <row r="15" spans="1:37">
      <c r="A15" s="483">
        <v>44390</v>
      </c>
      <c r="B15" s="466" t="s">
        <v>46</v>
      </c>
      <c r="C15" s="440">
        <v>45000</v>
      </c>
      <c r="D15" s="440">
        <v>7759</v>
      </c>
      <c r="E15" s="440">
        <v>7647</v>
      </c>
      <c r="F15" s="440">
        <v>112</v>
      </c>
      <c r="G15" s="440">
        <v>6595</v>
      </c>
      <c r="H15" s="441">
        <v>26381</v>
      </c>
      <c r="I15" s="441">
        <v>4</v>
      </c>
      <c r="J15" s="441">
        <v>1164</v>
      </c>
      <c r="K15" s="443">
        <v>0.15</v>
      </c>
      <c r="L15" s="440">
        <v>7678</v>
      </c>
      <c r="M15" s="441">
        <v>6142</v>
      </c>
      <c r="N15" s="441">
        <v>36854</v>
      </c>
      <c r="O15" s="442">
        <v>6</v>
      </c>
      <c r="P15" s="449">
        <v>1536</v>
      </c>
      <c r="Q15" s="443">
        <v>0.2</v>
      </c>
      <c r="R15" s="441">
        <v>6625</v>
      </c>
      <c r="S15" s="449">
        <v>5090</v>
      </c>
      <c r="T15" s="443">
        <v>0.83</v>
      </c>
      <c r="U15" s="441">
        <v>28019</v>
      </c>
      <c r="V15" s="606">
        <v>0.76</v>
      </c>
      <c r="W15" s="442">
        <v>5.5</v>
      </c>
      <c r="X15" s="441">
        <v>1535</v>
      </c>
      <c r="Y15" s="443">
        <v>0.23</v>
      </c>
      <c r="Z15" s="441">
        <v>32432</v>
      </c>
      <c r="AA15" s="441">
        <v>24657</v>
      </c>
      <c r="AB15" s="441">
        <v>35360</v>
      </c>
      <c r="AC15" s="441">
        <v>36998</v>
      </c>
      <c r="AD15" s="443">
        <v>1.05</v>
      </c>
      <c r="AE15" s="441">
        <v>5282</v>
      </c>
      <c r="AF15" s="444"/>
      <c r="AG15" s="439" t="s">
        <v>540</v>
      </c>
      <c r="AH15" s="552"/>
      <c r="AI15" s="440">
        <v>1000</v>
      </c>
      <c r="AJ15" s="440">
        <v>2472207</v>
      </c>
      <c r="AK15" s="440">
        <v>76</v>
      </c>
    </row>
    <row r="16" spans="1:37">
      <c r="A16" s="483">
        <v>44391</v>
      </c>
      <c r="B16" s="466" t="s">
        <v>49</v>
      </c>
      <c r="C16" s="440">
        <v>45000</v>
      </c>
      <c r="D16" s="440">
        <v>8963</v>
      </c>
      <c r="E16" s="440">
        <v>8842</v>
      </c>
      <c r="F16" s="440">
        <v>121</v>
      </c>
      <c r="G16" s="440">
        <v>7619</v>
      </c>
      <c r="H16" s="441">
        <v>30474</v>
      </c>
      <c r="I16" s="441">
        <v>4</v>
      </c>
      <c r="J16" s="441">
        <v>1344</v>
      </c>
      <c r="K16" s="443">
        <v>0.15</v>
      </c>
      <c r="L16" s="440">
        <v>8705</v>
      </c>
      <c r="M16" s="441">
        <v>6964</v>
      </c>
      <c r="N16" s="441">
        <v>41784</v>
      </c>
      <c r="O16" s="442">
        <v>6</v>
      </c>
      <c r="P16" s="449">
        <v>1741</v>
      </c>
      <c r="Q16" s="443">
        <v>0.2</v>
      </c>
      <c r="R16" s="441">
        <v>7237</v>
      </c>
      <c r="S16" s="449">
        <v>5485</v>
      </c>
      <c r="T16" s="606">
        <v>0.79</v>
      </c>
      <c r="U16" s="441">
        <v>30030</v>
      </c>
      <c r="V16" s="606">
        <v>0.72</v>
      </c>
      <c r="W16" s="442">
        <v>5.5</v>
      </c>
      <c r="X16" s="441">
        <v>1752</v>
      </c>
      <c r="Y16" s="443">
        <v>0.24</v>
      </c>
      <c r="Z16" s="441">
        <v>36770</v>
      </c>
      <c r="AA16" s="441">
        <v>26426</v>
      </c>
      <c r="AB16" s="441">
        <v>33800</v>
      </c>
      <c r="AC16" s="441">
        <v>47265</v>
      </c>
      <c r="AD16" s="606">
        <v>1.4</v>
      </c>
      <c r="AE16" s="441">
        <v>0</v>
      </c>
      <c r="AF16" s="444"/>
      <c r="AG16" s="439" t="s">
        <v>540</v>
      </c>
      <c r="AH16" s="552"/>
      <c r="AI16" s="440">
        <v>1000</v>
      </c>
      <c r="AJ16" s="440">
        <v>2487925</v>
      </c>
      <c r="AK16" s="440">
        <v>77</v>
      </c>
    </row>
    <row r="17" spans="1:37">
      <c r="A17" s="483">
        <v>44392</v>
      </c>
      <c r="B17" s="466" t="s">
        <v>51</v>
      </c>
      <c r="C17" s="440">
        <v>45000</v>
      </c>
      <c r="D17" s="440">
        <v>7314</v>
      </c>
      <c r="E17" s="440">
        <v>7218</v>
      </c>
      <c r="F17" s="440">
        <v>96</v>
      </c>
      <c r="G17" s="440">
        <v>6217</v>
      </c>
      <c r="H17" s="441">
        <v>24868</v>
      </c>
      <c r="I17" s="441">
        <v>4</v>
      </c>
      <c r="J17" s="441">
        <v>1097</v>
      </c>
      <c r="K17" s="443">
        <v>0.15</v>
      </c>
      <c r="L17" s="440">
        <v>7102</v>
      </c>
      <c r="M17" s="441">
        <v>5682</v>
      </c>
      <c r="N17" s="441">
        <v>34090</v>
      </c>
      <c r="O17" s="442">
        <v>6</v>
      </c>
      <c r="P17" s="449">
        <v>1420</v>
      </c>
      <c r="Q17" s="443">
        <v>0.2</v>
      </c>
      <c r="R17" s="441">
        <v>6068</v>
      </c>
      <c r="S17" s="449">
        <v>4609</v>
      </c>
      <c r="T17" s="443">
        <v>0.81</v>
      </c>
      <c r="U17" s="441">
        <v>26381</v>
      </c>
      <c r="V17" s="606">
        <v>0.77</v>
      </c>
      <c r="W17" s="442">
        <v>5.7</v>
      </c>
      <c r="X17" s="441">
        <v>1459</v>
      </c>
      <c r="Y17" s="443">
        <v>0.24</v>
      </c>
      <c r="Z17" s="441">
        <v>29999</v>
      </c>
      <c r="AA17" s="441">
        <v>23215</v>
      </c>
      <c r="AB17" s="441">
        <v>33800</v>
      </c>
      <c r="AC17" s="441">
        <v>40823</v>
      </c>
      <c r="AD17" s="606">
        <v>0.78</v>
      </c>
      <c r="AE17" s="441">
        <v>0</v>
      </c>
      <c r="AF17" s="444"/>
      <c r="AG17" s="439" t="s">
        <v>540</v>
      </c>
      <c r="AH17" s="552"/>
      <c r="AI17" s="440">
        <v>1000</v>
      </c>
      <c r="AJ17" s="440">
        <v>2508425</v>
      </c>
      <c r="AK17" s="440">
        <v>78</v>
      </c>
    </row>
    <row r="18" spans="1:37">
      <c r="A18" s="483">
        <v>44393</v>
      </c>
      <c r="B18" s="466" t="s">
        <v>29</v>
      </c>
      <c r="C18" s="440">
        <v>45000</v>
      </c>
      <c r="D18" s="440">
        <v>7572</v>
      </c>
      <c r="E18" s="440">
        <v>7473</v>
      </c>
      <c r="F18" s="440">
        <v>99</v>
      </c>
      <c r="G18" s="440">
        <v>6436</v>
      </c>
      <c r="H18" s="441">
        <v>25745</v>
      </c>
      <c r="I18" s="441">
        <v>4</v>
      </c>
      <c r="J18" s="441">
        <v>1136</v>
      </c>
      <c r="K18" s="443">
        <v>0.15</v>
      </c>
      <c r="L18" s="440">
        <v>7353</v>
      </c>
      <c r="M18" s="441">
        <v>5882</v>
      </c>
      <c r="N18" s="441">
        <v>35294</v>
      </c>
      <c r="O18" s="442">
        <v>6</v>
      </c>
      <c r="P18" s="449">
        <v>1471</v>
      </c>
      <c r="Q18" s="443">
        <v>0.2</v>
      </c>
      <c r="R18" s="441">
        <v>7177</v>
      </c>
      <c r="S18" s="449">
        <v>5650</v>
      </c>
      <c r="T18" s="443">
        <v>0.96</v>
      </c>
      <c r="U18" s="441">
        <v>25543</v>
      </c>
      <c r="V18" s="606">
        <v>0.72</v>
      </c>
      <c r="W18" s="442">
        <v>4.5</v>
      </c>
      <c r="X18" s="441">
        <v>1527</v>
      </c>
      <c r="Y18" s="443">
        <v>0.21</v>
      </c>
      <c r="Z18" s="441">
        <v>31059</v>
      </c>
      <c r="AA18" s="441">
        <v>22478</v>
      </c>
      <c r="AB18" s="441">
        <v>33800</v>
      </c>
      <c r="AC18" s="441">
        <v>28686</v>
      </c>
      <c r="AD18" s="606">
        <v>0.76</v>
      </c>
      <c r="AE18" s="441">
        <v>0</v>
      </c>
      <c r="AF18" s="444"/>
      <c r="AG18" s="446"/>
      <c r="AH18" s="552"/>
      <c r="AI18" s="440">
        <v>1000</v>
      </c>
      <c r="AJ18" s="440">
        <v>2528127</v>
      </c>
      <c r="AK18" s="440">
        <v>79</v>
      </c>
    </row>
    <row r="19" spans="1:37">
      <c r="A19" s="483">
        <v>44394</v>
      </c>
      <c r="B19" s="466" t="s">
        <v>33</v>
      </c>
      <c r="C19" s="440">
        <v>36000</v>
      </c>
      <c r="D19" s="440">
        <v>8714</v>
      </c>
      <c r="E19" s="440">
        <v>8599</v>
      </c>
      <c r="F19" s="440">
        <v>115</v>
      </c>
      <c r="G19" s="440">
        <v>7407</v>
      </c>
      <c r="H19" s="441">
        <v>29628</v>
      </c>
      <c r="I19" s="441">
        <v>4</v>
      </c>
      <c r="J19" s="441">
        <v>1307</v>
      </c>
      <c r="K19" s="443">
        <v>0.15</v>
      </c>
      <c r="L19" s="440">
        <v>8500</v>
      </c>
      <c r="M19" s="441">
        <v>6800</v>
      </c>
      <c r="N19" s="441">
        <v>40800</v>
      </c>
      <c r="O19" s="442">
        <v>6</v>
      </c>
      <c r="P19" s="449">
        <v>1700</v>
      </c>
      <c r="Q19" s="443">
        <v>0.2</v>
      </c>
      <c r="R19" s="441">
        <v>6850</v>
      </c>
      <c r="S19" s="449">
        <v>5129</v>
      </c>
      <c r="T19" s="606">
        <v>0.75</v>
      </c>
      <c r="U19" s="441">
        <v>30071</v>
      </c>
      <c r="V19" s="606">
        <v>0.74</v>
      </c>
      <c r="W19" s="442">
        <v>5.9</v>
      </c>
      <c r="X19" s="441">
        <v>1721</v>
      </c>
      <c r="Y19" s="443">
        <v>0.25</v>
      </c>
      <c r="Z19" s="441">
        <v>35904</v>
      </c>
      <c r="AA19" s="441">
        <v>26462</v>
      </c>
      <c r="AB19" s="441">
        <v>33800</v>
      </c>
      <c r="AC19" s="441">
        <v>27379</v>
      </c>
      <c r="AD19" s="443">
        <v>0.89</v>
      </c>
      <c r="AE19" s="441">
        <v>0</v>
      </c>
      <c r="AF19" s="444"/>
      <c r="AG19" s="446"/>
      <c r="AH19" s="552"/>
      <c r="AI19" s="440">
        <v>0</v>
      </c>
      <c r="AJ19" s="440">
        <v>2535306</v>
      </c>
      <c r="AK19" s="440">
        <v>79</v>
      </c>
    </row>
    <row r="20" spans="1:37">
      <c r="A20" s="454">
        <v>44395</v>
      </c>
      <c r="B20" s="455" t="s">
        <v>37</v>
      </c>
      <c r="C20" s="456">
        <v>0</v>
      </c>
      <c r="D20" s="456">
        <v>26249</v>
      </c>
      <c r="E20" s="456">
        <v>25880</v>
      </c>
      <c r="F20" s="456">
        <v>369</v>
      </c>
      <c r="G20" s="456">
        <v>22312</v>
      </c>
      <c r="H20" s="456">
        <v>89247</v>
      </c>
      <c r="I20" s="441">
        <v>4</v>
      </c>
      <c r="J20" s="441">
        <v>3937</v>
      </c>
      <c r="K20" s="443">
        <v>0.15</v>
      </c>
      <c r="L20" s="456">
        <v>26244</v>
      </c>
      <c r="M20" s="456">
        <v>20995</v>
      </c>
      <c r="N20" s="456">
        <v>94478</v>
      </c>
      <c r="O20" s="457">
        <v>4.5</v>
      </c>
      <c r="P20" s="441">
        <v>5249</v>
      </c>
      <c r="Q20" s="443">
        <v>0.2</v>
      </c>
      <c r="R20" s="456">
        <v>28936</v>
      </c>
      <c r="S20" s="456">
        <v>21988</v>
      </c>
      <c r="T20" s="443">
        <v>1.05</v>
      </c>
      <c r="U20" s="456">
        <v>109436</v>
      </c>
      <c r="V20" s="443">
        <v>1.1599999999999999</v>
      </c>
      <c r="W20" s="457">
        <v>5</v>
      </c>
      <c r="X20" s="441">
        <v>6948</v>
      </c>
      <c r="Y20" s="443">
        <v>0.24</v>
      </c>
      <c r="Z20" s="456">
        <v>83141</v>
      </c>
      <c r="AA20" s="456">
        <v>96304</v>
      </c>
      <c r="AB20" s="456">
        <v>35360</v>
      </c>
      <c r="AC20" s="456">
        <v>34446</v>
      </c>
      <c r="AD20" s="608">
        <v>3.09</v>
      </c>
      <c r="AE20" s="456">
        <v>61858</v>
      </c>
      <c r="AF20" s="444"/>
      <c r="AG20" s="446"/>
      <c r="AH20" s="466" t="s">
        <v>382</v>
      </c>
      <c r="AI20" s="440">
        <v>0</v>
      </c>
      <c r="AJ20" s="440">
        <v>2453287</v>
      </c>
      <c r="AK20" s="440">
        <v>85</v>
      </c>
    </row>
    <row r="21" spans="1:37">
      <c r="A21" s="483">
        <v>44396</v>
      </c>
      <c r="B21" s="466" t="s">
        <v>41</v>
      </c>
      <c r="C21" s="440">
        <v>22000</v>
      </c>
      <c r="D21" s="462">
        <v>9303</v>
      </c>
      <c r="E21" s="462">
        <v>9176</v>
      </c>
      <c r="F21" s="462">
        <v>127</v>
      </c>
      <c r="G21" s="462">
        <v>7908</v>
      </c>
      <c r="H21" s="441">
        <v>31630</v>
      </c>
      <c r="I21" s="441">
        <v>4</v>
      </c>
      <c r="J21" s="441">
        <v>1395</v>
      </c>
      <c r="K21" s="443">
        <v>0.15</v>
      </c>
      <c r="L21" s="462">
        <v>9178</v>
      </c>
      <c r="M21" s="441">
        <v>7526</v>
      </c>
      <c r="N21" s="441">
        <v>37630</v>
      </c>
      <c r="O21" s="442">
        <v>5</v>
      </c>
      <c r="P21" s="449">
        <v>1652</v>
      </c>
      <c r="Q21" s="443">
        <v>0.18</v>
      </c>
      <c r="R21" s="441">
        <v>7800</v>
      </c>
      <c r="S21" s="441">
        <v>6161</v>
      </c>
      <c r="T21" s="443">
        <v>0.82</v>
      </c>
      <c r="U21" s="441">
        <v>32113</v>
      </c>
      <c r="V21" s="443">
        <v>0.85</v>
      </c>
      <c r="W21" s="442">
        <v>5.2</v>
      </c>
      <c r="X21" s="441">
        <v>1639</v>
      </c>
      <c r="Y21" s="443">
        <v>0.21</v>
      </c>
      <c r="Z21" s="440">
        <v>33114</v>
      </c>
      <c r="AA21" s="440">
        <v>28259</v>
      </c>
      <c r="AB21" s="440">
        <v>35360</v>
      </c>
      <c r="AC21" s="440">
        <v>35693</v>
      </c>
      <c r="AD21" s="453">
        <v>0.91</v>
      </c>
      <c r="AE21" s="440">
        <v>54424</v>
      </c>
      <c r="AF21" s="466" t="s">
        <v>541</v>
      </c>
      <c r="AG21" s="439" t="s">
        <v>542</v>
      </c>
      <c r="AH21" s="552"/>
      <c r="AI21" s="440">
        <v>1000</v>
      </c>
      <c r="AJ21" s="440">
        <v>2444648</v>
      </c>
      <c r="AK21" s="440">
        <v>84</v>
      </c>
    </row>
    <row r="22" spans="1:37">
      <c r="A22" s="483">
        <v>44397</v>
      </c>
      <c r="B22" s="466" t="s">
        <v>46</v>
      </c>
      <c r="C22" s="440">
        <v>45000</v>
      </c>
      <c r="D22" s="462">
        <v>8767</v>
      </c>
      <c r="E22" s="462">
        <v>8647</v>
      </c>
      <c r="F22" s="462">
        <v>120</v>
      </c>
      <c r="G22" s="462">
        <v>7452</v>
      </c>
      <c r="H22" s="441">
        <v>29808</v>
      </c>
      <c r="I22" s="441">
        <v>4</v>
      </c>
      <c r="J22" s="441">
        <v>1315</v>
      </c>
      <c r="K22" s="443">
        <v>0.15</v>
      </c>
      <c r="L22" s="462">
        <v>8686</v>
      </c>
      <c r="M22" s="441">
        <v>7123</v>
      </c>
      <c r="N22" s="441">
        <v>35613</v>
      </c>
      <c r="O22" s="442">
        <v>5</v>
      </c>
      <c r="P22" s="449">
        <v>1563</v>
      </c>
      <c r="Q22" s="443">
        <v>0.18</v>
      </c>
      <c r="R22" s="441">
        <v>6450</v>
      </c>
      <c r="S22" s="449">
        <v>5021</v>
      </c>
      <c r="T22" s="606">
        <v>0.7</v>
      </c>
      <c r="U22" s="441">
        <v>27759</v>
      </c>
      <c r="V22" s="606">
        <v>0.78</v>
      </c>
      <c r="W22" s="442">
        <v>5.5</v>
      </c>
      <c r="X22" s="441">
        <v>1429</v>
      </c>
      <c r="Y22" s="443">
        <v>0.22</v>
      </c>
      <c r="Z22" s="440">
        <v>31339</v>
      </c>
      <c r="AA22" s="440">
        <v>24428</v>
      </c>
      <c r="AB22" s="440">
        <v>35360</v>
      </c>
      <c r="AC22" s="440">
        <v>35753</v>
      </c>
      <c r="AD22" s="609">
        <v>0.79</v>
      </c>
      <c r="AE22" s="440">
        <v>43099</v>
      </c>
      <c r="AF22" s="466" t="s">
        <v>541</v>
      </c>
      <c r="AG22" s="439" t="s">
        <v>542</v>
      </c>
      <c r="AH22" s="552"/>
      <c r="AI22" s="440">
        <v>1000</v>
      </c>
      <c r="AJ22" s="440">
        <v>2460662</v>
      </c>
      <c r="AK22" s="440">
        <v>83</v>
      </c>
    </row>
    <row r="23" spans="1:37">
      <c r="A23" s="483">
        <v>44398</v>
      </c>
      <c r="B23" s="466" t="s">
        <v>49</v>
      </c>
      <c r="C23" s="440">
        <v>45000</v>
      </c>
      <c r="D23" s="462">
        <v>12542</v>
      </c>
      <c r="E23" s="462">
        <v>9411</v>
      </c>
      <c r="F23" s="462">
        <v>3131</v>
      </c>
      <c r="G23" s="462">
        <v>10661</v>
      </c>
      <c r="H23" s="441">
        <v>42643</v>
      </c>
      <c r="I23" s="441">
        <v>4</v>
      </c>
      <c r="J23" s="441">
        <v>1881</v>
      </c>
      <c r="K23" s="443">
        <v>0.15</v>
      </c>
      <c r="L23" s="462">
        <v>12384</v>
      </c>
      <c r="M23" s="441">
        <v>10403</v>
      </c>
      <c r="N23" s="441">
        <v>52013</v>
      </c>
      <c r="O23" s="442">
        <v>5</v>
      </c>
      <c r="P23" s="449">
        <v>1981</v>
      </c>
      <c r="Q23" s="443">
        <v>0.16</v>
      </c>
      <c r="R23" s="441">
        <v>10751</v>
      </c>
      <c r="S23" s="449">
        <v>9078</v>
      </c>
      <c r="T23" s="443">
        <v>0.87</v>
      </c>
      <c r="U23" s="441">
        <v>36732</v>
      </c>
      <c r="V23" s="606">
        <v>0.71</v>
      </c>
      <c r="W23" s="442">
        <v>4</v>
      </c>
      <c r="X23" s="441">
        <v>1673</v>
      </c>
      <c r="Y23" s="443">
        <v>0.16</v>
      </c>
      <c r="Z23" s="440">
        <v>45771</v>
      </c>
      <c r="AA23" s="440">
        <v>32324</v>
      </c>
      <c r="AB23" s="440">
        <v>35360</v>
      </c>
      <c r="AC23" s="440">
        <v>36871</v>
      </c>
      <c r="AD23" s="453">
        <v>1.04</v>
      </c>
      <c r="AE23" s="440">
        <v>38552</v>
      </c>
      <c r="AF23" s="466" t="s">
        <v>541</v>
      </c>
      <c r="AG23" s="610" t="s">
        <v>543</v>
      </c>
      <c r="AH23" s="552"/>
      <c r="AI23" s="440">
        <v>1000</v>
      </c>
      <c r="AJ23" s="440">
        <v>2465025</v>
      </c>
      <c r="AK23" s="440">
        <v>80</v>
      </c>
    </row>
    <row r="24" spans="1:37">
      <c r="A24" s="483">
        <v>44399</v>
      </c>
      <c r="B24" s="466" t="s">
        <v>51</v>
      </c>
      <c r="C24" s="440">
        <v>45000</v>
      </c>
      <c r="D24" s="441">
        <v>12014</v>
      </c>
      <c r="E24" s="441">
        <v>6918</v>
      </c>
      <c r="F24" s="441">
        <v>5096</v>
      </c>
      <c r="G24" s="441">
        <v>10212</v>
      </c>
      <c r="H24" s="441">
        <v>40848</v>
      </c>
      <c r="I24" s="441">
        <v>4</v>
      </c>
      <c r="J24" s="441">
        <v>1802</v>
      </c>
      <c r="K24" s="443">
        <v>0.15</v>
      </c>
      <c r="L24" s="441">
        <v>11902</v>
      </c>
      <c r="M24" s="441">
        <v>9998</v>
      </c>
      <c r="N24" s="441">
        <v>49988</v>
      </c>
      <c r="O24" s="442">
        <v>5</v>
      </c>
      <c r="P24" s="449">
        <v>1904</v>
      </c>
      <c r="Q24" s="443">
        <v>0.16</v>
      </c>
      <c r="R24" s="441">
        <v>9733</v>
      </c>
      <c r="S24" s="449">
        <v>8104</v>
      </c>
      <c r="T24" s="443">
        <v>0.81</v>
      </c>
      <c r="U24" s="441">
        <v>30901</v>
      </c>
      <c r="V24" s="606">
        <v>0.62</v>
      </c>
      <c r="W24" s="442">
        <v>3.8</v>
      </c>
      <c r="X24" s="441">
        <v>1629</v>
      </c>
      <c r="Y24" s="443">
        <v>0.17</v>
      </c>
      <c r="Z24" s="469">
        <v>43990</v>
      </c>
      <c r="AA24" s="469">
        <v>27193</v>
      </c>
      <c r="AB24" s="469">
        <v>33800</v>
      </c>
      <c r="AC24" s="468">
        <v>39462</v>
      </c>
      <c r="AD24" s="611">
        <v>0.91</v>
      </c>
      <c r="AE24" s="468">
        <v>26283</v>
      </c>
      <c r="AF24" s="471"/>
      <c r="AG24" s="610" t="s">
        <v>543</v>
      </c>
      <c r="AH24" s="552"/>
      <c r="AI24" s="440">
        <v>1000</v>
      </c>
      <c r="AJ24" s="440">
        <v>2471018</v>
      </c>
      <c r="AK24" s="440">
        <v>79</v>
      </c>
    </row>
    <row r="25" spans="1:37">
      <c r="A25" s="483">
        <v>44400</v>
      </c>
      <c r="B25" s="466" t="s">
        <v>29</v>
      </c>
      <c r="C25" s="440">
        <v>45000</v>
      </c>
      <c r="D25" s="440">
        <v>7072</v>
      </c>
      <c r="E25" s="440">
        <v>6973</v>
      </c>
      <c r="F25" s="440">
        <v>99</v>
      </c>
      <c r="G25" s="440">
        <v>6011</v>
      </c>
      <c r="H25" s="441">
        <v>24045</v>
      </c>
      <c r="I25" s="441">
        <v>4</v>
      </c>
      <c r="J25" s="441">
        <v>1061</v>
      </c>
      <c r="K25" s="443">
        <v>0.15</v>
      </c>
      <c r="L25" s="440">
        <v>6953</v>
      </c>
      <c r="M25" s="441">
        <v>5562</v>
      </c>
      <c r="N25" s="441">
        <v>33374</v>
      </c>
      <c r="O25" s="442">
        <v>6</v>
      </c>
      <c r="P25" s="449">
        <v>1391</v>
      </c>
      <c r="Q25" s="443">
        <v>0.2</v>
      </c>
      <c r="R25" s="441">
        <v>6262</v>
      </c>
      <c r="S25" s="449">
        <v>4459</v>
      </c>
      <c r="T25" s="443">
        <v>0.8</v>
      </c>
      <c r="U25" s="441">
        <v>25536</v>
      </c>
      <c r="V25" s="606">
        <v>0.77</v>
      </c>
      <c r="W25" s="442">
        <v>5.7</v>
      </c>
      <c r="X25" s="441">
        <v>1803</v>
      </c>
      <c r="Y25" s="443">
        <v>0.28999999999999998</v>
      </c>
      <c r="Z25" s="469">
        <v>29369</v>
      </c>
      <c r="AA25" s="469">
        <v>22472</v>
      </c>
      <c r="AB25" s="469">
        <v>33800</v>
      </c>
      <c r="AC25" s="468">
        <v>39361</v>
      </c>
      <c r="AD25" s="612">
        <v>0.76</v>
      </c>
      <c r="AE25" s="468">
        <v>9394</v>
      </c>
      <c r="AF25" s="471"/>
      <c r="AG25" s="613" t="s">
        <v>544</v>
      </c>
      <c r="AH25" s="552"/>
      <c r="AI25" s="440">
        <v>1000</v>
      </c>
      <c r="AJ25" s="440">
        <v>2492572</v>
      </c>
      <c r="AK25" s="440">
        <v>80</v>
      </c>
    </row>
    <row r="26" spans="1:37">
      <c r="A26" s="483">
        <v>44401</v>
      </c>
      <c r="B26" s="466" t="s">
        <v>33</v>
      </c>
      <c r="C26" s="440">
        <v>36000</v>
      </c>
      <c r="D26" s="440">
        <v>8214</v>
      </c>
      <c r="E26" s="440">
        <v>8099</v>
      </c>
      <c r="F26" s="440">
        <v>115</v>
      </c>
      <c r="G26" s="440">
        <v>6982</v>
      </c>
      <c r="H26" s="441">
        <v>27928</v>
      </c>
      <c r="I26" s="441">
        <v>4</v>
      </c>
      <c r="J26" s="441">
        <v>1232</v>
      </c>
      <c r="K26" s="443">
        <v>0.15</v>
      </c>
      <c r="L26" s="440">
        <v>8100</v>
      </c>
      <c r="M26" s="441">
        <v>6480</v>
      </c>
      <c r="N26" s="441">
        <v>38880</v>
      </c>
      <c r="O26" s="442">
        <v>6</v>
      </c>
      <c r="P26" s="449">
        <v>1620</v>
      </c>
      <c r="Q26" s="443">
        <v>0.2</v>
      </c>
      <c r="R26" s="441">
        <v>7096</v>
      </c>
      <c r="S26" s="449">
        <v>5187</v>
      </c>
      <c r="T26" s="443">
        <v>0.8</v>
      </c>
      <c r="U26" s="441">
        <v>28863</v>
      </c>
      <c r="V26" s="606">
        <v>0.74</v>
      </c>
      <c r="W26" s="442">
        <v>5.6</v>
      </c>
      <c r="X26" s="441">
        <v>1909</v>
      </c>
      <c r="Y26" s="443">
        <v>0.27</v>
      </c>
      <c r="Z26" s="469">
        <v>34214</v>
      </c>
      <c r="AA26" s="469">
        <v>25399</v>
      </c>
      <c r="AB26" s="469">
        <v>33800</v>
      </c>
      <c r="AC26" s="468">
        <v>38047</v>
      </c>
      <c r="AD26" s="611">
        <v>0.85</v>
      </c>
      <c r="AE26" s="468">
        <v>0</v>
      </c>
      <c r="AF26" s="471"/>
      <c r="AG26" s="613" t="s">
        <v>544</v>
      </c>
      <c r="AH26" s="552"/>
      <c r="AI26" s="440">
        <v>0</v>
      </c>
      <c r="AJ26" s="440">
        <v>2501602</v>
      </c>
      <c r="AK26" s="440">
        <v>80</v>
      </c>
    </row>
    <row r="27" spans="1:37">
      <c r="A27" s="454">
        <v>44402</v>
      </c>
      <c r="B27" s="455" t="s">
        <v>37</v>
      </c>
      <c r="C27" s="456">
        <v>0</v>
      </c>
      <c r="D27" s="456">
        <v>15066</v>
      </c>
      <c r="E27" s="456">
        <v>14960</v>
      </c>
      <c r="F27" s="456">
        <v>106</v>
      </c>
      <c r="G27" s="456">
        <v>12806</v>
      </c>
      <c r="H27" s="456">
        <v>51224</v>
      </c>
      <c r="I27" s="441">
        <v>4</v>
      </c>
      <c r="J27" s="441">
        <v>2260</v>
      </c>
      <c r="K27" s="443">
        <v>0.15</v>
      </c>
      <c r="L27" s="456">
        <v>15459</v>
      </c>
      <c r="M27" s="456">
        <v>12367</v>
      </c>
      <c r="N27" s="456">
        <v>55652</v>
      </c>
      <c r="O27" s="457">
        <v>4.5</v>
      </c>
      <c r="P27" s="441">
        <v>3092</v>
      </c>
      <c r="Q27" s="443">
        <v>0.2</v>
      </c>
      <c r="R27" s="456">
        <v>15566</v>
      </c>
      <c r="S27" s="456">
        <v>11993</v>
      </c>
      <c r="T27" s="443">
        <v>0.97</v>
      </c>
      <c r="U27" s="456">
        <v>58034</v>
      </c>
      <c r="V27" s="443">
        <v>1.04</v>
      </c>
      <c r="W27" s="457">
        <v>4.8</v>
      </c>
      <c r="X27" s="441">
        <v>3573</v>
      </c>
      <c r="Y27" s="443">
        <v>0.23</v>
      </c>
      <c r="Z27" s="440">
        <v>48974</v>
      </c>
      <c r="AA27" s="440">
        <v>51070</v>
      </c>
      <c r="AB27" s="440">
        <v>35360</v>
      </c>
      <c r="AC27" s="440">
        <v>33721</v>
      </c>
      <c r="AD27" s="609">
        <v>1.64</v>
      </c>
      <c r="AE27" s="440">
        <v>17349</v>
      </c>
      <c r="AF27" s="445"/>
      <c r="AG27" s="613" t="s">
        <v>544</v>
      </c>
      <c r="AH27" s="466" t="s">
        <v>386</v>
      </c>
      <c r="AI27" s="440">
        <v>0</v>
      </c>
      <c r="AJ27" s="440">
        <v>2476734</v>
      </c>
      <c r="AK27" s="440">
        <v>79</v>
      </c>
    </row>
    <row r="28" spans="1:37">
      <c r="A28" s="483">
        <v>44403</v>
      </c>
      <c r="B28" s="466" t="s">
        <v>41</v>
      </c>
      <c r="C28" s="440">
        <v>45000</v>
      </c>
      <c r="D28" s="441">
        <v>9400</v>
      </c>
      <c r="E28" s="441">
        <v>9271</v>
      </c>
      <c r="F28" s="441">
        <v>129</v>
      </c>
      <c r="G28" s="441">
        <v>7990</v>
      </c>
      <c r="H28" s="441">
        <v>31960</v>
      </c>
      <c r="I28" s="441">
        <v>4</v>
      </c>
      <c r="J28" s="441">
        <v>1410</v>
      </c>
      <c r="K28" s="443">
        <v>0.15</v>
      </c>
      <c r="L28" s="441">
        <v>9276</v>
      </c>
      <c r="M28" s="441">
        <v>7606</v>
      </c>
      <c r="N28" s="441">
        <v>38032</v>
      </c>
      <c r="O28" s="442">
        <v>5</v>
      </c>
      <c r="P28" s="449">
        <v>1670</v>
      </c>
      <c r="Q28" s="443">
        <v>0.18</v>
      </c>
      <c r="R28" s="441">
        <v>6939</v>
      </c>
      <c r="S28" s="441">
        <v>5217</v>
      </c>
      <c r="T28" s="606">
        <v>0.69</v>
      </c>
      <c r="U28" s="441">
        <v>29366</v>
      </c>
      <c r="V28" s="606">
        <v>0.77</v>
      </c>
      <c r="W28" s="442">
        <v>5.6</v>
      </c>
      <c r="X28" s="441">
        <v>1722</v>
      </c>
      <c r="Y28" s="443">
        <v>0.25</v>
      </c>
      <c r="Z28" s="440">
        <v>33468</v>
      </c>
      <c r="AA28" s="440">
        <v>25842</v>
      </c>
      <c r="AB28" s="440">
        <v>35360</v>
      </c>
      <c r="AC28" s="614"/>
      <c r="AD28" s="453">
        <v>0.83</v>
      </c>
      <c r="AE28" s="472"/>
      <c r="AF28" s="466" t="s">
        <v>545</v>
      </c>
      <c r="AG28" s="451" t="s">
        <v>546</v>
      </c>
      <c r="AH28" s="552"/>
      <c r="AI28" s="440">
        <v>1000</v>
      </c>
      <c r="AJ28" s="440">
        <v>2490795</v>
      </c>
      <c r="AK28" s="440">
        <v>79</v>
      </c>
    </row>
    <row r="29" spans="1:37">
      <c r="A29" s="483">
        <v>44404</v>
      </c>
      <c r="B29" s="451" t="s">
        <v>46</v>
      </c>
      <c r="C29" s="440">
        <v>45000</v>
      </c>
      <c r="D29" s="441">
        <v>8806</v>
      </c>
      <c r="E29" s="441">
        <v>8685</v>
      </c>
      <c r="F29" s="441">
        <v>121</v>
      </c>
      <c r="G29" s="441">
        <v>7485</v>
      </c>
      <c r="H29" s="441">
        <v>29940</v>
      </c>
      <c r="I29" s="441">
        <v>4</v>
      </c>
      <c r="J29" s="441">
        <v>1321</v>
      </c>
      <c r="K29" s="443">
        <v>0.15</v>
      </c>
      <c r="L29" s="441">
        <v>8726</v>
      </c>
      <c r="M29" s="441">
        <v>7155</v>
      </c>
      <c r="N29" s="441">
        <v>35777</v>
      </c>
      <c r="O29" s="442">
        <v>5</v>
      </c>
      <c r="P29" s="449">
        <v>1571</v>
      </c>
      <c r="Q29" s="443">
        <v>0.18</v>
      </c>
      <c r="R29" s="441">
        <v>6394</v>
      </c>
      <c r="S29" s="449">
        <v>5079</v>
      </c>
      <c r="T29" s="606">
        <v>0.71</v>
      </c>
      <c r="U29" s="441">
        <v>28234</v>
      </c>
      <c r="V29" s="606">
        <v>0.79</v>
      </c>
      <c r="W29" s="442">
        <v>5.6</v>
      </c>
      <c r="X29" s="441">
        <v>1315</v>
      </c>
      <c r="Y29" s="443">
        <v>0.21</v>
      </c>
      <c r="Z29" s="440">
        <v>31483</v>
      </c>
      <c r="AA29" s="440">
        <v>24846</v>
      </c>
      <c r="AB29" s="440">
        <v>35360</v>
      </c>
      <c r="AC29" s="614"/>
      <c r="AD29" s="609">
        <v>0.8</v>
      </c>
      <c r="AE29" s="472"/>
      <c r="AF29" s="466" t="s">
        <v>545</v>
      </c>
      <c r="AG29" s="466" t="s">
        <v>546</v>
      </c>
      <c r="AH29" s="445"/>
      <c r="AI29" s="440">
        <v>1000</v>
      </c>
      <c r="AJ29" s="450">
        <v>2506689</v>
      </c>
      <c r="AK29" s="450">
        <v>79</v>
      </c>
    </row>
    <row r="30" spans="1:37">
      <c r="A30" s="483">
        <v>44405</v>
      </c>
      <c r="B30" s="466" t="s">
        <v>49</v>
      </c>
      <c r="C30" s="440">
        <v>45000</v>
      </c>
      <c r="D30" s="441">
        <v>10260</v>
      </c>
      <c r="E30" s="441">
        <v>9380</v>
      </c>
      <c r="F30" s="441">
        <v>880</v>
      </c>
      <c r="G30" s="441">
        <v>8721</v>
      </c>
      <c r="H30" s="441">
        <v>34884</v>
      </c>
      <c r="I30" s="441">
        <v>4</v>
      </c>
      <c r="J30" s="441">
        <v>1539</v>
      </c>
      <c r="K30" s="443">
        <v>0.15</v>
      </c>
      <c r="L30" s="441">
        <v>10103</v>
      </c>
      <c r="M30" s="441">
        <v>8284</v>
      </c>
      <c r="N30" s="441">
        <v>41422</v>
      </c>
      <c r="O30" s="442">
        <v>5</v>
      </c>
      <c r="P30" s="449">
        <v>1819</v>
      </c>
      <c r="Q30" s="443">
        <v>0.18</v>
      </c>
      <c r="R30" s="441">
        <v>7945</v>
      </c>
      <c r="S30" s="449">
        <v>6146</v>
      </c>
      <c r="T30" s="606">
        <v>0.74</v>
      </c>
      <c r="U30" s="441">
        <v>32851</v>
      </c>
      <c r="V30" s="606">
        <v>0.79</v>
      </c>
      <c r="W30" s="442">
        <v>5.3</v>
      </c>
      <c r="X30" s="441">
        <v>1799</v>
      </c>
      <c r="Y30" s="443">
        <v>0.23</v>
      </c>
      <c r="Z30" s="440">
        <v>36452</v>
      </c>
      <c r="AA30" s="440">
        <v>28909</v>
      </c>
      <c r="AB30" s="440">
        <v>35360</v>
      </c>
      <c r="AC30" s="614"/>
      <c r="AD30" s="453">
        <v>0.93</v>
      </c>
      <c r="AE30" s="472"/>
      <c r="AF30" s="466" t="s">
        <v>545</v>
      </c>
      <c r="AG30" s="610" t="s">
        <v>547</v>
      </c>
      <c r="AH30" s="552"/>
      <c r="AI30" s="440">
        <v>1000</v>
      </c>
      <c r="AJ30" s="440">
        <v>2518095</v>
      </c>
      <c r="AK30" s="440">
        <v>79</v>
      </c>
    </row>
    <row r="31" spans="1:37">
      <c r="A31" s="483">
        <v>44406</v>
      </c>
      <c r="B31" s="466" t="s">
        <v>51</v>
      </c>
      <c r="C31" s="440">
        <v>45000</v>
      </c>
      <c r="D31" s="441">
        <v>7764</v>
      </c>
      <c r="E31" s="441">
        <v>6918</v>
      </c>
      <c r="F31" s="441">
        <v>846</v>
      </c>
      <c r="G31" s="441">
        <v>6599</v>
      </c>
      <c r="H31" s="441">
        <v>26398</v>
      </c>
      <c r="I31" s="441">
        <v>4</v>
      </c>
      <c r="J31" s="441">
        <v>1165</v>
      </c>
      <c r="K31" s="443">
        <v>0.15</v>
      </c>
      <c r="L31" s="441">
        <v>7652</v>
      </c>
      <c r="M31" s="441">
        <v>6122</v>
      </c>
      <c r="N31" s="441">
        <v>36730</v>
      </c>
      <c r="O31" s="442">
        <v>6</v>
      </c>
      <c r="P31" s="449">
        <v>1530</v>
      </c>
      <c r="Q31" s="443">
        <v>0.2</v>
      </c>
      <c r="R31" s="441">
        <v>7366</v>
      </c>
      <c r="S31" s="449">
        <v>5917</v>
      </c>
      <c r="T31" s="443">
        <v>0.97</v>
      </c>
      <c r="U31" s="441">
        <v>27825</v>
      </c>
      <c r="V31" s="606">
        <v>0.76</v>
      </c>
      <c r="W31" s="442">
        <v>4.7</v>
      </c>
      <c r="X31" s="441">
        <v>1449</v>
      </c>
      <c r="Y31" s="443">
        <v>0.2</v>
      </c>
      <c r="Z31" s="440">
        <v>32322</v>
      </c>
      <c r="AA31" s="440">
        <v>24486</v>
      </c>
      <c r="AB31" s="440">
        <v>33800</v>
      </c>
      <c r="AC31" s="614"/>
      <c r="AD31" s="453">
        <v>0.82</v>
      </c>
      <c r="AE31" s="472"/>
      <c r="AF31" s="552"/>
      <c r="AG31" s="610" t="s">
        <v>547</v>
      </c>
      <c r="AH31" s="552"/>
      <c r="AI31" s="440">
        <v>1000</v>
      </c>
      <c r="AJ31" s="440">
        <v>2537206</v>
      </c>
      <c r="AK31" s="440">
        <v>80</v>
      </c>
    </row>
    <row r="32" spans="1:37">
      <c r="A32" s="483">
        <v>44407</v>
      </c>
      <c r="B32" s="466" t="s">
        <v>29</v>
      </c>
      <c r="C32" s="440">
        <v>45000</v>
      </c>
      <c r="D32" s="441">
        <v>7272</v>
      </c>
      <c r="E32" s="441">
        <v>7173</v>
      </c>
      <c r="F32" s="441">
        <v>99</v>
      </c>
      <c r="G32" s="441">
        <v>6181</v>
      </c>
      <c r="H32" s="441">
        <v>24725</v>
      </c>
      <c r="I32" s="441">
        <v>4</v>
      </c>
      <c r="J32" s="441">
        <v>1091</v>
      </c>
      <c r="K32" s="443">
        <v>0.15</v>
      </c>
      <c r="L32" s="441">
        <v>7153</v>
      </c>
      <c r="M32" s="441">
        <v>5722</v>
      </c>
      <c r="N32" s="441">
        <v>34334</v>
      </c>
      <c r="O32" s="442">
        <v>6</v>
      </c>
      <c r="P32" s="449">
        <v>1431</v>
      </c>
      <c r="Q32" s="443">
        <v>0.2</v>
      </c>
      <c r="R32" s="441">
        <v>5476</v>
      </c>
      <c r="S32" s="449">
        <v>4275</v>
      </c>
      <c r="T32" s="606">
        <v>0.75</v>
      </c>
      <c r="U32" s="441">
        <v>22606</v>
      </c>
      <c r="V32" s="606">
        <v>0.66</v>
      </c>
      <c r="W32" s="442">
        <v>5.3</v>
      </c>
      <c r="X32" s="441">
        <v>1201</v>
      </c>
      <c r="Y32" s="443">
        <v>0.22</v>
      </c>
      <c r="Z32" s="440">
        <v>30214</v>
      </c>
      <c r="AA32" s="440">
        <v>19893</v>
      </c>
      <c r="AB32" s="440">
        <v>33800</v>
      </c>
      <c r="AC32" s="614"/>
      <c r="AD32" s="609">
        <v>0.67</v>
      </c>
      <c r="AE32" s="472"/>
      <c r="AF32" s="552"/>
      <c r="AG32" s="613" t="s">
        <v>548</v>
      </c>
      <c r="AH32" s="552"/>
      <c r="AI32" s="440">
        <v>1000</v>
      </c>
      <c r="AJ32" s="440">
        <v>2557835</v>
      </c>
      <c r="AK32" s="440">
        <v>80</v>
      </c>
    </row>
    <row r="33" spans="1:37">
      <c r="A33" s="483">
        <v>44408</v>
      </c>
      <c r="B33" s="466" t="s">
        <v>33</v>
      </c>
      <c r="C33" s="440">
        <v>36000</v>
      </c>
      <c r="D33" s="441">
        <v>8414</v>
      </c>
      <c r="E33" s="441">
        <v>8299</v>
      </c>
      <c r="F33" s="441">
        <v>115</v>
      </c>
      <c r="G33" s="441">
        <v>7152</v>
      </c>
      <c r="H33" s="441">
        <v>28608</v>
      </c>
      <c r="I33" s="441">
        <v>4</v>
      </c>
      <c r="J33" s="441">
        <v>1262</v>
      </c>
      <c r="K33" s="443">
        <v>0.15</v>
      </c>
      <c r="L33" s="441">
        <v>8300</v>
      </c>
      <c r="M33" s="441">
        <v>6640</v>
      </c>
      <c r="N33" s="441">
        <v>39840</v>
      </c>
      <c r="O33" s="442">
        <v>6</v>
      </c>
      <c r="P33" s="441">
        <v>1660</v>
      </c>
      <c r="Q33" s="443">
        <v>0.2</v>
      </c>
      <c r="R33" s="441">
        <v>6127</v>
      </c>
      <c r="S33" s="441">
        <v>4701</v>
      </c>
      <c r="T33" s="606">
        <v>0.71</v>
      </c>
      <c r="U33" s="441">
        <v>26992</v>
      </c>
      <c r="V33" s="606">
        <v>0.68</v>
      </c>
      <c r="W33" s="442">
        <v>5.7</v>
      </c>
      <c r="X33" s="441">
        <v>1426</v>
      </c>
      <c r="Y33" s="443">
        <v>0.23</v>
      </c>
      <c r="Z33" s="440">
        <v>35059</v>
      </c>
      <c r="AA33" s="440">
        <v>23753</v>
      </c>
      <c r="AB33" s="440">
        <v>33800</v>
      </c>
      <c r="AC33" s="615"/>
      <c r="AD33" s="609">
        <v>0.8</v>
      </c>
      <c r="AE33" s="472"/>
      <c r="AF33" s="445"/>
      <c r="AG33" s="613" t="s">
        <v>548</v>
      </c>
      <c r="AH33" s="552"/>
      <c r="AI33" s="440">
        <v>0</v>
      </c>
      <c r="AJ33" s="440">
        <v>2565939</v>
      </c>
      <c r="AK33" s="440">
        <v>80</v>
      </c>
    </row>
  </sheetData>
  <phoneticPr fontId="6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AP1007"/>
  <sheetViews>
    <sheetView workbookViewId="0"/>
  </sheetViews>
  <sheetFormatPr baseColWidth="10" defaultColWidth="12.6640625" defaultRowHeight="15.75" customHeight="1"/>
  <cols>
    <col min="1" max="2" width="7" customWidth="1"/>
    <col min="3" max="8" width="7.6640625" customWidth="1"/>
    <col min="9" max="9" width="14.5" customWidth="1"/>
    <col min="10" max="10" width="26" customWidth="1"/>
    <col min="11" max="11" width="6.6640625" customWidth="1"/>
    <col min="12" max="12" width="4.6640625" customWidth="1"/>
    <col min="13" max="13" width="7.33203125" hidden="1" customWidth="1"/>
    <col min="14" max="14" width="24.33203125" hidden="1" customWidth="1"/>
    <col min="15" max="15" width="12.6640625" hidden="1"/>
    <col min="16" max="16" width="9" hidden="1" customWidth="1"/>
    <col min="17" max="17" width="5.1640625" hidden="1" customWidth="1"/>
    <col min="18" max="19" width="4.6640625" hidden="1" customWidth="1"/>
    <col min="20" max="21" width="7.6640625" hidden="1" customWidth="1"/>
    <col min="22" max="22" width="12.6640625" hidden="1"/>
    <col min="23" max="23" width="16.33203125" hidden="1" customWidth="1"/>
    <col min="24" max="24" width="9.1640625" hidden="1" customWidth="1"/>
    <col min="25" max="25" width="25.5" hidden="1" customWidth="1"/>
    <col min="26" max="26" width="3.83203125" customWidth="1"/>
    <col min="27" max="28" width="7.33203125" customWidth="1"/>
    <col min="29" max="29" width="24.33203125" customWidth="1"/>
    <col min="31" max="31" width="9" customWidth="1"/>
    <col min="32" max="32" width="5.1640625" customWidth="1"/>
    <col min="33" max="34" width="4.6640625" customWidth="1"/>
    <col min="35" max="36" width="7.6640625" customWidth="1"/>
    <col min="38" max="38" width="16.33203125" customWidth="1"/>
    <col min="39" max="39" width="9.1640625" customWidth="1"/>
    <col min="40" max="40" width="25.5" customWidth="1"/>
    <col min="41" max="42" width="12.83203125" customWidth="1"/>
  </cols>
  <sheetData>
    <row r="1" spans="1:42" ht="15.75" customHeight="1">
      <c r="A1" s="1"/>
      <c r="B1" s="2"/>
      <c r="C1" s="3"/>
      <c r="D1" s="3"/>
      <c r="E1" s="3"/>
      <c r="F1" s="3"/>
      <c r="G1" s="3"/>
      <c r="H1" s="3"/>
      <c r="I1" s="2"/>
      <c r="J1" s="2"/>
      <c r="L1" s="4"/>
      <c r="M1" s="5" t="s">
        <v>0</v>
      </c>
      <c r="N1" s="5"/>
      <c r="R1" s="4"/>
      <c r="S1" s="4"/>
      <c r="X1" s="4"/>
      <c r="AB1" s="5" t="s">
        <v>83</v>
      </c>
      <c r="AC1" s="5"/>
      <c r="AG1" s="4"/>
      <c r="AH1" s="4"/>
      <c r="AM1" s="4"/>
      <c r="AN1" s="6" t="s">
        <v>2</v>
      </c>
      <c r="AO1" s="7"/>
      <c r="AP1" s="8"/>
    </row>
    <row r="2" spans="1:42">
      <c r="A2" s="1"/>
      <c r="B2" s="2"/>
      <c r="C2" s="3"/>
      <c r="D2" s="3"/>
      <c r="E2" s="3"/>
      <c r="F2" s="3"/>
      <c r="G2" s="3"/>
      <c r="H2" s="3"/>
      <c r="I2" s="2"/>
      <c r="J2" s="2"/>
      <c r="L2" s="4"/>
      <c r="M2" s="4" t="s">
        <v>5</v>
      </c>
      <c r="N2" s="4" t="s">
        <v>6</v>
      </c>
      <c r="R2" s="4"/>
      <c r="S2" s="4"/>
      <c r="X2" s="4"/>
      <c r="AG2" s="4"/>
      <c r="AH2" s="4"/>
      <c r="AM2" s="4"/>
      <c r="AO2" s="9"/>
      <c r="AP2" s="9"/>
    </row>
    <row r="3" spans="1:42" ht="15.75" customHeight="1">
      <c r="A3" s="10" t="s">
        <v>7</v>
      </c>
      <c r="B3" s="11"/>
      <c r="C3" s="12"/>
      <c r="D3" s="12"/>
      <c r="E3" s="12"/>
      <c r="F3" s="12"/>
      <c r="G3" s="12"/>
      <c r="H3" s="12"/>
      <c r="I3" s="2"/>
      <c r="J3" s="2"/>
      <c r="L3" s="13"/>
      <c r="M3" s="13" t="s">
        <v>8</v>
      </c>
      <c r="N3" s="13" t="s">
        <v>9</v>
      </c>
      <c r="O3" s="4">
        <v>8</v>
      </c>
      <c r="R3" s="789" t="s">
        <v>10</v>
      </c>
      <c r="S3" s="788"/>
      <c r="T3" s="793" t="s">
        <v>11</v>
      </c>
      <c r="U3" s="794"/>
      <c r="V3" s="14"/>
      <c r="W3" s="14"/>
      <c r="X3" s="795" t="s">
        <v>12</v>
      </c>
      <c r="Y3" s="797" t="s">
        <v>13</v>
      </c>
      <c r="Z3" s="15"/>
      <c r="AC3" s="16" t="s">
        <v>14</v>
      </c>
      <c r="AD3" s="17">
        <v>26</v>
      </c>
      <c r="AE3" s="18"/>
      <c r="AG3" s="789" t="s">
        <v>10</v>
      </c>
      <c r="AH3" s="788"/>
      <c r="AI3" s="793" t="s">
        <v>11</v>
      </c>
      <c r="AJ3" s="794"/>
      <c r="AK3" s="14"/>
      <c r="AL3" s="14"/>
      <c r="AM3" s="795" t="s">
        <v>12</v>
      </c>
      <c r="AN3" s="797" t="s">
        <v>13</v>
      </c>
      <c r="AO3" s="19"/>
      <c r="AP3" s="19"/>
    </row>
    <row r="4" spans="1:42" ht="15.75" customHeight="1">
      <c r="A4" s="20"/>
      <c r="B4" s="21" t="s">
        <v>15</v>
      </c>
      <c r="C4" s="22"/>
      <c r="D4" s="22"/>
      <c r="E4" s="22"/>
      <c r="F4" s="22"/>
      <c r="G4" s="22"/>
      <c r="I4" s="2"/>
      <c r="J4" s="2"/>
      <c r="L4" s="4"/>
      <c r="M4" s="4"/>
      <c r="N4" s="4" t="s">
        <v>16</v>
      </c>
      <c r="O4" s="23">
        <f>SUM(E21:E51)/31</f>
        <v>79806.451612903227</v>
      </c>
      <c r="R4" s="790"/>
      <c r="S4" s="788"/>
      <c r="T4" s="792" t="s">
        <v>17</v>
      </c>
      <c r="U4" s="785" t="s">
        <v>18</v>
      </c>
      <c r="V4" s="787" t="s">
        <v>19</v>
      </c>
      <c r="W4" s="787" t="s">
        <v>20</v>
      </c>
      <c r="X4" s="796"/>
      <c r="Y4" s="798"/>
      <c r="Z4" s="15"/>
      <c r="AC4" s="28" t="s">
        <v>21</v>
      </c>
      <c r="AD4" s="4">
        <v>5</v>
      </c>
      <c r="AE4" s="29" t="s">
        <v>22</v>
      </c>
      <c r="AG4" s="790"/>
      <c r="AH4" s="788"/>
      <c r="AI4" s="792" t="s">
        <v>17</v>
      </c>
      <c r="AJ4" s="785" t="s">
        <v>18</v>
      </c>
      <c r="AK4" s="787" t="s">
        <v>19</v>
      </c>
      <c r="AL4" s="787" t="s">
        <v>20</v>
      </c>
      <c r="AM4" s="796"/>
      <c r="AN4" s="798"/>
      <c r="AO4" s="123"/>
    </row>
    <row r="5" spans="1:42" ht="15.75" customHeight="1">
      <c r="A5" s="20"/>
      <c r="B5" s="30" t="s">
        <v>23</v>
      </c>
      <c r="C5" s="31" t="s">
        <v>24</v>
      </c>
      <c r="D5" s="22"/>
      <c r="E5" s="22"/>
      <c r="F5" s="22"/>
      <c r="G5" s="22"/>
      <c r="I5" s="2"/>
      <c r="J5" s="2"/>
      <c r="L5" s="4"/>
      <c r="M5" s="4"/>
      <c r="N5" s="4" t="s">
        <v>25</v>
      </c>
      <c r="O5" s="32">
        <v>300</v>
      </c>
      <c r="P5" s="4" t="s">
        <v>26</v>
      </c>
      <c r="R5" s="791"/>
      <c r="S5" s="786"/>
      <c r="T5" s="786"/>
      <c r="U5" s="786"/>
      <c r="V5" s="788"/>
      <c r="W5" s="788"/>
      <c r="X5" s="796"/>
      <c r="Y5" s="799"/>
      <c r="Z5" s="15"/>
      <c r="AC5" s="28" t="s">
        <v>27</v>
      </c>
      <c r="AD5" s="35">
        <v>5040</v>
      </c>
      <c r="AE5" s="36" t="e">
        <f>AE6/(AD3+AD4)</f>
        <v>#REF!</v>
      </c>
      <c r="AG5" s="791"/>
      <c r="AH5" s="786"/>
      <c r="AI5" s="786"/>
      <c r="AJ5" s="786"/>
      <c r="AK5" s="788"/>
      <c r="AL5" s="788"/>
      <c r="AM5" s="796"/>
      <c r="AN5" s="799"/>
      <c r="AO5" s="124"/>
      <c r="AP5" s="19"/>
    </row>
    <row r="6" spans="1:42" ht="15.75" customHeight="1">
      <c r="A6" s="20"/>
      <c r="B6" s="21" t="s">
        <v>8</v>
      </c>
      <c r="C6" s="22"/>
      <c r="D6" s="22"/>
      <c r="E6" s="22"/>
      <c r="F6" s="22"/>
      <c r="G6" s="22"/>
      <c r="I6" s="2"/>
      <c r="J6" s="2"/>
      <c r="L6" s="4"/>
      <c r="M6" s="4"/>
      <c r="N6" s="4" t="s">
        <v>28</v>
      </c>
      <c r="O6" s="32">
        <v>0</v>
      </c>
      <c r="P6" s="4" t="s">
        <v>26</v>
      </c>
      <c r="R6" s="37">
        <v>43525</v>
      </c>
      <c r="S6" s="38" t="s">
        <v>29</v>
      </c>
      <c r="T6" s="39">
        <f t="shared" ref="T6:T7" si="0">V6</f>
        <v>27845.161290322576</v>
      </c>
      <c r="U6" s="39">
        <f t="shared" ref="U6:U22" si="1">G21</f>
        <v>4500</v>
      </c>
      <c r="V6" s="23">
        <f t="shared" ref="V6:V36" si="2">$O$11-(U6*$O$3)</f>
        <v>27845.161290322576</v>
      </c>
      <c r="W6" t="s">
        <v>23</v>
      </c>
      <c r="X6" s="40">
        <f t="shared" ref="X6:X36" si="3">(T6+U6*$O$3)/$O$9</f>
        <v>240</v>
      </c>
      <c r="Y6" s="41"/>
      <c r="Z6" s="15"/>
      <c r="AC6" s="28" t="s">
        <v>30</v>
      </c>
      <c r="AD6" s="23">
        <f>AD5*(AD3+AD4)</f>
        <v>156240</v>
      </c>
      <c r="AE6" s="42" t="e">
        <f>AJ37</f>
        <v>#REF!</v>
      </c>
      <c r="AG6" s="37">
        <v>43525</v>
      </c>
      <c r="AH6" s="38" t="s">
        <v>29</v>
      </c>
      <c r="AI6" s="39" t="str">
        <f t="shared" ref="AI6:AI7" si="4">AK6</f>
        <v>#REF!</v>
      </c>
      <c r="AJ6" s="39" t="e">
        <f t="shared" ref="AJ6:AJ36" si="5">U6/$AD$12</f>
        <v>#REF!</v>
      </c>
      <c r="AK6" s="23" t="s">
        <v>567</v>
      </c>
      <c r="AL6" t="s">
        <v>567</v>
      </c>
      <c r="AM6" s="40" t="e">
        <f t="shared" ref="AM6:AM36" si="6">(AI6+AJ6*$AD$19)/$AD$10</f>
        <v>#VALUE!</v>
      </c>
      <c r="AN6" s="41"/>
      <c r="AO6" s="19"/>
      <c r="AP6" s="19"/>
    </row>
    <row r="7" spans="1:42" ht="15.75" customHeight="1">
      <c r="A7" s="20"/>
      <c r="B7" s="30" t="s">
        <v>23</v>
      </c>
      <c r="C7" s="31" t="s">
        <v>31</v>
      </c>
      <c r="D7" s="22"/>
      <c r="E7" s="22"/>
      <c r="F7" s="22"/>
      <c r="G7" s="22"/>
      <c r="I7" s="2"/>
      <c r="J7" s="2"/>
      <c r="L7" s="4"/>
      <c r="M7" s="4"/>
      <c r="N7" s="4" t="s">
        <v>32</v>
      </c>
      <c r="O7" s="43">
        <v>0.5</v>
      </c>
      <c r="P7" s="4" t="s">
        <v>26</v>
      </c>
      <c r="R7" s="37">
        <v>43526</v>
      </c>
      <c r="S7" s="38" t="s">
        <v>33</v>
      </c>
      <c r="T7" s="39">
        <f t="shared" si="0"/>
        <v>31845.161290322576</v>
      </c>
      <c r="U7" s="39">
        <f t="shared" si="1"/>
        <v>4000</v>
      </c>
      <c r="V7" s="23">
        <f t="shared" si="2"/>
        <v>31845.161290322576</v>
      </c>
      <c r="W7" t="s">
        <v>23</v>
      </c>
      <c r="X7" s="40">
        <f t="shared" si="3"/>
        <v>240</v>
      </c>
      <c r="Y7" s="41"/>
      <c r="Z7" s="15"/>
      <c r="AC7" s="28" t="s">
        <v>34</v>
      </c>
      <c r="AD7" s="23">
        <f>AD6*AD30</f>
        <v>386264.22590068157</v>
      </c>
      <c r="AE7" s="42" t="e">
        <f>AI37</f>
        <v>#VALUE!</v>
      </c>
      <c r="AG7" s="37">
        <v>43526</v>
      </c>
      <c r="AH7" s="38" t="s">
        <v>33</v>
      </c>
      <c r="AI7" s="39" t="str">
        <f t="shared" si="4"/>
        <v>#REF!</v>
      </c>
      <c r="AJ7" s="39" t="e">
        <f t="shared" si="5"/>
        <v>#REF!</v>
      </c>
      <c r="AK7" s="23" t="s">
        <v>567</v>
      </c>
      <c r="AL7" t="s">
        <v>567</v>
      </c>
      <c r="AM7" s="40" t="e">
        <f t="shared" si="6"/>
        <v>#VALUE!</v>
      </c>
      <c r="AN7" s="41"/>
      <c r="AO7" s="19"/>
      <c r="AP7" s="19"/>
    </row>
    <row r="8" spans="1:42" ht="15.75" customHeight="1">
      <c r="A8" s="20"/>
      <c r="B8" s="30" t="s">
        <v>23</v>
      </c>
      <c r="C8" s="31" t="s">
        <v>35</v>
      </c>
      <c r="D8" s="22"/>
      <c r="E8" s="22"/>
      <c r="F8" s="22"/>
      <c r="G8" s="22"/>
      <c r="I8" s="2"/>
      <c r="J8" s="2"/>
      <c r="L8" s="4"/>
      <c r="M8" s="4"/>
      <c r="N8" s="4" t="s">
        <v>36</v>
      </c>
      <c r="O8" s="23">
        <f>O5+O6*O7</f>
        <v>300</v>
      </c>
      <c r="R8" s="44">
        <v>43527</v>
      </c>
      <c r="S8" s="45" t="s">
        <v>37</v>
      </c>
      <c r="T8" s="46">
        <v>0</v>
      </c>
      <c r="U8" s="46">
        <f t="shared" si="1"/>
        <v>4000</v>
      </c>
      <c r="V8" s="47">
        <f t="shared" si="2"/>
        <v>31845.161290322576</v>
      </c>
      <c r="W8" s="34" t="s">
        <v>561</v>
      </c>
      <c r="X8" s="48">
        <f t="shared" si="3"/>
        <v>120.29102667744544</v>
      </c>
      <c r="Y8" s="49"/>
      <c r="Z8" s="15"/>
      <c r="AC8" s="28" t="s">
        <v>38</v>
      </c>
      <c r="AD8" t="e">
        <f>AD7+AD6*AD19</f>
        <v>#REF!</v>
      </c>
      <c r="AE8" s="27"/>
      <c r="AG8" s="44">
        <v>43527</v>
      </c>
      <c r="AH8" s="45" t="s">
        <v>37</v>
      </c>
      <c r="AI8" s="46">
        <v>0</v>
      </c>
      <c r="AJ8" s="46" t="e">
        <f t="shared" si="5"/>
        <v>#REF!</v>
      </c>
      <c r="AK8" s="47" t="s">
        <v>567</v>
      </c>
      <c r="AL8" s="34" t="s">
        <v>561</v>
      </c>
      <c r="AM8" s="48" t="e">
        <f t="shared" si="6"/>
        <v>#REF!</v>
      </c>
      <c r="AN8" s="49"/>
      <c r="AO8" s="19"/>
      <c r="AP8" s="19"/>
    </row>
    <row r="9" spans="1:42" ht="15.75" customHeight="1">
      <c r="A9" s="20"/>
      <c r="B9" s="30" t="s">
        <v>23</v>
      </c>
      <c r="C9" s="31" t="s">
        <v>39</v>
      </c>
      <c r="D9" s="22"/>
      <c r="E9" s="22"/>
      <c r="F9" s="22"/>
      <c r="G9" s="22"/>
      <c r="I9" s="2"/>
      <c r="J9" s="2"/>
      <c r="L9" s="4"/>
      <c r="M9" s="4"/>
      <c r="N9" s="4" t="s">
        <v>40</v>
      </c>
      <c r="O9" s="23">
        <f>O4/O8</f>
        <v>266.02150537634407</v>
      </c>
      <c r="R9" s="50">
        <v>43528</v>
      </c>
      <c r="S9" s="51" t="s">
        <v>41</v>
      </c>
      <c r="T9" s="39">
        <v>2000</v>
      </c>
      <c r="U9" s="52">
        <f t="shared" si="1"/>
        <v>7500</v>
      </c>
      <c r="V9" s="23">
        <f t="shared" si="2"/>
        <v>3845.161290322576</v>
      </c>
      <c r="W9" t="s">
        <v>562</v>
      </c>
      <c r="X9" s="40">
        <f t="shared" si="3"/>
        <v>233.06386418755054</v>
      </c>
      <c r="Y9" s="53" t="s">
        <v>42</v>
      </c>
      <c r="Z9" s="54"/>
      <c r="AC9" s="28" t="s">
        <v>43</v>
      </c>
      <c r="AD9" s="23" t="e">
        <f>AD8/(AD3+AD4/2)</f>
        <v>#REF!</v>
      </c>
      <c r="AE9" s="27"/>
      <c r="AG9" s="50">
        <v>43528</v>
      </c>
      <c r="AH9" s="51" t="s">
        <v>41</v>
      </c>
      <c r="AI9" s="39">
        <v>2000</v>
      </c>
      <c r="AJ9" s="39" t="e">
        <f t="shared" si="5"/>
        <v>#REF!</v>
      </c>
      <c r="AK9" s="23" t="s">
        <v>567</v>
      </c>
      <c r="AL9" t="s">
        <v>567</v>
      </c>
      <c r="AM9" s="40" t="e">
        <f t="shared" si="6"/>
        <v>#REF!</v>
      </c>
      <c r="AN9" s="53" t="s">
        <v>42</v>
      </c>
      <c r="AO9" s="19"/>
      <c r="AP9" s="19"/>
    </row>
    <row r="10" spans="1:42" ht="15.75" customHeight="1">
      <c r="A10" s="55"/>
      <c r="B10" s="56" t="s">
        <v>23</v>
      </c>
      <c r="C10" s="57" t="s">
        <v>44</v>
      </c>
      <c r="D10" s="58"/>
      <c r="E10" s="58"/>
      <c r="F10" s="58"/>
      <c r="G10" s="58"/>
      <c r="H10" s="58"/>
      <c r="I10" s="2"/>
      <c r="J10" s="2"/>
      <c r="K10" s="13"/>
      <c r="M10" s="4" t="s">
        <v>11</v>
      </c>
      <c r="N10" s="4" t="s">
        <v>45</v>
      </c>
      <c r="O10" s="23">
        <f>O8*P10</f>
        <v>240</v>
      </c>
      <c r="P10" s="59">
        <v>0.8</v>
      </c>
      <c r="R10" s="37">
        <v>43529</v>
      </c>
      <c r="S10" s="38" t="s">
        <v>46</v>
      </c>
      <c r="T10" s="39">
        <f t="shared" ref="T10:T14" si="7">V10</f>
        <v>15845.161290322576</v>
      </c>
      <c r="U10" s="39">
        <f t="shared" si="1"/>
        <v>6000</v>
      </c>
      <c r="V10" s="23">
        <f t="shared" si="2"/>
        <v>15845.161290322576</v>
      </c>
      <c r="W10" t="s">
        <v>23</v>
      </c>
      <c r="X10" s="40">
        <f t="shared" si="3"/>
        <v>240</v>
      </c>
      <c r="Y10" s="41"/>
      <c r="Z10" s="15"/>
      <c r="AC10" s="28" t="s">
        <v>47</v>
      </c>
      <c r="AD10" s="126" t="e">
        <f>'[1]WH labor'!AF30</f>
        <v>#REF!</v>
      </c>
      <c r="AE10" s="27"/>
      <c r="AG10" s="37">
        <v>43529</v>
      </c>
      <c r="AH10" s="38" t="s">
        <v>46</v>
      </c>
      <c r="AI10" s="39" t="str">
        <f t="shared" ref="AI10:AI14" si="8">AK10</f>
        <v>#REF!</v>
      </c>
      <c r="AJ10" s="39" t="e">
        <f t="shared" si="5"/>
        <v>#REF!</v>
      </c>
      <c r="AK10" s="23" t="s">
        <v>567</v>
      </c>
      <c r="AL10" t="s">
        <v>567</v>
      </c>
      <c r="AM10" s="40" t="e">
        <f t="shared" si="6"/>
        <v>#VALUE!</v>
      </c>
      <c r="AN10" s="41"/>
      <c r="AO10" s="19"/>
      <c r="AP10" s="19"/>
    </row>
    <row r="11" spans="1:42">
      <c r="A11" s="54"/>
      <c r="B11" s="54"/>
      <c r="C11" s="3"/>
      <c r="D11" s="3"/>
      <c r="E11" s="3"/>
      <c r="F11" s="3"/>
      <c r="G11" s="3"/>
      <c r="H11" s="3"/>
      <c r="I11" s="2"/>
      <c r="J11" s="2"/>
      <c r="N11" s="4" t="s">
        <v>48</v>
      </c>
      <c r="O11" s="23">
        <f>O10*O9</f>
        <v>63845.161290322576</v>
      </c>
      <c r="R11" s="37">
        <v>43530</v>
      </c>
      <c r="S11" s="38" t="s">
        <v>49</v>
      </c>
      <c r="T11" s="39">
        <f t="shared" si="7"/>
        <v>19845.161290322576</v>
      </c>
      <c r="U11" s="39">
        <f t="shared" si="1"/>
        <v>5500</v>
      </c>
      <c r="V11" s="23">
        <f t="shared" si="2"/>
        <v>19845.161290322576</v>
      </c>
      <c r="W11" t="s">
        <v>23</v>
      </c>
      <c r="X11" s="40">
        <f t="shared" si="3"/>
        <v>240</v>
      </c>
      <c r="Y11" s="41"/>
      <c r="Z11" s="15"/>
      <c r="AC11" s="28" t="s">
        <v>50</v>
      </c>
      <c r="AD11" s="60" t="e">
        <f>AD9/AD19</f>
        <v>#REF!</v>
      </c>
      <c r="AE11" s="27"/>
      <c r="AG11" s="37">
        <v>43530</v>
      </c>
      <c r="AH11" s="38" t="s">
        <v>49</v>
      </c>
      <c r="AI11" s="39" t="str">
        <f t="shared" si="8"/>
        <v>#REF!</v>
      </c>
      <c r="AJ11" s="39" t="e">
        <f t="shared" si="5"/>
        <v>#REF!</v>
      </c>
      <c r="AK11" s="23" t="s">
        <v>567</v>
      </c>
      <c r="AL11" t="s">
        <v>567</v>
      </c>
      <c r="AM11" s="40" t="e">
        <f t="shared" si="6"/>
        <v>#VALUE!</v>
      </c>
      <c r="AN11" s="41"/>
      <c r="AO11" s="19"/>
      <c r="AP11" s="19"/>
    </row>
    <row r="12" spans="1:42">
      <c r="A12" s="54"/>
      <c r="B12" s="54"/>
      <c r="C12" s="3"/>
      <c r="D12" s="3"/>
      <c r="E12" s="3"/>
      <c r="F12" s="3"/>
      <c r="G12" s="3"/>
      <c r="H12" s="3"/>
      <c r="I12" s="2"/>
      <c r="J12" s="2"/>
      <c r="R12" s="37">
        <v>43531</v>
      </c>
      <c r="S12" s="38" t="s">
        <v>51</v>
      </c>
      <c r="T12" s="39">
        <f t="shared" si="7"/>
        <v>19845.161290322576</v>
      </c>
      <c r="U12" s="39">
        <f t="shared" si="1"/>
        <v>5500</v>
      </c>
      <c r="V12" s="23">
        <f t="shared" si="2"/>
        <v>19845.161290322576</v>
      </c>
      <c r="W12" t="s">
        <v>23</v>
      </c>
      <c r="X12" s="40">
        <f t="shared" si="3"/>
        <v>240</v>
      </c>
      <c r="Y12" s="41"/>
      <c r="Z12" s="15"/>
      <c r="AC12" s="28" t="s">
        <v>52</v>
      </c>
      <c r="AD12" s="61" t="e">
        <f>AD11/U23</f>
        <v>#REF!</v>
      </c>
      <c r="AE12" s="27"/>
      <c r="AG12" s="37">
        <v>43531</v>
      </c>
      <c r="AH12" s="38" t="s">
        <v>51</v>
      </c>
      <c r="AI12" s="39" t="str">
        <f t="shared" si="8"/>
        <v>#REF!</v>
      </c>
      <c r="AJ12" s="39" t="e">
        <f t="shared" si="5"/>
        <v>#REF!</v>
      </c>
      <c r="AK12" s="23" t="s">
        <v>567</v>
      </c>
      <c r="AL12" t="s">
        <v>567</v>
      </c>
      <c r="AM12" s="40" t="e">
        <f t="shared" si="6"/>
        <v>#VALUE!</v>
      </c>
      <c r="AN12" s="41"/>
      <c r="AO12" s="19"/>
      <c r="AP12" s="19"/>
    </row>
    <row r="13" spans="1:42">
      <c r="A13" s="54"/>
      <c r="B13" s="54"/>
      <c r="C13" s="3"/>
      <c r="D13" s="3"/>
      <c r="E13" s="3"/>
      <c r="F13" s="3"/>
      <c r="G13" s="3"/>
      <c r="H13" s="3"/>
      <c r="I13" s="2"/>
      <c r="J13" s="2"/>
      <c r="L13" s="4"/>
      <c r="M13" s="4" t="s">
        <v>53</v>
      </c>
      <c r="N13" s="4" t="s">
        <v>54</v>
      </c>
      <c r="O13" s="4" t="s">
        <v>55</v>
      </c>
      <c r="R13" s="37">
        <v>43532</v>
      </c>
      <c r="S13" s="38" t="s">
        <v>29</v>
      </c>
      <c r="T13" s="39">
        <f t="shared" si="7"/>
        <v>27845.161290322576</v>
      </c>
      <c r="U13" s="39">
        <f t="shared" si="1"/>
        <v>4500</v>
      </c>
      <c r="V13" s="23">
        <f t="shared" si="2"/>
        <v>27845.161290322576</v>
      </c>
      <c r="W13" t="s">
        <v>23</v>
      </c>
      <c r="X13" s="40">
        <f t="shared" si="3"/>
        <v>240</v>
      </c>
      <c r="Y13" s="41"/>
      <c r="Z13" s="15"/>
      <c r="AC13" s="28" t="s">
        <v>56</v>
      </c>
      <c r="AD13" s="61">
        <f>AD7/T37</f>
        <v>0.86616352267882424</v>
      </c>
      <c r="AE13" s="27"/>
      <c r="AG13" s="37">
        <v>43532</v>
      </c>
      <c r="AH13" s="38" t="s">
        <v>29</v>
      </c>
      <c r="AI13" s="39" t="str">
        <f t="shared" si="8"/>
        <v>#REF!</v>
      </c>
      <c r="AJ13" s="39" t="e">
        <f t="shared" si="5"/>
        <v>#REF!</v>
      </c>
      <c r="AK13" s="23" t="s">
        <v>567</v>
      </c>
      <c r="AL13" t="s">
        <v>567</v>
      </c>
      <c r="AM13" s="40" t="e">
        <f t="shared" si="6"/>
        <v>#VALUE!</v>
      </c>
      <c r="AN13" s="41"/>
      <c r="AO13" s="19"/>
      <c r="AP13" s="19"/>
    </row>
    <row r="14" spans="1:42">
      <c r="A14" s="54"/>
      <c r="B14" s="54"/>
      <c r="C14" s="3"/>
      <c r="D14" s="3"/>
      <c r="E14" s="3"/>
      <c r="F14" s="3"/>
      <c r="G14" s="3"/>
      <c r="H14" s="3"/>
      <c r="I14" s="2"/>
      <c r="J14" s="2"/>
      <c r="L14" s="4"/>
      <c r="M14" s="4"/>
      <c r="N14" s="4" t="s">
        <v>57</v>
      </c>
      <c r="O14" s="62">
        <f>12695/5135</f>
        <v>2.4722492697176239</v>
      </c>
      <c r="Q14" s="63"/>
      <c r="R14" s="37">
        <v>43533</v>
      </c>
      <c r="S14" s="38" t="s">
        <v>33</v>
      </c>
      <c r="T14" s="39">
        <f t="shared" si="7"/>
        <v>31845.161290322576</v>
      </c>
      <c r="U14" s="39">
        <f t="shared" si="1"/>
        <v>4000</v>
      </c>
      <c r="V14" s="23">
        <f t="shared" si="2"/>
        <v>31845.161290322576</v>
      </c>
      <c r="W14" t="s">
        <v>23</v>
      </c>
      <c r="X14" s="40">
        <f t="shared" si="3"/>
        <v>240</v>
      </c>
      <c r="Y14" s="41"/>
      <c r="Z14" s="15"/>
      <c r="AC14" s="28" t="s">
        <v>86</v>
      </c>
      <c r="AD14" s="127" t="e">
        <f>'[1]WH labor'!AX3</f>
        <v>#REF!</v>
      </c>
      <c r="AE14" s="27"/>
      <c r="AF14" s="63"/>
      <c r="AG14" s="37">
        <v>43533</v>
      </c>
      <c r="AH14" s="38" t="s">
        <v>33</v>
      </c>
      <c r="AI14" s="39" t="str">
        <f t="shared" si="8"/>
        <v>#REF!</v>
      </c>
      <c r="AJ14" s="39" t="e">
        <f t="shared" si="5"/>
        <v>#REF!</v>
      </c>
      <c r="AK14" s="23" t="s">
        <v>567</v>
      </c>
      <c r="AL14" t="s">
        <v>567</v>
      </c>
      <c r="AM14" s="40" t="e">
        <f t="shared" si="6"/>
        <v>#VALUE!</v>
      </c>
      <c r="AN14" s="41"/>
      <c r="AO14" s="19"/>
      <c r="AP14" s="19"/>
    </row>
    <row r="15" spans="1:42">
      <c r="A15" s="54"/>
      <c r="B15" s="54"/>
      <c r="C15" s="3"/>
      <c r="D15" s="3"/>
      <c r="E15" s="3"/>
      <c r="F15" s="3"/>
      <c r="G15" s="3"/>
      <c r="H15" s="3"/>
      <c r="I15" s="2"/>
      <c r="J15" s="2"/>
      <c r="L15" s="4"/>
      <c r="M15" s="4"/>
      <c r="N15" s="4" t="s">
        <v>58</v>
      </c>
      <c r="O15" s="4">
        <v>31</v>
      </c>
      <c r="Q15" s="65"/>
      <c r="R15" s="44">
        <v>43534</v>
      </c>
      <c r="S15" s="45" t="s">
        <v>37</v>
      </c>
      <c r="T15" s="46">
        <v>0</v>
      </c>
      <c r="U15" s="46">
        <f t="shared" si="1"/>
        <v>4000</v>
      </c>
      <c r="V15" s="47">
        <f t="shared" si="2"/>
        <v>31845.161290322576</v>
      </c>
      <c r="W15" s="34" t="s">
        <v>561</v>
      </c>
      <c r="X15" s="48">
        <f t="shared" si="3"/>
        <v>120.29102667744544</v>
      </c>
      <c r="Y15" s="66"/>
      <c r="Z15" s="67"/>
      <c r="AC15" s="28" t="s">
        <v>40</v>
      </c>
      <c r="AD15" s="64">
        <v>266</v>
      </c>
      <c r="AE15" s="27"/>
      <c r="AF15" s="65"/>
      <c r="AG15" s="44">
        <v>43534</v>
      </c>
      <c r="AH15" s="45" t="s">
        <v>37</v>
      </c>
      <c r="AI15" s="46">
        <v>0</v>
      </c>
      <c r="AJ15" s="46" t="e">
        <f t="shared" si="5"/>
        <v>#REF!</v>
      </c>
      <c r="AK15" s="47" t="s">
        <v>567</v>
      </c>
      <c r="AL15" s="34" t="s">
        <v>561</v>
      </c>
      <c r="AM15" s="48" t="e">
        <f t="shared" si="6"/>
        <v>#REF!</v>
      </c>
      <c r="AN15" s="66"/>
      <c r="AO15" s="19"/>
      <c r="AP15" s="19"/>
    </row>
    <row r="16" spans="1:42">
      <c r="A16" s="54"/>
      <c r="B16" s="54"/>
      <c r="C16" s="3"/>
      <c r="D16" s="3"/>
      <c r="E16" s="3"/>
      <c r="F16" s="3"/>
      <c r="G16" s="3"/>
      <c r="H16" s="3"/>
      <c r="I16" s="2"/>
      <c r="J16" s="2"/>
      <c r="L16" s="4"/>
      <c r="M16" s="4"/>
      <c r="N16" s="4" t="s">
        <v>59</v>
      </c>
      <c r="O16" s="23">
        <f>SUM(G21:G51)</f>
        <v>173600</v>
      </c>
      <c r="R16" s="68">
        <v>43535</v>
      </c>
      <c r="S16" s="51" t="s">
        <v>41</v>
      </c>
      <c r="T16" s="39">
        <v>2000</v>
      </c>
      <c r="U16" s="52">
        <f t="shared" si="1"/>
        <v>7500</v>
      </c>
      <c r="V16" s="23">
        <f t="shared" si="2"/>
        <v>3845.161290322576</v>
      </c>
      <c r="W16" t="s">
        <v>562</v>
      </c>
      <c r="X16" s="40">
        <f t="shared" si="3"/>
        <v>233.06386418755054</v>
      </c>
      <c r="Y16" s="69" t="s">
        <v>60</v>
      </c>
      <c r="Z16" s="70"/>
      <c r="AC16" s="71" t="s">
        <v>61</v>
      </c>
      <c r="AD16" s="47" t="e">
        <f>MAX(AM6:AM36)</f>
        <v>#VALUE!</v>
      </c>
      <c r="AE16" s="72" t="e">
        <f>AD16/AD14</f>
        <v>#VALUE!</v>
      </c>
      <c r="AG16" s="68">
        <v>43535</v>
      </c>
      <c r="AH16" s="51" t="s">
        <v>41</v>
      </c>
      <c r="AI16" s="39">
        <v>2000</v>
      </c>
      <c r="AJ16" s="39" t="e">
        <f t="shared" si="5"/>
        <v>#REF!</v>
      </c>
      <c r="AK16" s="23" t="s">
        <v>567</v>
      </c>
      <c r="AL16" t="s">
        <v>567</v>
      </c>
      <c r="AM16" s="40" t="e">
        <f t="shared" si="6"/>
        <v>#REF!</v>
      </c>
      <c r="AN16" s="69" t="s">
        <v>60</v>
      </c>
      <c r="AO16" s="19"/>
      <c r="AP16" s="19"/>
    </row>
    <row r="17" spans="1:42">
      <c r="A17" s="54"/>
      <c r="B17" s="54"/>
      <c r="C17" s="3"/>
      <c r="D17" s="3"/>
      <c r="E17" s="3"/>
      <c r="F17" s="3"/>
      <c r="G17" s="3"/>
      <c r="H17" s="3"/>
      <c r="I17" s="2"/>
      <c r="J17" s="2"/>
      <c r="N17" s="4" t="s">
        <v>62</v>
      </c>
      <c r="O17" s="60">
        <f>O16/O15</f>
        <v>5600</v>
      </c>
      <c r="R17" s="73">
        <v>43536</v>
      </c>
      <c r="S17" s="38" t="s">
        <v>46</v>
      </c>
      <c r="T17" s="39">
        <f t="shared" ref="T17:T21" si="9">V17</f>
        <v>15845.161290322576</v>
      </c>
      <c r="U17" s="39">
        <f t="shared" si="1"/>
        <v>6000</v>
      </c>
      <c r="V17" s="23">
        <f t="shared" si="2"/>
        <v>15845.161290322576</v>
      </c>
      <c r="W17" t="s">
        <v>23</v>
      </c>
      <c r="X17" s="40">
        <f t="shared" si="3"/>
        <v>240</v>
      </c>
      <c r="Y17" s="41"/>
      <c r="Z17" s="15"/>
      <c r="AG17" s="73">
        <v>43536</v>
      </c>
      <c r="AH17" s="38" t="s">
        <v>46</v>
      </c>
      <c r="AI17" s="39" t="str">
        <f t="shared" ref="AI17:AI21" si="10">AK17</f>
        <v>#REF!</v>
      </c>
      <c r="AJ17" s="39" t="e">
        <f t="shared" si="5"/>
        <v>#REF!</v>
      </c>
      <c r="AK17" s="23" t="s">
        <v>567</v>
      </c>
      <c r="AL17" t="s">
        <v>567</v>
      </c>
      <c r="AM17" s="40" t="e">
        <f t="shared" si="6"/>
        <v>#VALUE!</v>
      </c>
      <c r="AN17" s="41"/>
      <c r="AO17" s="19"/>
      <c r="AP17" s="19"/>
    </row>
    <row r="18" spans="1:42" ht="15.75" customHeight="1">
      <c r="A18" s="803"/>
      <c r="B18" s="794"/>
      <c r="C18" s="804" t="s">
        <v>15</v>
      </c>
      <c r="D18" s="794"/>
      <c r="E18" s="805"/>
      <c r="F18" s="793" t="s">
        <v>11</v>
      </c>
      <c r="G18" s="794"/>
      <c r="H18" s="794"/>
      <c r="I18" s="75"/>
      <c r="J18" s="806" t="s">
        <v>13</v>
      </c>
      <c r="N18" s="76" t="s">
        <v>34</v>
      </c>
      <c r="O18" s="77">
        <f>O16*O14</f>
        <v>429182.47322297952</v>
      </c>
      <c r="R18" s="73">
        <v>43537</v>
      </c>
      <c r="S18" s="38" t="s">
        <v>49</v>
      </c>
      <c r="T18" s="39">
        <f t="shared" si="9"/>
        <v>19845.161290322576</v>
      </c>
      <c r="U18" s="39">
        <f t="shared" si="1"/>
        <v>5500</v>
      </c>
      <c r="V18" s="23">
        <f t="shared" si="2"/>
        <v>19845.161290322576</v>
      </c>
      <c r="W18" t="s">
        <v>23</v>
      </c>
      <c r="X18" s="40">
        <f t="shared" si="3"/>
        <v>240</v>
      </c>
      <c r="Y18" s="41"/>
      <c r="Z18" s="15"/>
      <c r="AA18" s="78"/>
      <c r="AB18" s="78" t="s">
        <v>5</v>
      </c>
      <c r="AC18" s="78" t="s">
        <v>6</v>
      </c>
      <c r="AD18" s="79"/>
      <c r="AE18" s="79"/>
      <c r="AG18" s="73">
        <v>43537</v>
      </c>
      <c r="AH18" s="38" t="s">
        <v>49</v>
      </c>
      <c r="AI18" s="39" t="str">
        <f t="shared" si="10"/>
        <v>#REF!</v>
      </c>
      <c r="AJ18" s="39" t="e">
        <f t="shared" si="5"/>
        <v>#REF!</v>
      </c>
      <c r="AK18" s="23" t="s">
        <v>567</v>
      </c>
      <c r="AL18" t="s">
        <v>567</v>
      </c>
      <c r="AM18" s="40" t="e">
        <f t="shared" si="6"/>
        <v>#VALUE!</v>
      </c>
      <c r="AN18" s="41"/>
      <c r="AO18" s="19"/>
      <c r="AP18" s="19"/>
    </row>
    <row r="19" spans="1:42">
      <c r="A19" s="789" t="s">
        <v>10</v>
      </c>
      <c r="B19" s="788"/>
      <c r="C19" s="800" t="s">
        <v>63</v>
      </c>
      <c r="D19" s="785" t="s">
        <v>64</v>
      </c>
      <c r="E19" s="807" t="s">
        <v>65</v>
      </c>
      <c r="F19" s="80" t="s">
        <v>3</v>
      </c>
      <c r="G19" s="785" t="s">
        <v>66</v>
      </c>
      <c r="H19" s="802"/>
      <c r="I19" s="808" t="s">
        <v>67</v>
      </c>
      <c r="J19" s="798"/>
      <c r="N19" s="76" t="s">
        <v>68</v>
      </c>
      <c r="O19" s="77">
        <f>SUM(T6:T36)</f>
        <v>445948.38709677383</v>
      </c>
      <c r="R19" s="73">
        <v>43538</v>
      </c>
      <c r="S19" s="38" t="s">
        <v>51</v>
      </c>
      <c r="T19" s="39">
        <f t="shared" si="9"/>
        <v>19845.161290322576</v>
      </c>
      <c r="U19" s="39">
        <f t="shared" si="1"/>
        <v>5500</v>
      </c>
      <c r="V19" s="23">
        <f t="shared" si="2"/>
        <v>19845.161290322576</v>
      </c>
      <c r="W19" t="s">
        <v>23</v>
      </c>
      <c r="X19" s="40">
        <f t="shared" si="3"/>
        <v>240</v>
      </c>
      <c r="Y19" s="41"/>
      <c r="Z19" s="15"/>
      <c r="AA19" s="83"/>
      <c r="AB19" s="83" t="s">
        <v>8</v>
      </c>
      <c r="AC19" s="83" t="s">
        <v>9</v>
      </c>
      <c r="AD19" s="616" t="e">
        <f>'[1]WH labor'!AE8</f>
        <v>#REF!</v>
      </c>
      <c r="AE19" s="79"/>
      <c r="AG19" s="73">
        <v>43538</v>
      </c>
      <c r="AH19" s="38" t="s">
        <v>51</v>
      </c>
      <c r="AI19" s="39" t="str">
        <f t="shared" si="10"/>
        <v>#REF!</v>
      </c>
      <c r="AJ19" s="39" t="e">
        <f t="shared" si="5"/>
        <v>#REF!</v>
      </c>
      <c r="AK19" s="23" t="s">
        <v>567</v>
      </c>
      <c r="AL19" t="s">
        <v>567</v>
      </c>
      <c r="AM19" s="40" t="e">
        <f t="shared" si="6"/>
        <v>#VALUE!</v>
      </c>
      <c r="AN19" s="41"/>
      <c r="AO19" s="19"/>
      <c r="AP19" s="19"/>
    </row>
    <row r="20" spans="1:42">
      <c r="A20" s="791"/>
      <c r="B20" s="786"/>
      <c r="C20" s="801"/>
      <c r="D20" s="786"/>
      <c r="E20" s="786"/>
      <c r="F20" s="84" t="s">
        <v>63</v>
      </c>
      <c r="G20" s="85" t="s">
        <v>18</v>
      </c>
      <c r="H20" s="86" t="s">
        <v>69</v>
      </c>
      <c r="I20" s="809"/>
      <c r="J20" s="798"/>
      <c r="N20" s="88" t="s">
        <v>70</v>
      </c>
      <c r="O20" s="89">
        <f>O19-O18</f>
        <v>16765.913873794314</v>
      </c>
      <c r="R20" s="73">
        <v>43539</v>
      </c>
      <c r="S20" s="38" t="s">
        <v>29</v>
      </c>
      <c r="T20" s="39">
        <f t="shared" si="9"/>
        <v>11845.161290322576</v>
      </c>
      <c r="U20" s="39">
        <f t="shared" si="1"/>
        <v>6500</v>
      </c>
      <c r="V20" s="23">
        <f t="shared" si="2"/>
        <v>11845.161290322576</v>
      </c>
      <c r="W20" t="s">
        <v>23</v>
      </c>
      <c r="X20" s="40">
        <f t="shared" si="3"/>
        <v>240</v>
      </c>
      <c r="Y20" s="53" t="s">
        <v>71</v>
      </c>
      <c r="Z20" s="54"/>
      <c r="AA20" s="78"/>
      <c r="AB20" s="78"/>
      <c r="AC20" s="78" t="s">
        <v>16</v>
      </c>
      <c r="AD20" s="90">
        <f>SUM(E21:E51)/31</f>
        <v>79806.451612903227</v>
      </c>
      <c r="AE20" s="79"/>
      <c r="AG20" s="73">
        <v>43539</v>
      </c>
      <c r="AH20" s="38" t="s">
        <v>29</v>
      </c>
      <c r="AI20" s="39" t="str">
        <f t="shared" si="10"/>
        <v>#REF!</v>
      </c>
      <c r="AJ20" s="39" t="e">
        <f t="shared" si="5"/>
        <v>#REF!</v>
      </c>
      <c r="AK20" s="23" t="s">
        <v>567</v>
      </c>
      <c r="AL20" t="s">
        <v>567</v>
      </c>
      <c r="AM20" s="40" t="e">
        <f t="shared" si="6"/>
        <v>#VALUE!</v>
      </c>
      <c r="AN20" s="53" t="s">
        <v>71</v>
      </c>
      <c r="AO20" s="19"/>
      <c r="AP20" s="19"/>
    </row>
    <row r="21" spans="1:42">
      <c r="A21" s="37">
        <v>43525</v>
      </c>
      <c r="B21" s="38" t="s">
        <v>29</v>
      </c>
      <c r="C21" s="91">
        <v>25000</v>
      </c>
      <c r="D21" s="91">
        <v>8000</v>
      </c>
      <c r="E21" s="39">
        <f t="shared" ref="E21:E51" si="11">C21+D21*$O$3</f>
        <v>89000</v>
      </c>
      <c r="F21" s="39">
        <f t="shared" ref="F21:F51" si="12">C21+H21*$O$3</f>
        <v>53000</v>
      </c>
      <c r="G21" s="92">
        <v>4500</v>
      </c>
      <c r="H21" s="39">
        <f t="shared" ref="H21:H51" si="13">D21-G21</f>
        <v>3500</v>
      </c>
      <c r="I21" s="39"/>
      <c r="J21" s="93"/>
      <c r="N21" s="88" t="s">
        <v>72</v>
      </c>
      <c r="O21" s="94">
        <f>O20/26</f>
        <v>644.8428412997813</v>
      </c>
      <c r="R21" s="73">
        <v>43540</v>
      </c>
      <c r="S21" s="38" t="s">
        <v>33</v>
      </c>
      <c r="T21" s="39">
        <f t="shared" si="9"/>
        <v>11845.161290322576</v>
      </c>
      <c r="U21" s="39">
        <f t="shared" si="1"/>
        <v>6500</v>
      </c>
      <c r="V21" s="23">
        <f t="shared" si="2"/>
        <v>11845.161290322576</v>
      </c>
      <c r="W21" t="s">
        <v>23</v>
      </c>
      <c r="X21" s="40">
        <f t="shared" si="3"/>
        <v>240</v>
      </c>
      <c r="Y21" s="53" t="s">
        <v>71</v>
      </c>
      <c r="Z21" s="54"/>
      <c r="AA21" s="78"/>
      <c r="AB21" s="78"/>
      <c r="AC21" s="78" t="s">
        <v>25</v>
      </c>
      <c r="AD21" s="95">
        <v>300</v>
      </c>
      <c r="AE21" s="78" t="s">
        <v>26</v>
      </c>
      <c r="AG21" s="73">
        <v>43540</v>
      </c>
      <c r="AH21" s="38" t="s">
        <v>33</v>
      </c>
      <c r="AI21" s="39" t="str">
        <f t="shared" si="10"/>
        <v>#REF!</v>
      </c>
      <c r="AJ21" s="39" t="e">
        <f t="shared" si="5"/>
        <v>#REF!</v>
      </c>
      <c r="AK21" s="23" t="s">
        <v>567</v>
      </c>
      <c r="AL21" t="s">
        <v>567</v>
      </c>
      <c r="AM21" s="40" t="e">
        <f t="shared" si="6"/>
        <v>#VALUE!</v>
      </c>
      <c r="AN21" s="53" t="s">
        <v>71</v>
      </c>
      <c r="AO21" s="19"/>
      <c r="AP21" s="19"/>
    </row>
    <row r="22" spans="1:42">
      <c r="A22" s="37">
        <v>43526</v>
      </c>
      <c r="B22" s="38" t="s">
        <v>33</v>
      </c>
      <c r="C22" s="91">
        <v>25000</v>
      </c>
      <c r="D22" s="91">
        <v>8000</v>
      </c>
      <c r="E22" s="39">
        <f t="shared" si="11"/>
        <v>89000</v>
      </c>
      <c r="F22" s="39">
        <f t="shared" si="12"/>
        <v>57000</v>
      </c>
      <c r="G22" s="92">
        <v>4000</v>
      </c>
      <c r="H22" s="39">
        <f t="shared" si="13"/>
        <v>4000</v>
      </c>
      <c r="I22" s="39"/>
      <c r="J22" s="93"/>
      <c r="R22" s="96">
        <v>43541</v>
      </c>
      <c r="S22" s="45" t="s">
        <v>37</v>
      </c>
      <c r="T22" s="46">
        <v>0</v>
      </c>
      <c r="U22" s="46">
        <f t="shared" si="1"/>
        <v>6500</v>
      </c>
      <c r="V22" s="47">
        <f t="shared" si="2"/>
        <v>11845.161290322576</v>
      </c>
      <c r="W22" s="34" t="s">
        <v>561</v>
      </c>
      <c r="X22" s="48">
        <f t="shared" si="3"/>
        <v>195.47291835084883</v>
      </c>
      <c r="Y22" s="98" t="s">
        <v>71</v>
      </c>
      <c r="Z22" s="54"/>
      <c r="AA22" s="78"/>
      <c r="AB22" s="78"/>
      <c r="AC22" s="78" t="s">
        <v>28</v>
      </c>
      <c r="AD22" s="95">
        <v>0</v>
      </c>
      <c r="AE22" s="78" t="s">
        <v>26</v>
      </c>
      <c r="AG22" s="96">
        <v>43541</v>
      </c>
      <c r="AH22" s="45" t="s">
        <v>37</v>
      </c>
      <c r="AI22" s="46">
        <v>0</v>
      </c>
      <c r="AJ22" s="46" t="e">
        <f t="shared" si="5"/>
        <v>#REF!</v>
      </c>
      <c r="AK22" s="47" t="s">
        <v>567</v>
      </c>
      <c r="AL22" s="34" t="s">
        <v>561</v>
      </c>
      <c r="AM22" s="48" t="e">
        <f t="shared" si="6"/>
        <v>#REF!</v>
      </c>
      <c r="AN22" s="98" t="s">
        <v>71</v>
      </c>
      <c r="AO22" s="19"/>
      <c r="AP22" s="19"/>
    </row>
    <row r="23" spans="1:42">
      <c r="A23" s="44">
        <v>43527</v>
      </c>
      <c r="B23" s="45" t="s">
        <v>37</v>
      </c>
      <c r="C23" s="99">
        <v>0</v>
      </c>
      <c r="D23" s="99">
        <v>4000</v>
      </c>
      <c r="E23" s="46">
        <f t="shared" si="11"/>
        <v>32000</v>
      </c>
      <c r="F23" s="46">
        <f t="shared" si="12"/>
        <v>0</v>
      </c>
      <c r="G23" s="100">
        <v>4000</v>
      </c>
      <c r="H23" s="46">
        <f t="shared" si="13"/>
        <v>0</v>
      </c>
      <c r="I23" s="46"/>
      <c r="J23" s="101"/>
      <c r="R23" s="68">
        <v>43542</v>
      </c>
      <c r="S23" s="51" t="s">
        <v>41</v>
      </c>
      <c r="T23" s="39">
        <v>0</v>
      </c>
      <c r="U23" s="52">
        <v>8000</v>
      </c>
      <c r="V23" s="23">
        <f t="shared" si="2"/>
        <v>-154.83870967742405</v>
      </c>
      <c r="W23" t="s">
        <v>564</v>
      </c>
      <c r="X23" s="40">
        <f t="shared" si="3"/>
        <v>240.58205335489089</v>
      </c>
      <c r="Y23" s="53" t="s">
        <v>73</v>
      </c>
      <c r="Z23" s="54"/>
      <c r="AA23" s="78"/>
      <c r="AB23" s="78"/>
      <c r="AC23" s="78" t="s">
        <v>32</v>
      </c>
      <c r="AD23" s="102">
        <v>0.5</v>
      </c>
      <c r="AE23" s="78" t="s">
        <v>26</v>
      </c>
      <c r="AG23" s="68">
        <v>43542</v>
      </c>
      <c r="AH23" s="51" t="s">
        <v>41</v>
      </c>
      <c r="AI23" s="39">
        <v>0</v>
      </c>
      <c r="AJ23" s="39" t="e">
        <f t="shared" si="5"/>
        <v>#REF!</v>
      </c>
      <c r="AK23" s="23" t="s">
        <v>567</v>
      </c>
      <c r="AL23" t="s">
        <v>567</v>
      </c>
      <c r="AM23" s="40" t="e">
        <f t="shared" si="6"/>
        <v>#REF!</v>
      </c>
      <c r="AN23" s="53" t="s">
        <v>73</v>
      </c>
      <c r="AO23" s="19"/>
      <c r="AP23" s="19"/>
    </row>
    <row r="24" spans="1:42">
      <c r="A24" s="50">
        <v>43528</v>
      </c>
      <c r="B24" s="51" t="s">
        <v>41</v>
      </c>
      <c r="C24" s="91">
        <v>25000</v>
      </c>
      <c r="D24" s="103">
        <v>8000</v>
      </c>
      <c r="E24" s="39">
        <f t="shared" si="11"/>
        <v>89000</v>
      </c>
      <c r="F24" s="39">
        <f t="shared" si="12"/>
        <v>29000</v>
      </c>
      <c r="G24" s="104">
        <v>7500</v>
      </c>
      <c r="H24" s="39">
        <f t="shared" si="13"/>
        <v>500</v>
      </c>
      <c r="I24" s="105"/>
      <c r="J24" s="106" t="s">
        <v>42</v>
      </c>
      <c r="R24" s="73">
        <v>43543</v>
      </c>
      <c r="S24" s="38" t="s">
        <v>46</v>
      </c>
      <c r="T24" s="39">
        <v>0</v>
      </c>
      <c r="U24" s="52">
        <v>7500</v>
      </c>
      <c r="V24" s="23">
        <f t="shared" si="2"/>
        <v>3845.161290322576</v>
      </c>
      <c r="W24" t="s">
        <v>565</v>
      </c>
      <c r="X24" s="40">
        <f t="shared" si="3"/>
        <v>225.54567502021021</v>
      </c>
      <c r="Y24" s="69" t="s">
        <v>74</v>
      </c>
      <c r="Z24" s="70"/>
      <c r="AA24" s="78"/>
      <c r="AB24" s="78"/>
      <c r="AC24" s="78" t="s">
        <v>36</v>
      </c>
      <c r="AD24" s="90">
        <f>AD21+AD22*AD23</f>
        <v>300</v>
      </c>
      <c r="AE24" s="79"/>
      <c r="AG24" s="73">
        <v>43543</v>
      </c>
      <c r="AH24" s="38" t="s">
        <v>46</v>
      </c>
      <c r="AI24" s="39">
        <v>0</v>
      </c>
      <c r="AJ24" s="39" t="e">
        <f t="shared" si="5"/>
        <v>#REF!</v>
      </c>
      <c r="AK24" s="23" t="s">
        <v>567</v>
      </c>
      <c r="AL24" t="s">
        <v>567</v>
      </c>
      <c r="AM24" s="40" t="e">
        <f t="shared" si="6"/>
        <v>#REF!</v>
      </c>
      <c r="AN24" s="69" t="s">
        <v>74</v>
      </c>
      <c r="AO24" s="19"/>
      <c r="AP24" s="19"/>
    </row>
    <row r="25" spans="1:42">
      <c r="A25" s="37">
        <v>43529</v>
      </c>
      <c r="B25" s="38" t="s">
        <v>46</v>
      </c>
      <c r="C25" s="91">
        <v>25000</v>
      </c>
      <c r="D25" s="91">
        <v>8000</v>
      </c>
      <c r="E25" s="39">
        <f t="shared" si="11"/>
        <v>89000</v>
      </c>
      <c r="F25" s="39">
        <f t="shared" si="12"/>
        <v>41000</v>
      </c>
      <c r="G25" s="92">
        <v>6000</v>
      </c>
      <c r="H25" s="39">
        <f t="shared" si="13"/>
        <v>2000</v>
      </c>
      <c r="I25" s="39"/>
      <c r="J25" s="93"/>
      <c r="R25" s="73">
        <v>43544</v>
      </c>
      <c r="S25" s="38" t="s">
        <v>49</v>
      </c>
      <c r="T25" s="39">
        <f t="shared" ref="T25:T28" si="14">V25</f>
        <v>5445.161290322576</v>
      </c>
      <c r="U25" s="39">
        <f t="shared" ref="U25:U36" si="15">G40</f>
        <v>7300</v>
      </c>
      <c r="V25" s="23">
        <f t="shared" si="2"/>
        <v>5445.161290322576</v>
      </c>
      <c r="W25" t="s">
        <v>23</v>
      </c>
      <c r="X25" s="40">
        <f t="shared" si="3"/>
        <v>240</v>
      </c>
      <c r="Y25" s="53" t="s">
        <v>75</v>
      </c>
      <c r="Z25" s="54"/>
      <c r="AA25" s="78"/>
      <c r="AB25" s="78"/>
      <c r="AC25" s="78" t="s">
        <v>40</v>
      </c>
      <c r="AD25" s="90">
        <f>AD20/AD24</f>
        <v>266.02150537634407</v>
      </c>
      <c r="AE25" s="79"/>
      <c r="AG25" s="73">
        <v>43544</v>
      </c>
      <c r="AH25" s="38" t="s">
        <v>49</v>
      </c>
      <c r="AI25" s="39" t="str">
        <f t="shared" ref="AI25:AI28" si="16">AK25</f>
        <v>#REF!</v>
      </c>
      <c r="AJ25" s="39" t="e">
        <f t="shared" si="5"/>
        <v>#REF!</v>
      </c>
      <c r="AK25" s="23" t="s">
        <v>567</v>
      </c>
      <c r="AL25" t="s">
        <v>567</v>
      </c>
      <c r="AM25" s="40" t="e">
        <f t="shared" si="6"/>
        <v>#VALUE!</v>
      </c>
      <c r="AN25" s="53" t="s">
        <v>75</v>
      </c>
      <c r="AO25" s="19"/>
      <c r="AP25" s="19"/>
    </row>
    <row r="26" spans="1:42">
      <c r="A26" s="37">
        <v>43530</v>
      </c>
      <c r="B26" s="38" t="s">
        <v>49</v>
      </c>
      <c r="C26" s="91">
        <v>25000</v>
      </c>
      <c r="D26" s="91">
        <v>8000</v>
      </c>
      <c r="E26" s="39">
        <f t="shared" si="11"/>
        <v>89000</v>
      </c>
      <c r="F26" s="39">
        <f t="shared" si="12"/>
        <v>45000</v>
      </c>
      <c r="G26" s="92">
        <v>5500</v>
      </c>
      <c r="H26" s="39">
        <f t="shared" si="13"/>
        <v>2500</v>
      </c>
      <c r="I26" s="39"/>
      <c r="J26" s="93"/>
      <c r="R26" s="73">
        <v>43545</v>
      </c>
      <c r="S26" s="38" t="s">
        <v>51</v>
      </c>
      <c r="T26" s="39">
        <f t="shared" si="14"/>
        <v>5445.161290322576</v>
      </c>
      <c r="U26" s="39">
        <f t="shared" si="15"/>
        <v>7300</v>
      </c>
      <c r="V26" s="23">
        <f t="shared" si="2"/>
        <v>5445.161290322576</v>
      </c>
      <c r="W26" t="s">
        <v>23</v>
      </c>
      <c r="X26" s="40">
        <f t="shared" si="3"/>
        <v>240</v>
      </c>
      <c r="Y26" s="53" t="s">
        <v>75</v>
      </c>
      <c r="Z26" s="54"/>
      <c r="AA26" s="78"/>
      <c r="AB26" s="78" t="s">
        <v>11</v>
      </c>
      <c r="AC26" s="78" t="s">
        <v>45</v>
      </c>
      <c r="AD26" s="90">
        <f>AD24*(1-AE26)</f>
        <v>180</v>
      </c>
      <c r="AE26" s="107">
        <v>0.4</v>
      </c>
      <c r="AG26" s="73">
        <v>43545</v>
      </c>
      <c r="AH26" s="38" t="s">
        <v>51</v>
      </c>
      <c r="AI26" s="39" t="str">
        <f t="shared" si="16"/>
        <v>#REF!</v>
      </c>
      <c r="AJ26" s="39" t="e">
        <f t="shared" si="5"/>
        <v>#REF!</v>
      </c>
      <c r="AK26" s="23" t="s">
        <v>567</v>
      </c>
      <c r="AL26" t="s">
        <v>567</v>
      </c>
      <c r="AM26" s="40" t="e">
        <f t="shared" si="6"/>
        <v>#VALUE!</v>
      </c>
      <c r="AN26" s="53" t="s">
        <v>75</v>
      </c>
      <c r="AO26" s="19"/>
      <c r="AP26" s="19"/>
    </row>
    <row r="27" spans="1:42">
      <c r="A27" s="37">
        <v>43531</v>
      </c>
      <c r="B27" s="38" t="s">
        <v>51</v>
      </c>
      <c r="C27" s="91">
        <v>25000</v>
      </c>
      <c r="D27" s="91">
        <v>8000</v>
      </c>
      <c r="E27" s="39">
        <f t="shared" si="11"/>
        <v>89000</v>
      </c>
      <c r="F27" s="39">
        <f t="shared" si="12"/>
        <v>45000</v>
      </c>
      <c r="G27" s="92">
        <v>5500</v>
      </c>
      <c r="H27" s="39">
        <f t="shared" si="13"/>
        <v>2500</v>
      </c>
      <c r="I27" s="39"/>
      <c r="J27" s="93"/>
      <c r="R27" s="73">
        <v>43546</v>
      </c>
      <c r="S27" s="38" t="s">
        <v>29</v>
      </c>
      <c r="T27" s="39">
        <f t="shared" si="14"/>
        <v>27845.161290322576</v>
      </c>
      <c r="U27" s="39">
        <f t="shared" si="15"/>
        <v>4500</v>
      </c>
      <c r="V27" s="23">
        <f t="shared" si="2"/>
        <v>27845.161290322576</v>
      </c>
      <c r="W27" t="s">
        <v>23</v>
      </c>
      <c r="X27" s="40">
        <f t="shared" si="3"/>
        <v>240</v>
      </c>
      <c r="Y27" s="41"/>
      <c r="Z27" s="15"/>
      <c r="AA27" s="79"/>
      <c r="AB27" s="79"/>
      <c r="AC27" s="78" t="s">
        <v>48</v>
      </c>
      <c r="AD27" s="79"/>
      <c r="AE27" s="79"/>
      <c r="AG27" s="73">
        <v>43546</v>
      </c>
      <c r="AH27" s="38" t="s">
        <v>29</v>
      </c>
      <c r="AI27" s="39" t="str">
        <f t="shared" si="16"/>
        <v>#REF!</v>
      </c>
      <c r="AJ27" s="39" t="e">
        <f t="shared" si="5"/>
        <v>#REF!</v>
      </c>
      <c r="AK27" s="23" t="s">
        <v>567</v>
      </c>
      <c r="AL27" t="s">
        <v>567</v>
      </c>
      <c r="AM27" s="40" t="e">
        <f t="shared" si="6"/>
        <v>#VALUE!</v>
      </c>
      <c r="AN27" s="41"/>
      <c r="AO27" s="19"/>
      <c r="AP27" s="19"/>
    </row>
    <row r="28" spans="1:42">
      <c r="A28" s="37">
        <v>43532</v>
      </c>
      <c r="B28" s="38" t="s">
        <v>29</v>
      </c>
      <c r="C28" s="91">
        <v>25000</v>
      </c>
      <c r="D28" s="91">
        <v>8000</v>
      </c>
      <c r="E28" s="39">
        <f t="shared" si="11"/>
        <v>89000</v>
      </c>
      <c r="F28" s="39">
        <f t="shared" si="12"/>
        <v>53000</v>
      </c>
      <c r="G28" s="92">
        <v>4500</v>
      </c>
      <c r="H28" s="39">
        <f t="shared" si="13"/>
        <v>3500</v>
      </c>
      <c r="I28" s="39"/>
      <c r="J28" s="93"/>
      <c r="R28" s="73">
        <v>43547</v>
      </c>
      <c r="S28" s="38" t="s">
        <v>33</v>
      </c>
      <c r="T28" s="39">
        <f t="shared" si="14"/>
        <v>31845.161290322576</v>
      </c>
      <c r="U28" s="39">
        <f t="shared" si="15"/>
        <v>4000</v>
      </c>
      <c r="V28" s="23">
        <f t="shared" si="2"/>
        <v>31845.161290322576</v>
      </c>
      <c r="W28" t="s">
        <v>23</v>
      </c>
      <c r="X28" s="40">
        <f t="shared" si="3"/>
        <v>240</v>
      </c>
      <c r="Y28" s="41"/>
      <c r="Z28" s="15"/>
      <c r="AA28" s="79"/>
      <c r="AB28" s="79"/>
      <c r="AC28" s="79"/>
      <c r="AE28" s="79"/>
      <c r="AG28" s="73">
        <v>43547</v>
      </c>
      <c r="AH28" s="38" t="s">
        <v>33</v>
      </c>
      <c r="AI28" s="39" t="str">
        <f t="shared" si="16"/>
        <v>#REF!</v>
      </c>
      <c r="AJ28" s="39" t="e">
        <f t="shared" si="5"/>
        <v>#REF!</v>
      </c>
      <c r="AK28" s="23" t="s">
        <v>567</v>
      </c>
      <c r="AL28" t="s">
        <v>567</v>
      </c>
      <c r="AM28" s="40" t="e">
        <f t="shared" si="6"/>
        <v>#VALUE!</v>
      </c>
      <c r="AN28" s="41"/>
      <c r="AO28" s="19"/>
      <c r="AP28" s="19"/>
    </row>
    <row r="29" spans="1:42">
      <c r="A29" s="37">
        <v>43533</v>
      </c>
      <c r="B29" s="38" t="s">
        <v>33</v>
      </c>
      <c r="C29" s="91">
        <v>25000</v>
      </c>
      <c r="D29" s="91">
        <v>8000</v>
      </c>
      <c r="E29" s="39">
        <f t="shared" si="11"/>
        <v>89000</v>
      </c>
      <c r="F29" s="39">
        <f t="shared" si="12"/>
        <v>57000</v>
      </c>
      <c r="G29" s="92">
        <v>4000</v>
      </c>
      <c r="H29" s="39">
        <f t="shared" si="13"/>
        <v>4000</v>
      </c>
      <c r="I29" s="39"/>
      <c r="J29" s="93"/>
      <c r="R29" s="96">
        <v>43548</v>
      </c>
      <c r="S29" s="45" t="s">
        <v>37</v>
      </c>
      <c r="T29" s="46">
        <v>0</v>
      </c>
      <c r="U29" s="46">
        <f t="shared" si="15"/>
        <v>4000</v>
      </c>
      <c r="V29" s="47">
        <f t="shared" si="2"/>
        <v>31845.161290322576</v>
      </c>
      <c r="W29" s="34" t="s">
        <v>561</v>
      </c>
      <c r="X29" s="48">
        <f t="shared" si="3"/>
        <v>120.29102667744544</v>
      </c>
      <c r="Y29" s="49"/>
      <c r="Z29" s="15"/>
      <c r="AA29" s="78"/>
      <c r="AB29" s="78" t="s">
        <v>53</v>
      </c>
      <c r="AC29" s="78" t="s">
        <v>54</v>
      </c>
      <c r="AD29" s="78" t="s">
        <v>55</v>
      </c>
      <c r="AE29" s="79"/>
      <c r="AG29" s="96">
        <v>43548</v>
      </c>
      <c r="AH29" s="45" t="s">
        <v>37</v>
      </c>
      <c r="AI29" s="46">
        <v>0</v>
      </c>
      <c r="AJ29" s="46" t="e">
        <f t="shared" si="5"/>
        <v>#REF!</v>
      </c>
      <c r="AK29" s="47" t="s">
        <v>567</v>
      </c>
      <c r="AL29" s="34" t="s">
        <v>561</v>
      </c>
      <c r="AM29" s="48" t="e">
        <f t="shared" si="6"/>
        <v>#REF!</v>
      </c>
      <c r="AN29" s="49"/>
      <c r="AO29" s="19"/>
      <c r="AP29" s="19"/>
    </row>
    <row r="30" spans="1:42">
      <c r="A30" s="44">
        <v>43534</v>
      </c>
      <c r="B30" s="45" t="s">
        <v>37</v>
      </c>
      <c r="C30" s="99">
        <v>0</v>
      </c>
      <c r="D30" s="99">
        <v>4000</v>
      </c>
      <c r="E30" s="46">
        <f t="shared" si="11"/>
        <v>32000</v>
      </c>
      <c r="F30" s="46">
        <f t="shared" si="12"/>
        <v>0</v>
      </c>
      <c r="G30" s="100">
        <v>4000</v>
      </c>
      <c r="H30" s="46">
        <f t="shared" si="13"/>
        <v>0</v>
      </c>
      <c r="I30" s="46"/>
      <c r="J30" s="108"/>
      <c r="R30" s="68">
        <v>43549</v>
      </c>
      <c r="S30" s="51" t="s">
        <v>41</v>
      </c>
      <c r="T30" s="39">
        <v>2000</v>
      </c>
      <c r="U30" s="52">
        <f t="shared" si="15"/>
        <v>7500</v>
      </c>
      <c r="V30" s="23">
        <f t="shared" si="2"/>
        <v>3845.161290322576</v>
      </c>
      <c r="W30" t="s">
        <v>562</v>
      </c>
      <c r="X30" s="40">
        <f t="shared" si="3"/>
        <v>233.06386418755054</v>
      </c>
      <c r="Y30" s="69" t="s">
        <v>60</v>
      </c>
      <c r="Z30" s="70"/>
      <c r="AA30" s="78"/>
      <c r="AB30" s="78"/>
      <c r="AC30" s="78" t="s">
        <v>57</v>
      </c>
      <c r="AD30" s="102">
        <f>12695/5135</f>
        <v>2.4722492697176239</v>
      </c>
      <c r="AE30" s="79"/>
      <c r="AG30" s="68">
        <v>43549</v>
      </c>
      <c r="AH30" s="51" t="s">
        <v>41</v>
      </c>
      <c r="AI30" s="39">
        <v>2000</v>
      </c>
      <c r="AJ30" s="39" t="e">
        <f t="shared" si="5"/>
        <v>#REF!</v>
      </c>
      <c r="AK30" s="23" t="s">
        <v>567</v>
      </c>
      <c r="AL30" t="s">
        <v>567</v>
      </c>
      <c r="AM30" s="40" t="e">
        <f t="shared" si="6"/>
        <v>#REF!</v>
      </c>
      <c r="AN30" s="69" t="s">
        <v>60</v>
      </c>
      <c r="AO30" s="19"/>
      <c r="AP30" s="19"/>
    </row>
    <row r="31" spans="1:42">
      <c r="A31" s="68">
        <v>43535</v>
      </c>
      <c r="B31" s="51" t="s">
        <v>41</v>
      </c>
      <c r="C31" s="91">
        <v>25000</v>
      </c>
      <c r="D31" s="103">
        <v>8000</v>
      </c>
      <c r="E31" s="39">
        <f t="shared" si="11"/>
        <v>89000</v>
      </c>
      <c r="F31" s="39">
        <f t="shared" si="12"/>
        <v>29000</v>
      </c>
      <c r="G31" s="104">
        <v>7500</v>
      </c>
      <c r="H31" s="39">
        <f t="shared" si="13"/>
        <v>500</v>
      </c>
      <c r="I31" s="105"/>
      <c r="J31" s="106" t="s">
        <v>76</v>
      </c>
      <c r="R31" s="73">
        <v>43550</v>
      </c>
      <c r="S31" s="38" t="s">
        <v>46</v>
      </c>
      <c r="T31" s="39">
        <f t="shared" ref="T31:T34" si="17">V31</f>
        <v>15845.161290322576</v>
      </c>
      <c r="U31" s="39">
        <f t="shared" si="15"/>
        <v>6000</v>
      </c>
      <c r="V31" s="23">
        <f t="shared" si="2"/>
        <v>15845.161290322576</v>
      </c>
      <c r="W31" t="s">
        <v>23</v>
      </c>
      <c r="X31" s="40">
        <f t="shared" si="3"/>
        <v>240</v>
      </c>
      <c r="Y31" s="41"/>
      <c r="Z31" s="15"/>
      <c r="AA31" s="78"/>
      <c r="AB31" s="78"/>
      <c r="AC31" s="78" t="s">
        <v>58</v>
      </c>
      <c r="AD31" s="78">
        <v>31</v>
      </c>
      <c r="AE31" s="79"/>
      <c r="AG31" s="73">
        <v>43550</v>
      </c>
      <c r="AH31" s="38" t="s">
        <v>46</v>
      </c>
      <c r="AI31" s="39" t="str">
        <f t="shared" ref="AI31:AI34" si="18">AK31</f>
        <v>#REF!</v>
      </c>
      <c r="AJ31" s="39" t="e">
        <f t="shared" si="5"/>
        <v>#REF!</v>
      </c>
      <c r="AK31" s="23" t="s">
        <v>567</v>
      </c>
      <c r="AL31" t="s">
        <v>567</v>
      </c>
      <c r="AM31" s="40" t="e">
        <f t="shared" si="6"/>
        <v>#VALUE!</v>
      </c>
      <c r="AN31" s="41"/>
      <c r="AO31" s="19"/>
      <c r="AP31" s="19"/>
    </row>
    <row r="32" spans="1:42">
      <c r="A32" s="73">
        <v>43536</v>
      </c>
      <c r="B32" s="38" t="s">
        <v>46</v>
      </c>
      <c r="C32" s="91">
        <v>25000</v>
      </c>
      <c r="D32" s="91">
        <v>8000</v>
      </c>
      <c r="E32" s="39">
        <f t="shared" si="11"/>
        <v>89000</v>
      </c>
      <c r="F32" s="39">
        <f t="shared" si="12"/>
        <v>41000</v>
      </c>
      <c r="G32" s="92">
        <v>6000</v>
      </c>
      <c r="H32" s="39">
        <f t="shared" si="13"/>
        <v>2000</v>
      </c>
      <c r="I32" s="39"/>
      <c r="J32" s="93"/>
      <c r="R32" s="73">
        <v>43551</v>
      </c>
      <c r="S32" s="38" t="s">
        <v>49</v>
      </c>
      <c r="T32" s="39">
        <f t="shared" si="17"/>
        <v>19845.161290322576</v>
      </c>
      <c r="U32" s="39">
        <f t="shared" si="15"/>
        <v>5500</v>
      </c>
      <c r="V32" s="23">
        <f t="shared" si="2"/>
        <v>19845.161290322576</v>
      </c>
      <c r="W32" t="s">
        <v>23</v>
      </c>
      <c r="X32" s="40">
        <f t="shared" si="3"/>
        <v>240</v>
      </c>
      <c r="Y32" s="41"/>
      <c r="Z32" s="15"/>
      <c r="AA32" s="78"/>
      <c r="AB32" s="78"/>
      <c r="AC32" s="78" t="s">
        <v>59</v>
      </c>
      <c r="AD32" s="90">
        <f>SUM(G21:G51)</f>
        <v>173600</v>
      </c>
      <c r="AE32" s="79"/>
      <c r="AG32" s="73">
        <v>43551</v>
      </c>
      <c r="AH32" s="38" t="s">
        <v>49</v>
      </c>
      <c r="AI32" s="39" t="str">
        <f t="shared" si="18"/>
        <v>#REF!</v>
      </c>
      <c r="AJ32" s="39" t="e">
        <f t="shared" si="5"/>
        <v>#REF!</v>
      </c>
      <c r="AK32" s="23" t="s">
        <v>567</v>
      </c>
      <c r="AL32" t="s">
        <v>567</v>
      </c>
      <c r="AM32" s="40" t="e">
        <f t="shared" si="6"/>
        <v>#VALUE!</v>
      </c>
      <c r="AN32" s="41"/>
      <c r="AO32" s="19"/>
      <c r="AP32" s="19"/>
    </row>
    <row r="33" spans="1:42">
      <c r="A33" s="73">
        <v>43537</v>
      </c>
      <c r="B33" s="38" t="s">
        <v>49</v>
      </c>
      <c r="C33" s="91">
        <v>25000</v>
      </c>
      <c r="D33" s="91">
        <v>8000</v>
      </c>
      <c r="E33" s="39">
        <f t="shared" si="11"/>
        <v>89000</v>
      </c>
      <c r="F33" s="39">
        <f t="shared" si="12"/>
        <v>45000</v>
      </c>
      <c r="G33" s="92">
        <v>5500</v>
      </c>
      <c r="H33" s="39">
        <f t="shared" si="13"/>
        <v>2500</v>
      </c>
      <c r="I33" s="39"/>
      <c r="J33" s="93"/>
      <c r="R33" s="73">
        <v>43552</v>
      </c>
      <c r="S33" s="38" t="s">
        <v>51</v>
      </c>
      <c r="T33" s="39">
        <f t="shared" si="17"/>
        <v>19845.161290322576</v>
      </c>
      <c r="U33" s="39">
        <f t="shared" si="15"/>
        <v>5500</v>
      </c>
      <c r="V33" s="23">
        <f t="shared" si="2"/>
        <v>19845.161290322576</v>
      </c>
      <c r="W33" t="s">
        <v>23</v>
      </c>
      <c r="X33" s="40">
        <f t="shared" si="3"/>
        <v>240</v>
      </c>
      <c r="Y33" s="41"/>
      <c r="Z33" s="15"/>
      <c r="AA33" s="79"/>
      <c r="AB33" s="79"/>
      <c r="AC33" s="78" t="s">
        <v>62</v>
      </c>
      <c r="AD33" s="90">
        <f>AD32/AD31</f>
        <v>5600</v>
      </c>
      <c r="AE33" s="79"/>
      <c r="AG33" s="73">
        <v>43552</v>
      </c>
      <c r="AH33" s="38" t="s">
        <v>51</v>
      </c>
      <c r="AI33" s="39" t="str">
        <f t="shared" si="18"/>
        <v>#REF!</v>
      </c>
      <c r="AJ33" s="39" t="e">
        <f t="shared" si="5"/>
        <v>#REF!</v>
      </c>
      <c r="AK33" s="23" t="s">
        <v>567</v>
      </c>
      <c r="AL33" t="s">
        <v>567</v>
      </c>
      <c r="AM33" s="40" t="e">
        <f t="shared" si="6"/>
        <v>#VALUE!</v>
      </c>
      <c r="AN33" s="41"/>
      <c r="AO33" s="19"/>
      <c r="AP33" s="19"/>
    </row>
    <row r="34" spans="1:42">
      <c r="A34" s="73">
        <v>43538</v>
      </c>
      <c r="B34" s="38" t="s">
        <v>51</v>
      </c>
      <c r="C34" s="91">
        <v>25000</v>
      </c>
      <c r="D34" s="91">
        <v>8000</v>
      </c>
      <c r="E34" s="39">
        <f t="shared" si="11"/>
        <v>89000</v>
      </c>
      <c r="F34" s="39">
        <f t="shared" si="12"/>
        <v>45000</v>
      </c>
      <c r="G34" s="92">
        <v>5500</v>
      </c>
      <c r="H34" s="39">
        <f t="shared" si="13"/>
        <v>2500</v>
      </c>
      <c r="I34" s="39"/>
      <c r="J34" s="93"/>
      <c r="R34" s="73">
        <v>43553</v>
      </c>
      <c r="S34" s="38" t="s">
        <v>29</v>
      </c>
      <c r="T34" s="39">
        <f t="shared" si="17"/>
        <v>27845.161290322576</v>
      </c>
      <c r="U34" s="39">
        <f t="shared" si="15"/>
        <v>4500</v>
      </c>
      <c r="V34" s="23">
        <f t="shared" si="2"/>
        <v>27845.161290322576</v>
      </c>
      <c r="W34" t="s">
        <v>23</v>
      </c>
      <c r="X34" s="40">
        <f t="shared" si="3"/>
        <v>240</v>
      </c>
      <c r="Y34" s="41"/>
      <c r="Z34" s="15"/>
      <c r="AA34" s="79"/>
      <c r="AB34" s="79"/>
      <c r="AC34" s="109" t="s">
        <v>34</v>
      </c>
      <c r="AD34" s="110">
        <f>AD32*AD30</f>
        <v>429182.47322297952</v>
      </c>
      <c r="AE34" s="79"/>
      <c r="AG34" s="73">
        <v>43553</v>
      </c>
      <c r="AH34" s="38" t="s">
        <v>29</v>
      </c>
      <c r="AI34" s="39" t="str">
        <f t="shared" si="18"/>
        <v>#REF!</v>
      </c>
      <c r="AJ34" s="39" t="e">
        <f t="shared" si="5"/>
        <v>#REF!</v>
      </c>
      <c r="AK34" s="23" t="s">
        <v>567</v>
      </c>
      <c r="AL34" t="s">
        <v>567</v>
      </c>
      <c r="AM34" s="40" t="e">
        <f t="shared" si="6"/>
        <v>#VALUE!</v>
      </c>
      <c r="AN34" s="41"/>
      <c r="AO34" s="19"/>
      <c r="AP34" s="19"/>
    </row>
    <row r="35" spans="1:42">
      <c r="A35" s="73">
        <v>43539</v>
      </c>
      <c r="B35" s="38" t="s">
        <v>29</v>
      </c>
      <c r="C35" s="91">
        <v>25000</v>
      </c>
      <c r="D35" s="91">
        <v>8000</v>
      </c>
      <c r="E35" s="39">
        <f t="shared" si="11"/>
        <v>89000</v>
      </c>
      <c r="F35" s="39">
        <f t="shared" si="12"/>
        <v>37000</v>
      </c>
      <c r="G35" s="92">
        <v>6500</v>
      </c>
      <c r="H35" s="39">
        <f t="shared" si="13"/>
        <v>1500</v>
      </c>
      <c r="I35" s="39"/>
      <c r="J35" s="106" t="s">
        <v>71</v>
      </c>
      <c r="R35" s="73">
        <v>43554</v>
      </c>
      <c r="S35" s="38" t="s">
        <v>33</v>
      </c>
      <c r="T35" s="39">
        <f>V35-U39</f>
        <v>31845.161290322576</v>
      </c>
      <c r="U35" s="39">
        <f t="shared" si="15"/>
        <v>4000</v>
      </c>
      <c r="V35" s="23">
        <f t="shared" si="2"/>
        <v>31845.161290322576</v>
      </c>
      <c r="W35" t="s">
        <v>23</v>
      </c>
      <c r="X35" s="40">
        <f t="shared" si="3"/>
        <v>240</v>
      </c>
      <c r="Y35" s="41"/>
      <c r="Z35" s="15"/>
      <c r="AA35" s="79"/>
      <c r="AB35" s="79"/>
      <c r="AC35" s="109" t="s">
        <v>68</v>
      </c>
      <c r="AD35" s="131" t="e">
        <f>SUM(AI6:AI36)</f>
        <v>#VALUE!</v>
      </c>
      <c r="AE35" s="79"/>
      <c r="AG35" s="73">
        <v>43554</v>
      </c>
      <c r="AH35" s="38" t="s">
        <v>33</v>
      </c>
      <c r="AI35" s="39" t="e">
        <f>AK35-AJ39</f>
        <v>#VALUE!</v>
      </c>
      <c r="AJ35" s="39" t="e">
        <f t="shared" si="5"/>
        <v>#REF!</v>
      </c>
      <c r="AK35" s="23" t="s">
        <v>567</v>
      </c>
      <c r="AL35" t="s">
        <v>567</v>
      </c>
      <c r="AM35" s="40" t="e">
        <f t="shared" si="6"/>
        <v>#VALUE!</v>
      </c>
      <c r="AN35" s="41"/>
      <c r="AO35" s="19"/>
      <c r="AP35" s="19"/>
    </row>
    <row r="36" spans="1:42">
      <c r="A36" s="73">
        <v>43540</v>
      </c>
      <c r="B36" s="38" t="s">
        <v>33</v>
      </c>
      <c r="C36" s="91">
        <v>25000</v>
      </c>
      <c r="D36" s="91">
        <v>8000</v>
      </c>
      <c r="E36" s="39">
        <f t="shared" si="11"/>
        <v>89000</v>
      </c>
      <c r="F36" s="39">
        <f t="shared" si="12"/>
        <v>37000</v>
      </c>
      <c r="G36" s="92">
        <v>6500</v>
      </c>
      <c r="H36" s="39">
        <f t="shared" si="13"/>
        <v>1500</v>
      </c>
      <c r="I36" s="39"/>
      <c r="J36" s="106" t="s">
        <v>71</v>
      </c>
      <c r="R36" s="96">
        <v>43555</v>
      </c>
      <c r="S36" s="45" t="s">
        <v>37</v>
      </c>
      <c r="T36" s="46">
        <v>0</v>
      </c>
      <c r="U36" s="46">
        <f t="shared" si="15"/>
        <v>4000</v>
      </c>
      <c r="V36" s="47">
        <f t="shared" si="2"/>
        <v>31845.161290322576</v>
      </c>
      <c r="W36" s="34" t="s">
        <v>561</v>
      </c>
      <c r="X36" s="48">
        <f t="shared" si="3"/>
        <v>120.29102667744544</v>
      </c>
      <c r="Y36" s="49"/>
      <c r="Z36" s="15"/>
      <c r="AA36" s="79"/>
      <c r="AB36" s="79"/>
      <c r="AC36" s="78" t="s">
        <v>70</v>
      </c>
      <c r="AD36" s="90" t="e">
        <f>AD35-AD34</f>
        <v>#VALUE!</v>
      </c>
      <c r="AE36" s="79"/>
      <c r="AG36" s="96">
        <v>43555</v>
      </c>
      <c r="AH36" s="45" t="s">
        <v>37</v>
      </c>
      <c r="AI36" s="46">
        <v>0</v>
      </c>
      <c r="AJ36" s="46" t="e">
        <f t="shared" si="5"/>
        <v>#REF!</v>
      </c>
      <c r="AK36" s="47" t="s">
        <v>567</v>
      </c>
      <c r="AL36" s="34" t="s">
        <v>561</v>
      </c>
      <c r="AM36" s="48" t="e">
        <f t="shared" si="6"/>
        <v>#REF!</v>
      </c>
      <c r="AN36" s="49"/>
      <c r="AO36" s="19"/>
      <c r="AP36" s="19"/>
    </row>
    <row r="37" spans="1:42">
      <c r="A37" s="96">
        <v>43541</v>
      </c>
      <c r="B37" s="45" t="s">
        <v>37</v>
      </c>
      <c r="C37" s="99">
        <v>0</v>
      </c>
      <c r="D37" s="99">
        <v>4000</v>
      </c>
      <c r="E37" s="46">
        <f t="shared" si="11"/>
        <v>32000</v>
      </c>
      <c r="F37" s="46">
        <f t="shared" si="12"/>
        <v>-20000</v>
      </c>
      <c r="G37" s="100">
        <v>6500</v>
      </c>
      <c r="H37" s="46">
        <f t="shared" si="13"/>
        <v>-2500</v>
      </c>
      <c r="I37" s="46"/>
      <c r="J37" s="111" t="s">
        <v>71</v>
      </c>
      <c r="R37" s="112"/>
      <c r="S37" s="113"/>
      <c r="T37" s="114">
        <f t="shared" ref="T37:U37" si="19">SUM(T6:T36)</f>
        <v>445948.38709677383</v>
      </c>
      <c r="U37" s="114">
        <f t="shared" si="19"/>
        <v>173100</v>
      </c>
      <c r="AA37" s="79"/>
      <c r="AB37" s="79"/>
      <c r="AC37" s="78" t="s">
        <v>72</v>
      </c>
      <c r="AD37" s="115" t="e">
        <f>AD36/26</f>
        <v>#VALUE!</v>
      </c>
      <c r="AE37" s="79"/>
      <c r="AG37" s="112"/>
      <c r="AH37" s="113"/>
      <c r="AI37" s="114" t="e">
        <f t="shared" ref="AI37:AJ37" si="20">SUM(AI6:AI36)</f>
        <v>#VALUE!</v>
      </c>
      <c r="AJ37" s="114" t="e">
        <f t="shared" si="20"/>
        <v>#REF!</v>
      </c>
      <c r="AO37" s="9"/>
      <c r="AP37" s="9"/>
    </row>
    <row r="38" spans="1:42">
      <c r="A38" s="68">
        <v>43542</v>
      </c>
      <c r="B38" s="51" t="s">
        <v>41</v>
      </c>
      <c r="C38" s="91">
        <v>25000</v>
      </c>
      <c r="D38" s="116">
        <v>8000</v>
      </c>
      <c r="E38" s="39">
        <f t="shared" si="11"/>
        <v>89000</v>
      </c>
      <c r="F38" s="39">
        <f t="shared" si="12"/>
        <v>13000</v>
      </c>
      <c r="G38" s="117">
        <v>9500</v>
      </c>
      <c r="H38" s="39">
        <f t="shared" si="13"/>
        <v>-1500</v>
      </c>
      <c r="I38" s="118"/>
      <c r="J38" s="106" t="s">
        <v>73</v>
      </c>
      <c r="T38">
        <f>T37/26</f>
        <v>17151.861042183609</v>
      </c>
      <c r="AJ38" t="e">
        <f>AI37/AJ37</f>
        <v>#VALUE!</v>
      </c>
      <c r="AO38" s="9"/>
      <c r="AP38" s="9"/>
    </row>
    <row r="39" spans="1:42">
      <c r="A39" s="73">
        <v>43543</v>
      </c>
      <c r="B39" s="38" t="s">
        <v>46</v>
      </c>
      <c r="C39" s="91">
        <v>25000</v>
      </c>
      <c r="D39" s="116">
        <v>8000</v>
      </c>
      <c r="E39" s="39">
        <f t="shared" si="11"/>
        <v>89000</v>
      </c>
      <c r="F39" s="39">
        <f t="shared" si="12"/>
        <v>37000</v>
      </c>
      <c r="G39" s="117">
        <v>6500</v>
      </c>
      <c r="H39" s="39">
        <f t="shared" si="13"/>
        <v>1500</v>
      </c>
      <c r="I39" s="118"/>
      <c r="J39" s="106" t="s">
        <v>77</v>
      </c>
      <c r="N39" s="4" t="s">
        <v>78</v>
      </c>
      <c r="AO39" s="9"/>
      <c r="AP39" s="9"/>
    </row>
    <row r="40" spans="1:42">
      <c r="A40" s="73">
        <v>43544</v>
      </c>
      <c r="B40" s="38" t="s">
        <v>49</v>
      </c>
      <c r="C40" s="91">
        <v>25000</v>
      </c>
      <c r="D40" s="116">
        <v>8000</v>
      </c>
      <c r="E40" s="39">
        <f t="shared" si="11"/>
        <v>89000</v>
      </c>
      <c r="F40" s="39">
        <f t="shared" si="12"/>
        <v>30600</v>
      </c>
      <c r="G40" s="117">
        <v>7300</v>
      </c>
      <c r="H40" s="39">
        <f t="shared" si="13"/>
        <v>700</v>
      </c>
      <c r="I40" s="118"/>
      <c r="J40" s="106" t="s">
        <v>75</v>
      </c>
      <c r="N40" s="4" t="s">
        <v>79</v>
      </c>
      <c r="AO40" s="9"/>
      <c r="AP40" s="9"/>
    </row>
    <row r="41" spans="1:42">
      <c r="A41" s="73">
        <v>43545</v>
      </c>
      <c r="B41" s="38" t="s">
        <v>51</v>
      </c>
      <c r="C41" s="91">
        <v>25000</v>
      </c>
      <c r="D41" s="116">
        <v>8000</v>
      </c>
      <c r="E41" s="39">
        <f t="shared" si="11"/>
        <v>89000</v>
      </c>
      <c r="F41" s="39">
        <f t="shared" si="12"/>
        <v>30600</v>
      </c>
      <c r="G41" s="117">
        <v>7300</v>
      </c>
      <c r="H41" s="39">
        <f t="shared" si="13"/>
        <v>700</v>
      </c>
      <c r="I41" s="118"/>
      <c r="J41" s="106" t="s">
        <v>75</v>
      </c>
      <c r="N41" s="119" t="s">
        <v>80</v>
      </c>
      <c r="AC41" s="119"/>
      <c r="AO41" s="9"/>
      <c r="AP41" s="9"/>
    </row>
    <row r="42" spans="1:42">
      <c r="A42" s="73">
        <v>43546</v>
      </c>
      <c r="B42" s="38" t="s">
        <v>29</v>
      </c>
      <c r="C42" s="91">
        <v>25000</v>
      </c>
      <c r="D42" s="116">
        <v>8000</v>
      </c>
      <c r="E42" s="39">
        <f t="shared" si="11"/>
        <v>89000</v>
      </c>
      <c r="F42" s="39">
        <f t="shared" si="12"/>
        <v>53000</v>
      </c>
      <c r="G42" s="120">
        <v>4500</v>
      </c>
      <c r="H42" s="39">
        <f t="shared" si="13"/>
        <v>3500</v>
      </c>
      <c r="I42" s="118"/>
      <c r="J42" s="93"/>
      <c r="AO42" s="9"/>
      <c r="AP42" s="9"/>
    </row>
    <row r="43" spans="1:42">
      <c r="A43" s="73">
        <v>43547</v>
      </c>
      <c r="B43" s="38" t="s">
        <v>33</v>
      </c>
      <c r="C43" s="91">
        <v>25000</v>
      </c>
      <c r="D43" s="116">
        <v>8000</v>
      </c>
      <c r="E43" s="39">
        <f t="shared" si="11"/>
        <v>89000</v>
      </c>
      <c r="F43" s="39">
        <f t="shared" si="12"/>
        <v>57000</v>
      </c>
      <c r="G43" s="120">
        <v>4000</v>
      </c>
      <c r="H43" s="39">
        <f t="shared" si="13"/>
        <v>4000</v>
      </c>
      <c r="I43" s="118"/>
      <c r="J43" s="93"/>
      <c r="AO43" s="9"/>
      <c r="AP43" s="9"/>
    </row>
    <row r="44" spans="1:42">
      <c r="A44" s="96">
        <v>43548</v>
      </c>
      <c r="B44" s="45" t="s">
        <v>37</v>
      </c>
      <c r="C44" s="99">
        <v>0</v>
      </c>
      <c r="D44" s="99">
        <v>4000</v>
      </c>
      <c r="E44" s="46">
        <f t="shared" si="11"/>
        <v>32000</v>
      </c>
      <c r="F44" s="46">
        <f t="shared" si="12"/>
        <v>0</v>
      </c>
      <c r="G44" s="121">
        <v>4000</v>
      </c>
      <c r="H44" s="46">
        <f t="shared" si="13"/>
        <v>0</v>
      </c>
      <c r="I44" s="122"/>
      <c r="J44" s="101"/>
      <c r="AO44" s="9"/>
      <c r="AP44" s="9"/>
    </row>
    <row r="45" spans="1:42">
      <c r="A45" s="68">
        <v>43549</v>
      </c>
      <c r="B45" s="51" t="s">
        <v>41</v>
      </c>
      <c r="C45" s="91">
        <v>25000</v>
      </c>
      <c r="D45" s="116">
        <v>8000</v>
      </c>
      <c r="E45" s="39">
        <f t="shared" si="11"/>
        <v>89000</v>
      </c>
      <c r="F45" s="39">
        <f t="shared" si="12"/>
        <v>29000</v>
      </c>
      <c r="G45" s="117">
        <v>7500</v>
      </c>
      <c r="H45" s="39">
        <f t="shared" si="13"/>
        <v>500</v>
      </c>
      <c r="I45" s="118"/>
      <c r="J45" s="106" t="s">
        <v>76</v>
      </c>
      <c r="AO45" s="9"/>
      <c r="AP45" s="9"/>
    </row>
    <row r="46" spans="1:42">
      <c r="A46" s="73">
        <v>43550</v>
      </c>
      <c r="B46" s="38" t="s">
        <v>46</v>
      </c>
      <c r="C46" s="91">
        <v>25000</v>
      </c>
      <c r="D46" s="116">
        <v>8000</v>
      </c>
      <c r="E46" s="39">
        <f t="shared" si="11"/>
        <v>89000</v>
      </c>
      <c r="F46" s="39">
        <f t="shared" si="12"/>
        <v>41000</v>
      </c>
      <c r="G46" s="120">
        <v>6000</v>
      </c>
      <c r="H46" s="39">
        <f t="shared" si="13"/>
        <v>2000</v>
      </c>
      <c r="I46" s="118"/>
      <c r="J46" s="93"/>
      <c r="AO46" s="9"/>
      <c r="AP46" s="9"/>
    </row>
    <row r="47" spans="1:42">
      <c r="A47" s="73">
        <v>43551</v>
      </c>
      <c r="B47" s="38" t="s">
        <v>49</v>
      </c>
      <c r="C47" s="91">
        <v>25000</v>
      </c>
      <c r="D47" s="116">
        <v>8000</v>
      </c>
      <c r="E47" s="39">
        <f t="shared" si="11"/>
        <v>89000</v>
      </c>
      <c r="F47" s="39">
        <f t="shared" si="12"/>
        <v>45000</v>
      </c>
      <c r="G47" s="120">
        <v>5500</v>
      </c>
      <c r="H47" s="39">
        <f t="shared" si="13"/>
        <v>2500</v>
      </c>
      <c r="I47" s="118"/>
      <c r="J47" s="93"/>
      <c r="AO47" s="9"/>
      <c r="AP47" s="9"/>
    </row>
    <row r="48" spans="1:42">
      <c r="A48" s="73">
        <v>43552</v>
      </c>
      <c r="B48" s="38" t="s">
        <v>51</v>
      </c>
      <c r="C48" s="91">
        <v>25000</v>
      </c>
      <c r="D48" s="116">
        <v>8000</v>
      </c>
      <c r="E48" s="39">
        <f t="shared" si="11"/>
        <v>89000</v>
      </c>
      <c r="F48" s="39">
        <f t="shared" si="12"/>
        <v>45000</v>
      </c>
      <c r="G48" s="120">
        <v>5500</v>
      </c>
      <c r="H48" s="39">
        <f t="shared" si="13"/>
        <v>2500</v>
      </c>
      <c r="J48" s="93"/>
      <c r="AO48" s="9"/>
      <c r="AP48" s="9"/>
    </row>
    <row r="49" spans="1:42">
      <c r="A49" s="73">
        <v>43553</v>
      </c>
      <c r="B49" s="38" t="s">
        <v>29</v>
      </c>
      <c r="C49" s="91">
        <v>25000</v>
      </c>
      <c r="D49" s="116">
        <v>8000</v>
      </c>
      <c r="E49" s="39">
        <f t="shared" si="11"/>
        <v>89000</v>
      </c>
      <c r="F49" s="39">
        <f t="shared" si="12"/>
        <v>53000</v>
      </c>
      <c r="G49" s="120">
        <v>4500</v>
      </c>
      <c r="H49" s="39">
        <f t="shared" si="13"/>
        <v>3500</v>
      </c>
      <c r="I49" s="2"/>
      <c r="J49" s="93"/>
      <c r="AO49" s="9"/>
      <c r="AP49" s="9"/>
    </row>
    <row r="50" spans="1:42">
      <c r="A50" s="73">
        <v>43554</v>
      </c>
      <c r="B50" s="38" t="s">
        <v>33</v>
      </c>
      <c r="C50" s="91">
        <v>25000</v>
      </c>
      <c r="D50" s="116">
        <v>8000</v>
      </c>
      <c r="E50" s="39">
        <f t="shared" si="11"/>
        <v>89000</v>
      </c>
      <c r="F50" s="39">
        <f t="shared" si="12"/>
        <v>57000</v>
      </c>
      <c r="G50" s="120">
        <v>4000</v>
      </c>
      <c r="H50" s="39">
        <f t="shared" si="13"/>
        <v>4000</v>
      </c>
      <c r="I50" s="2"/>
      <c r="J50" s="93"/>
      <c r="AO50" s="9"/>
      <c r="AP50" s="9"/>
    </row>
    <row r="51" spans="1:42" ht="14">
      <c r="A51" s="96">
        <v>43555</v>
      </c>
      <c r="B51" s="45" t="s">
        <v>37</v>
      </c>
      <c r="C51" s="99">
        <v>0</v>
      </c>
      <c r="D51" s="99">
        <v>4000</v>
      </c>
      <c r="E51" s="46">
        <f t="shared" si="11"/>
        <v>32000</v>
      </c>
      <c r="F51" s="46">
        <f t="shared" si="12"/>
        <v>0</v>
      </c>
      <c r="G51" s="121">
        <v>4000</v>
      </c>
      <c r="H51" s="46">
        <f t="shared" si="13"/>
        <v>0</v>
      </c>
      <c r="I51" s="122"/>
      <c r="J51" s="101"/>
      <c r="AO51" s="9"/>
      <c r="AP51" s="9"/>
    </row>
    <row r="52" spans="1:42" ht="13">
      <c r="A52" s="2"/>
      <c r="B52" s="2"/>
      <c r="C52" s="2"/>
      <c r="D52" s="2"/>
      <c r="E52" s="2"/>
      <c r="F52" s="2"/>
      <c r="G52" s="2"/>
      <c r="H52" s="2"/>
      <c r="I52" s="2"/>
      <c r="AO52" s="9"/>
      <c r="AP52" s="9"/>
    </row>
    <row r="53" spans="1:42" ht="13">
      <c r="A53" s="2"/>
      <c r="B53" s="2"/>
      <c r="C53" s="2"/>
      <c r="D53" s="2"/>
      <c r="E53" s="2"/>
      <c r="F53" s="2"/>
      <c r="G53" s="2"/>
      <c r="H53" s="2"/>
      <c r="I53" s="2"/>
      <c r="J53" s="2"/>
      <c r="AO53" s="9"/>
      <c r="AP53" s="9"/>
    </row>
    <row r="54" spans="1:42" ht="13">
      <c r="A54" s="2"/>
      <c r="B54" s="2"/>
      <c r="C54" s="2"/>
      <c r="D54" s="2"/>
      <c r="E54" s="2"/>
      <c r="F54" s="2"/>
      <c r="G54" s="2"/>
      <c r="H54" s="2"/>
      <c r="I54" s="2"/>
      <c r="J54" s="2"/>
      <c r="AO54" s="9"/>
      <c r="AP54" s="9"/>
    </row>
    <row r="55" spans="1:42" ht="13">
      <c r="A55" s="2"/>
      <c r="B55" s="2"/>
      <c r="C55" s="2"/>
      <c r="D55" s="2"/>
      <c r="E55" s="2"/>
      <c r="F55" s="2"/>
      <c r="G55" s="2"/>
      <c r="H55" s="2"/>
      <c r="I55" s="2"/>
      <c r="J55" s="13" t="s">
        <v>81</v>
      </c>
      <c r="L55" s="112" t="s">
        <v>82</v>
      </c>
      <c r="O55" s="113"/>
      <c r="AO55" s="9"/>
      <c r="AP55" s="9"/>
    </row>
    <row r="56" spans="1:42" ht="13">
      <c r="A56" s="2"/>
      <c r="B56" s="2"/>
      <c r="C56" s="2"/>
      <c r="D56" s="2"/>
      <c r="E56" s="2"/>
      <c r="F56" s="2"/>
      <c r="G56" s="2"/>
      <c r="H56" s="2"/>
      <c r="I56" s="2"/>
      <c r="J56" s="2"/>
      <c r="AO56" s="9"/>
      <c r="AP56" s="9"/>
    </row>
    <row r="57" spans="1:42" ht="13">
      <c r="A57" s="2"/>
      <c r="B57" s="2"/>
      <c r="C57" s="2"/>
      <c r="D57" s="2"/>
      <c r="E57" s="2"/>
      <c r="F57" s="2"/>
      <c r="G57" s="2"/>
      <c r="H57" s="2"/>
      <c r="I57" s="2"/>
      <c r="J57" s="2"/>
      <c r="AO57" s="9"/>
      <c r="AP57" s="9"/>
    </row>
    <row r="58" spans="1:42" ht="13">
      <c r="A58" s="2"/>
      <c r="B58" s="2"/>
      <c r="C58" s="2"/>
      <c r="D58" s="2"/>
      <c r="E58" s="2"/>
      <c r="F58" s="2"/>
      <c r="G58" s="2"/>
      <c r="H58" s="2"/>
      <c r="I58" s="2"/>
      <c r="J58" s="2"/>
      <c r="AO58" s="9"/>
      <c r="AP58" s="9"/>
    </row>
    <row r="59" spans="1:42" ht="13">
      <c r="A59" s="2"/>
      <c r="B59" s="2"/>
      <c r="C59" s="2"/>
      <c r="D59" s="2"/>
      <c r="E59" s="2"/>
      <c r="F59" s="2"/>
      <c r="G59" s="2"/>
      <c r="H59" s="2"/>
      <c r="I59" s="2"/>
      <c r="J59" s="2"/>
      <c r="AO59" s="9"/>
      <c r="AP59" s="9"/>
    </row>
    <row r="60" spans="1:42" ht="13">
      <c r="A60" s="2"/>
      <c r="B60" s="2"/>
      <c r="C60" s="2"/>
      <c r="D60" s="2"/>
      <c r="E60" s="2"/>
      <c r="F60" s="2"/>
      <c r="G60" s="2"/>
      <c r="H60" s="2"/>
      <c r="I60" s="2"/>
      <c r="J60" s="2"/>
      <c r="AO60" s="9"/>
      <c r="AP60" s="9"/>
    </row>
    <row r="61" spans="1:42" ht="13">
      <c r="A61" s="2"/>
      <c r="B61" s="2"/>
      <c r="C61" s="2"/>
      <c r="D61" s="2"/>
      <c r="E61" s="2"/>
      <c r="F61" s="2"/>
      <c r="G61" s="2"/>
      <c r="H61" s="2"/>
      <c r="I61" s="2"/>
      <c r="J61" s="2"/>
      <c r="AO61" s="9"/>
      <c r="AP61" s="9"/>
    </row>
    <row r="62" spans="1:42" ht="13">
      <c r="A62" s="2"/>
      <c r="B62" s="2"/>
      <c r="C62" s="2"/>
      <c r="D62" s="2"/>
      <c r="E62" s="2"/>
      <c r="F62" s="2"/>
      <c r="G62" s="2"/>
      <c r="H62" s="2"/>
      <c r="I62" s="2"/>
      <c r="J62" s="2"/>
      <c r="AO62" s="9"/>
      <c r="AP62" s="9"/>
    </row>
    <row r="63" spans="1:42" ht="13">
      <c r="A63" s="2"/>
      <c r="B63" s="2"/>
      <c r="C63" s="2"/>
      <c r="D63" s="2"/>
      <c r="E63" s="2"/>
      <c r="F63" s="2"/>
      <c r="G63" s="2"/>
      <c r="H63" s="2"/>
      <c r="I63" s="2"/>
      <c r="J63" s="2"/>
      <c r="AO63" s="9"/>
      <c r="AP63" s="9"/>
    </row>
    <row r="64" spans="1:42" ht="13">
      <c r="A64" s="2"/>
      <c r="B64" s="2"/>
      <c r="C64" s="2"/>
      <c r="D64" s="2"/>
      <c r="E64" s="2"/>
      <c r="F64" s="2"/>
      <c r="G64" s="2"/>
      <c r="H64" s="2"/>
      <c r="I64" s="2"/>
      <c r="J64" s="2"/>
      <c r="AO64" s="9"/>
      <c r="AP64" s="9"/>
    </row>
    <row r="65" spans="1:42" ht="13">
      <c r="A65" s="2"/>
      <c r="B65" s="2"/>
      <c r="C65" s="2"/>
      <c r="D65" s="2"/>
      <c r="E65" s="2"/>
      <c r="F65" s="2"/>
      <c r="G65" s="2"/>
      <c r="H65" s="2"/>
      <c r="I65" s="2"/>
      <c r="J65" s="2"/>
      <c r="AO65" s="9"/>
      <c r="AP65" s="9"/>
    </row>
    <row r="66" spans="1:42" ht="13">
      <c r="A66" s="2"/>
      <c r="B66" s="2"/>
      <c r="C66" s="2"/>
      <c r="D66" s="2"/>
      <c r="E66" s="2"/>
      <c r="F66" s="2"/>
      <c r="G66" s="2"/>
      <c r="H66" s="2"/>
      <c r="I66" s="2"/>
      <c r="J66" s="2"/>
      <c r="AO66" s="9"/>
      <c r="AP66" s="9"/>
    </row>
    <row r="67" spans="1:42" ht="13">
      <c r="A67" s="2"/>
      <c r="B67" s="2"/>
      <c r="C67" s="2"/>
      <c r="D67" s="2"/>
      <c r="E67" s="2"/>
      <c r="F67" s="2"/>
      <c r="G67" s="2"/>
      <c r="H67" s="2"/>
      <c r="I67" s="2"/>
      <c r="J67" s="2"/>
      <c r="AO67" s="9"/>
      <c r="AP67" s="9"/>
    </row>
    <row r="68" spans="1:42" ht="13">
      <c r="A68" s="2"/>
      <c r="B68" s="2"/>
      <c r="C68" s="2"/>
      <c r="D68" s="2"/>
      <c r="E68" s="2"/>
      <c r="F68" s="2"/>
      <c r="G68" s="2"/>
      <c r="H68" s="2"/>
      <c r="I68" s="2"/>
      <c r="J68" s="2"/>
      <c r="AO68" s="9"/>
      <c r="AP68" s="9"/>
    </row>
    <row r="69" spans="1:42" ht="13">
      <c r="A69" s="2"/>
      <c r="B69" s="2"/>
      <c r="C69" s="2"/>
      <c r="D69" s="2"/>
      <c r="E69" s="2"/>
      <c r="F69" s="2"/>
      <c r="G69" s="2"/>
      <c r="H69" s="2"/>
      <c r="I69" s="2"/>
      <c r="J69" s="2"/>
      <c r="AO69" s="9"/>
      <c r="AP69" s="9"/>
    </row>
    <row r="70" spans="1:42" ht="13">
      <c r="A70" s="2"/>
      <c r="B70" s="2"/>
      <c r="C70" s="2"/>
      <c r="D70" s="2"/>
      <c r="E70" s="2"/>
      <c r="F70" s="2"/>
      <c r="G70" s="2"/>
      <c r="H70" s="2"/>
      <c r="I70" s="2"/>
      <c r="J70" s="2"/>
      <c r="AO70" s="9"/>
      <c r="AP70" s="9"/>
    </row>
    <row r="71" spans="1:42" ht="13">
      <c r="A71" s="2"/>
      <c r="B71" s="2"/>
      <c r="C71" s="2"/>
      <c r="D71" s="2"/>
      <c r="E71" s="2"/>
      <c r="F71" s="2"/>
      <c r="G71" s="2"/>
      <c r="H71" s="2"/>
      <c r="I71" s="2"/>
      <c r="J71" s="2"/>
      <c r="AO71" s="9"/>
      <c r="AP71" s="9"/>
    </row>
    <row r="72" spans="1:42" ht="13">
      <c r="A72" s="2"/>
      <c r="B72" s="2"/>
      <c r="C72" s="2"/>
      <c r="D72" s="2"/>
      <c r="E72" s="2"/>
      <c r="F72" s="2"/>
      <c r="G72" s="2"/>
      <c r="H72" s="2"/>
      <c r="I72" s="2"/>
      <c r="J72" s="2"/>
      <c r="AO72" s="9"/>
      <c r="AP72" s="9"/>
    </row>
    <row r="73" spans="1:42" ht="13">
      <c r="A73" s="2"/>
      <c r="B73" s="2"/>
      <c r="C73" s="2"/>
      <c r="D73" s="2"/>
      <c r="E73" s="2"/>
      <c r="F73" s="2"/>
      <c r="G73" s="2"/>
      <c r="H73" s="2"/>
      <c r="I73" s="2"/>
      <c r="J73" s="2"/>
      <c r="AO73" s="9"/>
      <c r="AP73" s="9"/>
    </row>
    <row r="74" spans="1:42" ht="13">
      <c r="A74" s="2"/>
      <c r="B74" s="2"/>
      <c r="C74" s="2"/>
      <c r="D74" s="2"/>
      <c r="E74" s="2"/>
      <c r="F74" s="2"/>
      <c r="G74" s="2"/>
      <c r="H74" s="2"/>
      <c r="I74" s="2"/>
      <c r="J74" s="2"/>
      <c r="AO74" s="9"/>
      <c r="AP74" s="9"/>
    </row>
    <row r="75" spans="1:42" ht="13">
      <c r="A75" s="2"/>
      <c r="B75" s="2"/>
      <c r="C75" s="2"/>
      <c r="D75" s="2"/>
      <c r="E75" s="2"/>
      <c r="F75" s="2"/>
      <c r="G75" s="2"/>
      <c r="H75" s="2"/>
      <c r="I75" s="2"/>
      <c r="J75" s="2"/>
      <c r="AO75" s="9"/>
      <c r="AP75" s="9"/>
    </row>
    <row r="76" spans="1:42" ht="13">
      <c r="A76" s="2"/>
      <c r="B76" s="2"/>
      <c r="C76" s="2"/>
      <c r="D76" s="2"/>
      <c r="E76" s="2"/>
      <c r="F76" s="2"/>
      <c r="G76" s="2"/>
      <c r="H76" s="2"/>
      <c r="I76" s="2"/>
      <c r="J76" s="2"/>
      <c r="AO76" s="9"/>
      <c r="AP76" s="9"/>
    </row>
    <row r="77" spans="1:42" ht="13">
      <c r="A77" s="2"/>
      <c r="B77" s="2"/>
      <c r="C77" s="2"/>
      <c r="D77" s="2"/>
      <c r="E77" s="2"/>
      <c r="F77" s="2"/>
      <c r="G77" s="2"/>
      <c r="H77" s="2"/>
      <c r="I77" s="2"/>
      <c r="J77" s="2"/>
      <c r="AO77" s="9"/>
      <c r="AP77" s="9"/>
    </row>
    <row r="78" spans="1:42" ht="13">
      <c r="A78" s="2"/>
      <c r="B78" s="2"/>
      <c r="C78" s="2"/>
      <c r="D78" s="2"/>
      <c r="E78" s="2"/>
      <c r="F78" s="2"/>
      <c r="G78" s="2"/>
      <c r="H78" s="2"/>
      <c r="I78" s="2"/>
      <c r="J78" s="2"/>
      <c r="AO78" s="9"/>
      <c r="AP78" s="9"/>
    </row>
    <row r="79" spans="1:42" ht="13">
      <c r="A79" s="2"/>
      <c r="B79" s="2"/>
      <c r="C79" s="2"/>
      <c r="D79" s="2"/>
      <c r="E79" s="2"/>
      <c r="F79" s="2"/>
      <c r="G79" s="2"/>
      <c r="H79" s="2"/>
      <c r="I79" s="2"/>
      <c r="J79" s="2"/>
      <c r="AO79" s="9"/>
      <c r="AP79" s="9"/>
    </row>
    <row r="80" spans="1:42" ht="13">
      <c r="A80" s="2"/>
      <c r="B80" s="2"/>
      <c r="C80" s="2"/>
      <c r="D80" s="2"/>
      <c r="E80" s="2"/>
      <c r="F80" s="2"/>
      <c r="G80" s="2"/>
      <c r="H80" s="2"/>
      <c r="I80" s="2"/>
      <c r="J80" s="2"/>
      <c r="AO80" s="9"/>
      <c r="AP80" s="9"/>
    </row>
    <row r="81" spans="1:42" ht="13">
      <c r="A81" s="2"/>
      <c r="B81" s="2"/>
      <c r="C81" s="2"/>
      <c r="D81" s="2"/>
      <c r="E81" s="2"/>
      <c r="F81" s="2"/>
      <c r="G81" s="2"/>
      <c r="H81" s="2"/>
      <c r="I81" s="2"/>
      <c r="J81" s="2"/>
      <c r="AO81" s="9"/>
      <c r="AP81" s="9"/>
    </row>
    <row r="82" spans="1:42" ht="13">
      <c r="A82" s="2"/>
      <c r="B82" s="2"/>
      <c r="C82" s="2"/>
      <c r="D82" s="2"/>
      <c r="E82" s="2"/>
      <c r="F82" s="2"/>
      <c r="G82" s="2"/>
      <c r="H82" s="2"/>
      <c r="I82" s="2"/>
      <c r="J82" s="2"/>
      <c r="AO82" s="9"/>
      <c r="AP82" s="9"/>
    </row>
    <row r="83" spans="1:42" ht="13">
      <c r="A83" s="2"/>
      <c r="B83" s="2"/>
      <c r="C83" s="2"/>
      <c r="D83" s="2"/>
      <c r="E83" s="2"/>
      <c r="F83" s="2"/>
      <c r="G83" s="2"/>
      <c r="H83" s="2"/>
      <c r="I83" s="2"/>
      <c r="J83" s="2"/>
      <c r="AO83" s="9"/>
      <c r="AP83" s="9"/>
    </row>
    <row r="84" spans="1:42" ht="13">
      <c r="A84" s="2"/>
      <c r="B84" s="2"/>
      <c r="C84" s="2"/>
      <c r="D84" s="2"/>
      <c r="E84" s="2"/>
      <c r="F84" s="2"/>
      <c r="G84" s="2"/>
      <c r="H84" s="2"/>
      <c r="I84" s="2"/>
      <c r="J84" s="2"/>
      <c r="AO84" s="9"/>
      <c r="AP84" s="9"/>
    </row>
    <row r="85" spans="1:42" ht="13">
      <c r="A85" s="2"/>
      <c r="B85" s="2"/>
      <c r="C85" s="2"/>
      <c r="D85" s="2"/>
      <c r="E85" s="2"/>
      <c r="F85" s="2"/>
      <c r="G85" s="2"/>
      <c r="H85" s="2"/>
      <c r="I85" s="2"/>
      <c r="J85" s="2"/>
      <c r="AO85" s="9"/>
      <c r="AP85" s="9"/>
    </row>
    <row r="86" spans="1:42" ht="13">
      <c r="A86" s="2"/>
      <c r="B86" s="2"/>
      <c r="C86" s="2"/>
      <c r="D86" s="2"/>
      <c r="E86" s="2"/>
      <c r="F86" s="2"/>
      <c r="G86" s="2"/>
      <c r="H86" s="2"/>
      <c r="I86" s="2"/>
      <c r="J86" s="2"/>
      <c r="AO86" s="9"/>
      <c r="AP86" s="9"/>
    </row>
    <row r="87" spans="1:42" ht="13">
      <c r="A87" s="2"/>
      <c r="B87" s="2"/>
      <c r="C87" s="2"/>
      <c r="D87" s="2"/>
      <c r="E87" s="2"/>
      <c r="F87" s="2"/>
      <c r="G87" s="2"/>
      <c r="H87" s="2"/>
      <c r="I87" s="2"/>
      <c r="J87" s="2"/>
      <c r="AO87" s="9"/>
      <c r="AP87" s="9"/>
    </row>
    <row r="88" spans="1:42" ht="13">
      <c r="A88" s="2"/>
      <c r="B88" s="2"/>
      <c r="C88" s="2"/>
      <c r="D88" s="2"/>
      <c r="E88" s="2"/>
      <c r="F88" s="2"/>
      <c r="G88" s="2"/>
      <c r="H88" s="2"/>
      <c r="I88" s="2"/>
      <c r="J88" s="2"/>
      <c r="AO88" s="9"/>
      <c r="AP88" s="9"/>
    </row>
    <row r="89" spans="1:42" ht="13">
      <c r="A89" s="2"/>
      <c r="B89" s="2"/>
      <c r="C89" s="2"/>
      <c r="D89" s="2"/>
      <c r="E89" s="2"/>
      <c r="F89" s="2"/>
      <c r="G89" s="2"/>
      <c r="H89" s="2"/>
      <c r="I89" s="2"/>
      <c r="J89" s="2"/>
      <c r="AO89" s="9"/>
      <c r="AP89" s="9"/>
    </row>
    <row r="90" spans="1:42" ht="13">
      <c r="A90" s="2"/>
      <c r="B90" s="2"/>
      <c r="C90" s="2"/>
      <c r="D90" s="2"/>
      <c r="E90" s="2"/>
      <c r="F90" s="2"/>
      <c r="G90" s="2"/>
      <c r="H90" s="2"/>
      <c r="I90" s="2"/>
      <c r="J90" s="2"/>
      <c r="AO90" s="9"/>
      <c r="AP90" s="9"/>
    </row>
    <row r="91" spans="1:42" ht="13">
      <c r="A91" s="2"/>
      <c r="B91" s="2"/>
      <c r="C91" s="2"/>
      <c r="D91" s="2"/>
      <c r="E91" s="2"/>
      <c r="F91" s="2"/>
      <c r="G91" s="2"/>
      <c r="H91" s="2"/>
      <c r="I91" s="2"/>
      <c r="J91" s="2"/>
      <c r="AO91" s="9"/>
      <c r="AP91" s="9"/>
    </row>
    <row r="92" spans="1:42" ht="13">
      <c r="A92" s="2"/>
      <c r="B92" s="2"/>
      <c r="C92" s="2"/>
      <c r="D92" s="2"/>
      <c r="E92" s="2"/>
      <c r="F92" s="2"/>
      <c r="G92" s="2"/>
      <c r="H92" s="2"/>
      <c r="I92" s="2"/>
      <c r="J92" s="2"/>
      <c r="AO92" s="9"/>
      <c r="AP92" s="9"/>
    </row>
    <row r="93" spans="1:42" ht="13">
      <c r="A93" s="2"/>
      <c r="B93" s="2"/>
      <c r="C93" s="2"/>
      <c r="D93" s="2"/>
      <c r="E93" s="2"/>
      <c r="F93" s="2"/>
      <c r="G93" s="2"/>
      <c r="H93" s="2"/>
      <c r="I93" s="2"/>
      <c r="J93" s="2"/>
      <c r="AO93" s="9"/>
      <c r="AP93" s="9"/>
    </row>
    <row r="94" spans="1:42" ht="13">
      <c r="A94" s="2"/>
      <c r="B94" s="2"/>
      <c r="C94" s="2"/>
      <c r="D94" s="2"/>
      <c r="E94" s="2"/>
      <c r="F94" s="2"/>
      <c r="G94" s="2"/>
      <c r="H94" s="2"/>
      <c r="I94" s="2"/>
      <c r="J94" s="2"/>
      <c r="AO94" s="9"/>
      <c r="AP94" s="9"/>
    </row>
    <row r="95" spans="1:42" ht="13">
      <c r="A95" s="2"/>
      <c r="B95" s="2"/>
      <c r="C95" s="2"/>
      <c r="D95" s="2"/>
      <c r="E95" s="2"/>
      <c r="F95" s="2"/>
      <c r="G95" s="2"/>
      <c r="H95" s="2"/>
      <c r="I95" s="2"/>
      <c r="J95" s="2"/>
      <c r="AO95" s="9"/>
      <c r="AP95" s="9"/>
    </row>
    <row r="96" spans="1:42" ht="13">
      <c r="A96" s="2"/>
      <c r="B96" s="2"/>
      <c r="C96" s="2"/>
      <c r="D96" s="2"/>
      <c r="E96" s="2"/>
      <c r="F96" s="2"/>
      <c r="G96" s="2"/>
      <c r="H96" s="2"/>
      <c r="I96" s="2"/>
      <c r="J96" s="2"/>
      <c r="AO96" s="9"/>
      <c r="AP96" s="9"/>
    </row>
    <row r="97" spans="1:42" ht="13">
      <c r="A97" s="2"/>
      <c r="B97" s="2"/>
      <c r="C97" s="2"/>
      <c r="D97" s="2"/>
      <c r="E97" s="2"/>
      <c r="F97" s="2"/>
      <c r="G97" s="2"/>
      <c r="H97" s="2"/>
      <c r="I97" s="2"/>
      <c r="J97" s="2"/>
      <c r="AO97" s="9"/>
      <c r="AP97" s="9"/>
    </row>
    <row r="98" spans="1:42" ht="13">
      <c r="A98" s="2"/>
      <c r="B98" s="2"/>
      <c r="C98" s="2"/>
      <c r="D98" s="2"/>
      <c r="E98" s="2"/>
      <c r="F98" s="2"/>
      <c r="G98" s="2"/>
      <c r="H98" s="2"/>
      <c r="I98" s="2"/>
      <c r="J98" s="2"/>
      <c r="AO98" s="9"/>
      <c r="AP98" s="9"/>
    </row>
    <row r="99" spans="1:42" ht="13">
      <c r="A99" s="2"/>
      <c r="B99" s="2"/>
      <c r="C99" s="2"/>
      <c r="D99" s="2"/>
      <c r="E99" s="2"/>
      <c r="F99" s="2"/>
      <c r="G99" s="2"/>
      <c r="H99" s="2"/>
      <c r="I99" s="2"/>
      <c r="J99" s="2"/>
      <c r="AO99" s="9"/>
      <c r="AP99" s="9"/>
    </row>
    <row r="100" spans="1:42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AO100" s="9"/>
      <c r="AP100" s="9"/>
    </row>
    <row r="101" spans="1:42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AO101" s="9"/>
      <c r="AP101" s="9"/>
    </row>
    <row r="102" spans="1:42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AO102" s="9"/>
      <c r="AP102" s="9"/>
    </row>
    <row r="103" spans="1:42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AO103" s="9"/>
      <c r="AP103" s="9"/>
    </row>
    <row r="104" spans="1:42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AO104" s="9"/>
      <c r="AP104" s="9"/>
    </row>
    <row r="105" spans="1:42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AO105" s="9"/>
      <c r="AP105" s="9"/>
    </row>
    <row r="106" spans="1:42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AO106" s="9"/>
      <c r="AP106" s="9"/>
    </row>
    <row r="107" spans="1:42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AO107" s="9"/>
      <c r="AP107" s="9"/>
    </row>
    <row r="108" spans="1:42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AO108" s="9"/>
      <c r="AP108" s="9"/>
    </row>
    <row r="109" spans="1:42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AO109" s="9"/>
      <c r="AP109" s="9"/>
    </row>
    <row r="110" spans="1:42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AO110" s="9"/>
      <c r="AP110" s="9"/>
    </row>
    <row r="111" spans="1:42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AO111" s="9"/>
      <c r="AP111" s="9"/>
    </row>
    <row r="112" spans="1:42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AO112" s="9"/>
      <c r="AP112" s="9"/>
    </row>
    <row r="113" spans="1:42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AO113" s="9"/>
      <c r="AP113" s="9"/>
    </row>
    <row r="114" spans="1:42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AO114" s="9"/>
      <c r="AP114" s="9"/>
    </row>
    <row r="115" spans="1:42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AO115" s="9"/>
      <c r="AP115" s="9"/>
    </row>
    <row r="116" spans="1:42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AO116" s="9"/>
      <c r="AP116" s="9"/>
    </row>
    <row r="117" spans="1:42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AO117" s="9"/>
      <c r="AP117" s="9"/>
    </row>
    <row r="118" spans="1:42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AO118" s="9"/>
      <c r="AP118" s="9"/>
    </row>
    <row r="119" spans="1:42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AO119" s="9"/>
      <c r="AP119" s="9"/>
    </row>
    <row r="120" spans="1:42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AO120" s="9"/>
      <c r="AP120" s="9"/>
    </row>
    <row r="121" spans="1:42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AO121" s="9"/>
      <c r="AP121" s="9"/>
    </row>
    <row r="122" spans="1:42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AO122" s="9"/>
      <c r="AP122" s="9"/>
    </row>
    <row r="123" spans="1:42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AO123" s="9"/>
      <c r="AP123" s="9"/>
    </row>
    <row r="124" spans="1:42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AO124" s="9"/>
      <c r="AP124" s="9"/>
    </row>
    <row r="125" spans="1:42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AO125" s="9"/>
      <c r="AP125" s="9"/>
    </row>
    <row r="126" spans="1:42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AO126" s="9"/>
      <c r="AP126" s="9"/>
    </row>
    <row r="127" spans="1:42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AO127" s="9"/>
      <c r="AP127" s="9"/>
    </row>
    <row r="128" spans="1:42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AO128" s="9"/>
      <c r="AP128" s="9"/>
    </row>
    <row r="129" spans="1:42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AO129" s="9"/>
      <c r="AP129" s="9"/>
    </row>
    <row r="130" spans="1:42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AO130" s="9"/>
      <c r="AP130" s="9"/>
    </row>
    <row r="131" spans="1:42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AO131" s="9"/>
      <c r="AP131" s="9"/>
    </row>
    <row r="132" spans="1:42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AO132" s="9"/>
      <c r="AP132" s="9"/>
    </row>
    <row r="133" spans="1:42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AO133" s="9"/>
      <c r="AP133" s="9"/>
    </row>
    <row r="134" spans="1:42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AO134" s="9"/>
      <c r="AP134" s="9"/>
    </row>
    <row r="135" spans="1:42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AO135" s="9"/>
      <c r="AP135" s="9"/>
    </row>
    <row r="136" spans="1:42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AO136" s="9"/>
      <c r="AP136" s="9"/>
    </row>
    <row r="137" spans="1:42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AO137" s="9"/>
      <c r="AP137" s="9"/>
    </row>
    <row r="138" spans="1:42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AO138" s="9"/>
      <c r="AP138" s="9"/>
    </row>
    <row r="139" spans="1:42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AO139" s="9"/>
      <c r="AP139" s="9"/>
    </row>
    <row r="140" spans="1:42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AO140" s="9"/>
      <c r="AP140" s="9"/>
    </row>
    <row r="141" spans="1:42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AO141" s="9"/>
      <c r="AP141" s="9"/>
    </row>
    <row r="142" spans="1:42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AO142" s="9"/>
      <c r="AP142" s="9"/>
    </row>
    <row r="143" spans="1:42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AO143" s="9"/>
      <c r="AP143" s="9"/>
    </row>
    <row r="144" spans="1:42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AO144" s="9"/>
      <c r="AP144" s="9"/>
    </row>
    <row r="145" spans="1:42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AO145" s="9"/>
      <c r="AP145" s="9"/>
    </row>
    <row r="146" spans="1:42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AO146" s="9"/>
      <c r="AP146" s="9"/>
    </row>
    <row r="147" spans="1:42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AO147" s="9"/>
      <c r="AP147" s="9"/>
    </row>
    <row r="148" spans="1:42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AO148" s="9"/>
      <c r="AP148" s="9"/>
    </row>
    <row r="149" spans="1:42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AO149" s="9"/>
      <c r="AP149" s="9"/>
    </row>
    <row r="150" spans="1:42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AO150" s="9"/>
      <c r="AP150" s="9"/>
    </row>
    <row r="151" spans="1:42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AO151" s="9"/>
      <c r="AP151" s="9"/>
    </row>
    <row r="152" spans="1:42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AO152" s="9"/>
      <c r="AP152" s="9"/>
    </row>
    <row r="153" spans="1:42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AO153" s="9"/>
      <c r="AP153" s="9"/>
    </row>
    <row r="154" spans="1:42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AO154" s="9"/>
      <c r="AP154" s="9"/>
    </row>
    <row r="155" spans="1:42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AO155" s="9"/>
      <c r="AP155" s="9"/>
    </row>
    <row r="156" spans="1:42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AO156" s="9"/>
      <c r="AP156" s="9"/>
    </row>
    <row r="157" spans="1:42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AO157" s="9"/>
      <c r="AP157" s="9"/>
    </row>
    <row r="158" spans="1:42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AO158" s="9"/>
      <c r="AP158" s="9"/>
    </row>
    <row r="159" spans="1:42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AO159" s="9"/>
      <c r="AP159" s="9"/>
    </row>
    <row r="160" spans="1:42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AO160" s="9"/>
      <c r="AP160" s="9"/>
    </row>
    <row r="161" spans="1:42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AO161" s="9"/>
      <c r="AP161" s="9"/>
    </row>
    <row r="162" spans="1:42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AO162" s="9"/>
      <c r="AP162" s="9"/>
    </row>
    <row r="163" spans="1:42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AO163" s="9"/>
      <c r="AP163" s="9"/>
    </row>
    <row r="164" spans="1:42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AO164" s="9"/>
      <c r="AP164" s="9"/>
    </row>
    <row r="165" spans="1:42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AO165" s="9"/>
      <c r="AP165" s="9"/>
    </row>
    <row r="166" spans="1:42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AO166" s="9"/>
      <c r="AP166" s="9"/>
    </row>
    <row r="167" spans="1:42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AO167" s="9"/>
      <c r="AP167" s="9"/>
    </row>
    <row r="168" spans="1:42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AO168" s="9"/>
      <c r="AP168" s="9"/>
    </row>
    <row r="169" spans="1:42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AO169" s="9"/>
      <c r="AP169" s="9"/>
    </row>
    <row r="170" spans="1:42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AO170" s="9"/>
      <c r="AP170" s="9"/>
    </row>
    <row r="171" spans="1:42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AO171" s="9"/>
      <c r="AP171" s="9"/>
    </row>
    <row r="172" spans="1:42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AO172" s="9"/>
      <c r="AP172" s="9"/>
    </row>
    <row r="173" spans="1:42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AO173" s="9"/>
      <c r="AP173" s="9"/>
    </row>
    <row r="174" spans="1:42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AO174" s="9"/>
      <c r="AP174" s="9"/>
    </row>
    <row r="175" spans="1:42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AO175" s="9"/>
      <c r="AP175" s="9"/>
    </row>
    <row r="176" spans="1:42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AO176" s="9"/>
      <c r="AP176" s="9"/>
    </row>
    <row r="177" spans="1:42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AO177" s="9"/>
      <c r="AP177" s="9"/>
    </row>
    <row r="178" spans="1:42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AO178" s="9"/>
      <c r="AP178" s="9"/>
    </row>
    <row r="179" spans="1:42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AO179" s="9"/>
      <c r="AP179" s="9"/>
    </row>
    <row r="180" spans="1:42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AO180" s="9"/>
      <c r="AP180" s="9"/>
    </row>
    <row r="181" spans="1:42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AO181" s="9"/>
      <c r="AP181" s="9"/>
    </row>
    <row r="182" spans="1:42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AO182" s="9"/>
      <c r="AP182" s="9"/>
    </row>
    <row r="183" spans="1:42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AO183" s="9"/>
      <c r="AP183" s="9"/>
    </row>
    <row r="184" spans="1:42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AO184" s="9"/>
      <c r="AP184" s="9"/>
    </row>
    <row r="185" spans="1:42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AO185" s="9"/>
      <c r="AP185" s="9"/>
    </row>
    <row r="186" spans="1:42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AO186" s="9"/>
      <c r="AP186" s="9"/>
    </row>
    <row r="187" spans="1:42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AO187" s="9"/>
      <c r="AP187" s="9"/>
    </row>
    <row r="188" spans="1:42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AO188" s="9"/>
      <c r="AP188" s="9"/>
    </row>
    <row r="189" spans="1:42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AO189" s="9"/>
      <c r="AP189" s="9"/>
    </row>
    <row r="190" spans="1:42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AO190" s="9"/>
      <c r="AP190" s="9"/>
    </row>
    <row r="191" spans="1:42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AO191" s="9"/>
      <c r="AP191" s="9"/>
    </row>
    <row r="192" spans="1:42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AO192" s="9"/>
      <c r="AP192" s="9"/>
    </row>
    <row r="193" spans="1:42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AO193" s="9"/>
      <c r="AP193" s="9"/>
    </row>
    <row r="194" spans="1:42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AO194" s="9"/>
      <c r="AP194" s="9"/>
    </row>
    <row r="195" spans="1:42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AO195" s="9"/>
      <c r="AP195" s="9"/>
    </row>
    <row r="196" spans="1:42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AO196" s="9"/>
      <c r="AP196" s="9"/>
    </row>
    <row r="197" spans="1:42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AO197" s="9"/>
      <c r="AP197" s="9"/>
    </row>
    <row r="198" spans="1:42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AO198" s="9"/>
      <c r="AP198" s="9"/>
    </row>
    <row r="199" spans="1:42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AO199" s="9"/>
      <c r="AP199" s="9"/>
    </row>
    <row r="200" spans="1:42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AO200" s="9"/>
      <c r="AP200" s="9"/>
    </row>
    <row r="201" spans="1:42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AO201" s="9"/>
      <c r="AP201" s="9"/>
    </row>
    <row r="202" spans="1:42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AO202" s="9"/>
      <c r="AP202" s="9"/>
    </row>
    <row r="203" spans="1:42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AO203" s="9"/>
      <c r="AP203" s="9"/>
    </row>
    <row r="204" spans="1:42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AO204" s="9"/>
      <c r="AP204" s="9"/>
    </row>
    <row r="205" spans="1:42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AO205" s="9"/>
      <c r="AP205" s="9"/>
    </row>
    <row r="206" spans="1:42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AO206" s="9"/>
      <c r="AP206" s="9"/>
    </row>
    <row r="207" spans="1:42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AO207" s="9"/>
      <c r="AP207" s="9"/>
    </row>
    <row r="208" spans="1:42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AO208" s="9"/>
      <c r="AP208" s="9"/>
    </row>
    <row r="209" spans="1:42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AO209" s="9"/>
      <c r="AP209" s="9"/>
    </row>
    <row r="210" spans="1:42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AO210" s="9"/>
      <c r="AP210" s="9"/>
    </row>
    <row r="211" spans="1:42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AO211" s="9"/>
      <c r="AP211" s="9"/>
    </row>
    <row r="212" spans="1:42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AO212" s="9"/>
      <c r="AP212" s="9"/>
    </row>
    <row r="213" spans="1:42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AO213" s="9"/>
      <c r="AP213" s="9"/>
    </row>
    <row r="214" spans="1:42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AO214" s="9"/>
      <c r="AP214" s="9"/>
    </row>
    <row r="215" spans="1:42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AO215" s="9"/>
      <c r="AP215" s="9"/>
    </row>
    <row r="216" spans="1:42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AO216" s="9"/>
      <c r="AP216" s="9"/>
    </row>
    <row r="217" spans="1:42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AO217" s="9"/>
      <c r="AP217" s="9"/>
    </row>
    <row r="218" spans="1:42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AO218" s="9"/>
      <c r="AP218" s="9"/>
    </row>
    <row r="219" spans="1:42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AO219" s="9"/>
      <c r="AP219" s="9"/>
    </row>
    <row r="220" spans="1:42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AO220" s="9"/>
      <c r="AP220" s="9"/>
    </row>
    <row r="221" spans="1:42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AO221" s="9"/>
      <c r="AP221" s="9"/>
    </row>
    <row r="222" spans="1:42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AO222" s="9"/>
      <c r="AP222" s="9"/>
    </row>
    <row r="223" spans="1:42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AO223" s="9"/>
      <c r="AP223" s="9"/>
    </row>
    <row r="224" spans="1:42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AO224" s="9"/>
      <c r="AP224" s="9"/>
    </row>
    <row r="225" spans="1:42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AO225" s="9"/>
      <c r="AP225" s="9"/>
    </row>
    <row r="226" spans="1:42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AO226" s="9"/>
      <c r="AP226" s="9"/>
    </row>
    <row r="227" spans="1:42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AO227" s="9"/>
      <c r="AP227" s="9"/>
    </row>
    <row r="228" spans="1:42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AO228" s="9"/>
      <c r="AP228" s="9"/>
    </row>
    <row r="229" spans="1:42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AO229" s="9"/>
      <c r="AP229" s="9"/>
    </row>
    <row r="230" spans="1:42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AO230" s="9"/>
      <c r="AP230" s="9"/>
    </row>
    <row r="231" spans="1:42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AO231" s="9"/>
      <c r="AP231" s="9"/>
    </row>
    <row r="232" spans="1:42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AO232" s="9"/>
      <c r="AP232" s="9"/>
    </row>
    <row r="233" spans="1:42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AO233" s="9"/>
      <c r="AP233" s="9"/>
    </row>
    <row r="234" spans="1:42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AO234" s="9"/>
      <c r="AP234" s="9"/>
    </row>
    <row r="235" spans="1:42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AO235" s="9"/>
      <c r="AP235" s="9"/>
    </row>
    <row r="236" spans="1:42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AO236" s="9"/>
      <c r="AP236" s="9"/>
    </row>
    <row r="237" spans="1:42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AO237" s="9"/>
      <c r="AP237" s="9"/>
    </row>
    <row r="238" spans="1:42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AO238" s="9"/>
      <c r="AP238" s="9"/>
    </row>
    <row r="239" spans="1:42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AO239" s="9"/>
      <c r="AP239" s="9"/>
    </row>
    <row r="240" spans="1:42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AO240" s="9"/>
      <c r="AP240" s="9"/>
    </row>
    <row r="241" spans="1:42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AO241" s="9"/>
      <c r="AP241" s="9"/>
    </row>
    <row r="242" spans="1:42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AO242" s="9"/>
      <c r="AP242" s="9"/>
    </row>
    <row r="243" spans="1:42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AO243" s="9"/>
      <c r="AP243" s="9"/>
    </row>
    <row r="244" spans="1:42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AO244" s="9"/>
      <c r="AP244" s="9"/>
    </row>
    <row r="245" spans="1:42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AO245" s="9"/>
      <c r="AP245" s="9"/>
    </row>
    <row r="246" spans="1:42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AO246" s="9"/>
      <c r="AP246" s="9"/>
    </row>
    <row r="247" spans="1:42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AO247" s="9"/>
      <c r="AP247" s="9"/>
    </row>
    <row r="248" spans="1:42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AO248" s="9"/>
      <c r="AP248" s="9"/>
    </row>
    <row r="249" spans="1:42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AO249" s="9"/>
      <c r="AP249" s="9"/>
    </row>
    <row r="250" spans="1:42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AO250" s="9"/>
      <c r="AP250" s="9"/>
    </row>
    <row r="251" spans="1:42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AO251" s="9"/>
      <c r="AP251" s="9"/>
    </row>
    <row r="252" spans="1:42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AO252" s="9"/>
      <c r="AP252" s="9"/>
    </row>
    <row r="253" spans="1:42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AO253" s="9"/>
      <c r="AP253" s="9"/>
    </row>
    <row r="254" spans="1:42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AO254" s="9"/>
      <c r="AP254" s="9"/>
    </row>
    <row r="255" spans="1:42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AO255" s="9"/>
      <c r="AP255" s="9"/>
    </row>
    <row r="256" spans="1:42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AO256" s="9"/>
      <c r="AP256" s="9"/>
    </row>
    <row r="257" spans="1:42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AO257" s="9"/>
      <c r="AP257" s="9"/>
    </row>
    <row r="258" spans="1:42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AO258" s="9"/>
      <c r="AP258" s="9"/>
    </row>
    <row r="259" spans="1:42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AO259" s="9"/>
      <c r="AP259" s="9"/>
    </row>
    <row r="260" spans="1:42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AO260" s="9"/>
      <c r="AP260" s="9"/>
    </row>
    <row r="261" spans="1:42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AO261" s="9"/>
      <c r="AP261" s="9"/>
    </row>
    <row r="262" spans="1:42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AO262" s="9"/>
      <c r="AP262" s="9"/>
    </row>
    <row r="263" spans="1:42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AO263" s="9"/>
      <c r="AP263" s="9"/>
    </row>
    <row r="264" spans="1:42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AO264" s="9"/>
      <c r="AP264" s="9"/>
    </row>
    <row r="265" spans="1:42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AO265" s="9"/>
      <c r="AP265" s="9"/>
    </row>
    <row r="266" spans="1:42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AO266" s="9"/>
      <c r="AP266" s="9"/>
    </row>
    <row r="267" spans="1:42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AO267" s="9"/>
      <c r="AP267" s="9"/>
    </row>
    <row r="268" spans="1:42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AO268" s="9"/>
      <c r="AP268" s="9"/>
    </row>
    <row r="269" spans="1:42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AO269" s="9"/>
      <c r="AP269" s="9"/>
    </row>
    <row r="270" spans="1:42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AO270" s="9"/>
      <c r="AP270" s="9"/>
    </row>
    <row r="271" spans="1:42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AO271" s="9"/>
      <c r="AP271" s="9"/>
    </row>
    <row r="272" spans="1:42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AO272" s="9"/>
      <c r="AP272" s="9"/>
    </row>
    <row r="273" spans="1:42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AO273" s="9"/>
      <c r="AP273" s="9"/>
    </row>
    <row r="274" spans="1:42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AO274" s="9"/>
      <c r="AP274" s="9"/>
    </row>
    <row r="275" spans="1:42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AO275" s="9"/>
      <c r="AP275" s="9"/>
    </row>
    <row r="276" spans="1:42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AO276" s="9"/>
      <c r="AP276" s="9"/>
    </row>
    <row r="277" spans="1:42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AO277" s="9"/>
      <c r="AP277" s="9"/>
    </row>
    <row r="278" spans="1:42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AO278" s="9"/>
      <c r="AP278" s="9"/>
    </row>
    <row r="279" spans="1:42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AO279" s="9"/>
      <c r="AP279" s="9"/>
    </row>
    <row r="280" spans="1:42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AO280" s="9"/>
      <c r="AP280" s="9"/>
    </row>
    <row r="281" spans="1:42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AO281" s="9"/>
      <c r="AP281" s="9"/>
    </row>
    <row r="282" spans="1:42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AO282" s="9"/>
      <c r="AP282" s="9"/>
    </row>
    <row r="283" spans="1:42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AO283" s="9"/>
      <c r="AP283" s="9"/>
    </row>
    <row r="284" spans="1:42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AO284" s="9"/>
      <c r="AP284" s="9"/>
    </row>
    <row r="285" spans="1:42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AO285" s="9"/>
      <c r="AP285" s="9"/>
    </row>
    <row r="286" spans="1:42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AO286" s="9"/>
      <c r="AP286" s="9"/>
    </row>
    <row r="287" spans="1:42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AO287" s="9"/>
      <c r="AP287" s="9"/>
    </row>
    <row r="288" spans="1:42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AO288" s="9"/>
      <c r="AP288" s="9"/>
    </row>
    <row r="289" spans="1:42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AO289" s="9"/>
      <c r="AP289" s="9"/>
    </row>
    <row r="290" spans="1:42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AO290" s="9"/>
      <c r="AP290" s="9"/>
    </row>
    <row r="291" spans="1:42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AO291" s="9"/>
      <c r="AP291" s="9"/>
    </row>
    <row r="292" spans="1:42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AO292" s="9"/>
      <c r="AP292" s="9"/>
    </row>
    <row r="293" spans="1:42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AO293" s="9"/>
      <c r="AP293" s="9"/>
    </row>
    <row r="294" spans="1:42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AO294" s="9"/>
      <c r="AP294" s="9"/>
    </row>
    <row r="295" spans="1:42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AO295" s="9"/>
      <c r="AP295" s="9"/>
    </row>
    <row r="296" spans="1:42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AO296" s="9"/>
      <c r="AP296" s="9"/>
    </row>
    <row r="297" spans="1:42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AO297" s="9"/>
      <c r="AP297" s="9"/>
    </row>
    <row r="298" spans="1:42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AO298" s="9"/>
      <c r="AP298" s="9"/>
    </row>
    <row r="299" spans="1:42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AO299" s="9"/>
      <c r="AP299" s="9"/>
    </row>
    <row r="300" spans="1:42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AO300" s="9"/>
      <c r="AP300" s="9"/>
    </row>
    <row r="301" spans="1:42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AO301" s="9"/>
      <c r="AP301" s="9"/>
    </row>
    <row r="302" spans="1:42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AO302" s="9"/>
      <c r="AP302" s="9"/>
    </row>
    <row r="303" spans="1:42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AO303" s="9"/>
      <c r="AP303" s="9"/>
    </row>
    <row r="304" spans="1:42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AO304" s="9"/>
      <c r="AP304" s="9"/>
    </row>
    <row r="305" spans="1:42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AO305" s="9"/>
      <c r="AP305" s="9"/>
    </row>
    <row r="306" spans="1:42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AO306" s="9"/>
      <c r="AP306" s="9"/>
    </row>
    <row r="307" spans="1:42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AO307" s="9"/>
      <c r="AP307" s="9"/>
    </row>
    <row r="308" spans="1:42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AO308" s="9"/>
      <c r="AP308" s="9"/>
    </row>
    <row r="309" spans="1:42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AO309" s="9"/>
      <c r="AP309" s="9"/>
    </row>
    <row r="310" spans="1:42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AO310" s="9"/>
      <c r="AP310" s="9"/>
    </row>
    <row r="311" spans="1:42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AO311" s="9"/>
      <c r="AP311" s="9"/>
    </row>
    <row r="312" spans="1:42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AO312" s="9"/>
      <c r="AP312" s="9"/>
    </row>
    <row r="313" spans="1:42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AO313" s="9"/>
      <c r="AP313" s="9"/>
    </row>
    <row r="314" spans="1:42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AO314" s="9"/>
      <c r="AP314" s="9"/>
    </row>
    <row r="315" spans="1:42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AO315" s="9"/>
      <c r="AP315" s="9"/>
    </row>
    <row r="316" spans="1:42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AO316" s="9"/>
      <c r="AP316" s="9"/>
    </row>
    <row r="317" spans="1:42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AO317" s="9"/>
      <c r="AP317" s="9"/>
    </row>
    <row r="318" spans="1:42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AO318" s="9"/>
      <c r="AP318" s="9"/>
    </row>
    <row r="319" spans="1:42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AO319" s="9"/>
      <c r="AP319" s="9"/>
    </row>
    <row r="320" spans="1:42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AO320" s="9"/>
      <c r="AP320" s="9"/>
    </row>
    <row r="321" spans="1:42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AO321" s="9"/>
      <c r="AP321" s="9"/>
    </row>
    <row r="322" spans="1:42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AO322" s="9"/>
      <c r="AP322" s="9"/>
    </row>
    <row r="323" spans="1:42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AO323" s="9"/>
      <c r="AP323" s="9"/>
    </row>
    <row r="324" spans="1:42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AO324" s="9"/>
      <c r="AP324" s="9"/>
    </row>
    <row r="325" spans="1:42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AO325" s="9"/>
      <c r="AP325" s="9"/>
    </row>
    <row r="326" spans="1:42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AO326" s="9"/>
      <c r="AP326" s="9"/>
    </row>
    <row r="327" spans="1:42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AO327" s="9"/>
      <c r="AP327" s="9"/>
    </row>
    <row r="328" spans="1:42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AO328" s="9"/>
      <c r="AP328" s="9"/>
    </row>
    <row r="329" spans="1:42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AO329" s="9"/>
      <c r="AP329" s="9"/>
    </row>
    <row r="330" spans="1:42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AO330" s="9"/>
      <c r="AP330" s="9"/>
    </row>
    <row r="331" spans="1:42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AO331" s="9"/>
      <c r="AP331" s="9"/>
    </row>
    <row r="332" spans="1:42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AO332" s="9"/>
      <c r="AP332" s="9"/>
    </row>
    <row r="333" spans="1:42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AO333" s="9"/>
      <c r="AP333" s="9"/>
    </row>
    <row r="334" spans="1:42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AO334" s="9"/>
      <c r="AP334" s="9"/>
    </row>
    <row r="335" spans="1:42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AO335" s="9"/>
      <c r="AP335" s="9"/>
    </row>
    <row r="336" spans="1:42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AO336" s="9"/>
      <c r="AP336" s="9"/>
    </row>
    <row r="337" spans="1:42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AO337" s="9"/>
      <c r="AP337" s="9"/>
    </row>
    <row r="338" spans="1:42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AO338" s="9"/>
      <c r="AP338" s="9"/>
    </row>
    <row r="339" spans="1:42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AO339" s="9"/>
      <c r="AP339" s="9"/>
    </row>
    <row r="340" spans="1:42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AO340" s="9"/>
      <c r="AP340" s="9"/>
    </row>
    <row r="341" spans="1:42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AO341" s="9"/>
      <c r="AP341" s="9"/>
    </row>
    <row r="342" spans="1:42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AO342" s="9"/>
      <c r="AP342" s="9"/>
    </row>
    <row r="343" spans="1:42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AO343" s="9"/>
      <c r="AP343" s="9"/>
    </row>
    <row r="344" spans="1:42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AO344" s="9"/>
      <c r="AP344" s="9"/>
    </row>
    <row r="345" spans="1:42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AO345" s="9"/>
      <c r="AP345" s="9"/>
    </row>
    <row r="346" spans="1:42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AO346" s="9"/>
      <c r="AP346" s="9"/>
    </row>
    <row r="347" spans="1:42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AO347" s="9"/>
      <c r="AP347" s="9"/>
    </row>
    <row r="348" spans="1:42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AO348" s="9"/>
      <c r="AP348" s="9"/>
    </row>
    <row r="349" spans="1:42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AO349" s="9"/>
      <c r="AP349" s="9"/>
    </row>
    <row r="350" spans="1:42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AO350" s="9"/>
      <c r="AP350" s="9"/>
    </row>
    <row r="351" spans="1:42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AO351" s="9"/>
      <c r="AP351" s="9"/>
    </row>
    <row r="352" spans="1:42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AO352" s="9"/>
      <c r="AP352" s="9"/>
    </row>
    <row r="353" spans="1:42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AO353" s="9"/>
      <c r="AP353" s="9"/>
    </row>
    <row r="354" spans="1:42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AO354" s="9"/>
      <c r="AP354" s="9"/>
    </row>
    <row r="355" spans="1:42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AO355" s="9"/>
      <c r="AP355" s="9"/>
    </row>
    <row r="356" spans="1:42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AO356" s="9"/>
      <c r="AP356" s="9"/>
    </row>
    <row r="357" spans="1:42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AO357" s="9"/>
      <c r="AP357" s="9"/>
    </row>
    <row r="358" spans="1:42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AO358" s="9"/>
      <c r="AP358" s="9"/>
    </row>
    <row r="359" spans="1:42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AO359" s="9"/>
      <c r="AP359" s="9"/>
    </row>
    <row r="360" spans="1:42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AO360" s="9"/>
      <c r="AP360" s="9"/>
    </row>
    <row r="361" spans="1:42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AO361" s="9"/>
      <c r="AP361" s="9"/>
    </row>
    <row r="362" spans="1:42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AO362" s="9"/>
      <c r="AP362" s="9"/>
    </row>
    <row r="363" spans="1:42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AO363" s="9"/>
      <c r="AP363" s="9"/>
    </row>
    <row r="364" spans="1:42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AO364" s="9"/>
      <c r="AP364" s="9"/>
    </row>
    <row r="365" spans="1:42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AO365" s="9"/>
      <c r="AP365" s="9"/>
    </row>
    <row r="366" spans="1:42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AO366" s="9"/>
      <c r="AP366" s="9"/>
    </row>
    <row r="367" spans="1:42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AO367" s="9"/>
      <c r="AP367" s="9"/>
    </row>
    <row r="368" spans="1:42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AO368" s="9"/>
      <c r="AP368" s="9"/>
    </row>
    <row r="369" spans="1:42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AO369" s="9"/>
      <c r="AP369" s="9"/>
    </row>
    <row r="370" spans="1:42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AO370" s="9"/>
      <c r="AP370" s="9"/>
    </row>
    <row r="371" spans="1:42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AO371" s="9"/>
      <c r="AP371" s="9"/>
    </row>
    <row r="372" spans="1:42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AO372" s="9"/>
      <c r="AP372" s="9"/>
    </row>
    <row r="373" spans="1:42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AO373" s="9"/>
      <c r="AP373" s="9"/>
    </row>
    <row r="374" spans="1:42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AO374" s="9"/>
      <c r="AP374" s="9"/>
    </row>
    <row r="375" spans="1:42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AO375" s="9"/>
      <c r="AP375" s="9"/>
    </row>
    <row r="376" spans="1:42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AO376" s="9"/>
      <c r="AP376" s="9"/>
    </row>
    <row r="377" spans="1:42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AO377" s="9"/>
      <c r="AP377" s="9"/>
    </row>
    <row r="378" spans="1:42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AO378" s="9"/>
      <c r="AP378" s="9"/>
    </row>
    <row r="379" spans="1:42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AO379" s="9"/>
      <c r="AP379" s="9"/>
    </row>
    <row r="380" spans="1:42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AO380" s="9"/>
      <c r="AP380" s="9"/>
    </row>
    <row r="381" spans="1:42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AO381" s="9"/>
      <c r="AP381" s="9"/>
    </row>
    <row r="382" spans="1:42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AO382" s="9"/>
      <c r="AP382" s="9"/>
    </row>
    <row r="383" spans="1:42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AO383" s="9"/>
      <c r="AP383" s="9"/>
    </row>
    <row r="384" spans="1:42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AO384" s="9"/>
      <c r="AP384" s="9"/>
    </row>
    <row r="385" spans="1:42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AO385" s="9"/>
      <c r="AP385" s="9"/>
    </row>
    <row r="386" spans="1:42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AO386" s="9"/>
      <c r="AP386" s="9"/>
    </row>
    <row r="387" spans="1:42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AO387" s="9"/>
      <c r="AP387" s="9"/>
    </row>
    <row r="388" spans="1:42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AO388" s="9"/>
      <c r="AP388" s="9"/>
    </row>
    <row r="389" spans="1:42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AO389" s="9"/>
      <c r="AP389" s="9"/>
    </row>
    <row r="390" spans="1:42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AO390" s="9"/>
      <c r="AP390" s="9"/>
    </row>
    <row r="391" spans="1:42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AO391" s="9"/>
      <c r="AP391" s="9"/>
    </row>
    <row r="392" spans="1:42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AO392" s="9"/>
      <c r="AP392" s="9"/>
    </row>
    <row r="393" spans="1:42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AO393" s="9"/>
      <c r="AP393" s="9"/>
    </row>
    <row r="394" spans="1:42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AO394" s="9"/>
      <c r="AP394" s="9"/>
    </row>
    <row r="395" spans="1:42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AO395" s="9"/>
      <c r="AP395" s="9"/>
    </row>
    <row r="396" spans="1:42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AO396" s="9"/>
      <c r="AP396" s="9"/>
    </row>
    <row r="397" spans="1:42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AO397" s="9"/>
      <c r="AP397" s="9"/>
    </row>
    <row r="398" spans="1:42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AO398" s="9"/>
      <c r="AP398" s="9"/>
    </row>
    <row r="399" spans="1:42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AO399" s="9"/>
      <c r="AP399" s="9"/>
    </row>
    <row r="400" spans="1:42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AO400" s="9"/>
      <c r="AP400" s="9"/>
    </row>
    <row r="401" spans="1:42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AO401" s="9"/>
      <c r="AP401" s="9"/>
    </row>
    <row r="402" spans="1:42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AO402" s="9"/>
      <c r="AP402" s="9"/>
    </row>
    <row r="403" spans="1:42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AO403" s="9"/>
      <c r="AP403" s="9"/>
    </row>
    <row r="404" spans="1:42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AO404" s="9"/>
      <c r="AP404" s="9"/>
    </row>
    <row r="405" spans="1:42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AO405" s="9"/>
      <c r="AP405" s="9"/>
    </row>
    <row r="406" spans="1:42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AO406" s="9"/>
      <c r="AP406" s="9"/>
    </row>
    <row r="407" spans="1:42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AO407" s="9"/>
      <c r="AP407" s="9"/>
    </row>
    <row r="408" spans="1:42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AO408" s="9"/>
      <c r="AP408" s="9"/>
    </row>
    <row r="409" spans="1:42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AO409" s="9"/>
      <c r="AP409" s="9"/>
    </row>
    <row r="410" spans="1:42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AO410" s="9"/>
      <c r="AP410" s="9"/>
    </row>
    <row r="411" spans="1:42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AO411" s="9"/>
      <c r="AP411" s="9"/>
    </row>
    <row r="412" spans="1:42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AO412" s="9"/>
      <c r="AP412" s="9"/>
    </row>
    <row r="413" spans="1:42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AO413" s="9"/>
      <c r="AP413" s="9"/>
    </row>
    <row r="414" spans="1:42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AO414" s="9"/>
      <c r="AP414" s="9"/>
    </row>
    <row r="415" spans="1:42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AO415" s="9"/>
      <c r="AP415" s="9"/>
    </row>
    <row r="416" spans="1:42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AO416" s="9"/>
      <c r="AP416" s="9"/>
    </row>
    <row r="417" spans="1:42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AO417" s="9"/>
      <c r="AP417" s="9"/>
    </row>
    <row r="418" spans="1:42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AO418" s="9"/>
      <c r="AP418" s="9"/>
    </row>
    <row r="419" spans="1:42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AO419" s="9"/>
      <c r="AP419" s="9"/>
    </row>
    <row r="420" spans="1:42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AO420" s="9"/>
      <c r="AP420" s="9"/>
    </row>
    <row r="421" spans="1:42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AO421" s="9"/>
      <c r="AP421" s="9"/>
    </row>
    <row r="422" spans="1:42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AO422" s="9"/>
      <c r="AP422" s="9"/>
    </row>
    <row r="423" spans="1:42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AO423" s="9"/>
      <c r="AP423" s="9"/>
    </row>
    <row r="424" spans="1:42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AO424" s="9"/>
      <c r="AP424" s="9"/>
    </row>
    <row r="425" spans="1:42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AO425" s="9"/>
      <c r="AP425" s="9"/>
    </row>
    <row r="426" spans="1:42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AO426" s="9"/>
      <c r="AP426" s="9"/>
    </row>
    <row r="427" spans="1:42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AO427" s="9"/>
      <c r="AP427" s="9"/>
    </row>
    <row r="428" spans="1:42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AO428" s="9"/>
      <c r="AP428" s="9"/>
    </row>
    <row r="429" spans="1:42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AO429" s="9"/>
      <c r="AP429" s="9"/>
    </row>
    <row r="430" spans="1:42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AO430" s="9"/>
      <c r="AP430" s="9"/>
    </row>
    <row r="431" spans="1:42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AO431" s="9"/>
      <c r="AP431" s="9"/>
    </row>
    <row r="432" spans="1:42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AO432" s="9"/>
      <c r="AP432" s="9"/>
    </row>
    <row r="433" spans="1:42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AO433" s="9"/>
      <c r="AP433" s="9"/>
    </row>
    <row r="434" spans="1:42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AO434" s="9"/>
      <c r="AP434" s="9"/>
    </row>
    <row r="435" spans="1:42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AO435" s="9"/>
      <c r="AP435" s="9"/>
    </row>
    <row r="436" spans="1:42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AO436" s="9"/>
      <c r="AP436" s="9"/>
    </row>
    <row r="437" spans="1:42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AO437" s="9"/>
      <c r="AP437" s="9"/>
    </row>
    <row r="438" spans="1:42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AO438" s="9"/>
      <c r="AP438" s="9"/>
    </row>
    <row r="439" spans="1:42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AO439" s="9"/>
      <c r="AP439" s="9"/>
    </row>
    <row r="440" spans="1:42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AO440" s="9"/>
      <c r="AP440" s="9"/>
    </row>
    <row r="441" spans="1:42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AO441" s="9"/>
      <c r="AP441" s="9"/>
    </row>
    <row r="442" spans="1:42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AO442" s="9"/>
      <c r="AP442" s="9"/>
    </row>
    <row r="443" spans="1:42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AO443" s="9"/>
      <c r="AP443" s="9"/>
    </row>
    <row r="444" spans="1:42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AO444" s="9"/>
      <c r="AP444" s="9"/>
    </row>
    <row r="445" spans="1:42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AO445" s="9"/>
      <c r="AP445" s="9"/>
    </row>
    <row r="446" spans="1:42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AO446" s="9"/>
      <c r="AP446" s="9"/>
    </row>
    <row r="447" spans="1:42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AO447" s="9"/>
      <c r="AP447" s="9"/>
    </row>
    <row r="448" spans="1:42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AO448" s="9"/>
      <c r="AP448" s="9"/>
    </row>
    <row r="449" spans="1:42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AO449" s="9"/>
      <c r="AP449" s="9"/>
    </row>
    <row r="450" spans="1:42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AO450" s="9"/>
      <c r="AP450" s="9"/>
    </row>
    <row r="451" spans="1:42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AO451" s="9"/>
      <c r="AP451" s="9"/>
    </row>
    <row r="452" spans="1:42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AO452" s="9"/>
      <c r="AP452" s="9"/>
    </row>
    <row r="453" spans="1:42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AO453" s="9"/>
      <c r="AP453" s="9"/>
    </row>
    <row r="454" spans="1:42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AO454" s="9"/>
      <c r="AP454" s="9"/>
    </row>
    <row r="455" spans="1:42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AO455" s="9"/>
      <c r="AP455" s="9"/>
    </row>
    <row r="456" spans="1:42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AO456" s="9"/>
      <c r="AP456" s="9"/>
    </row>
    <row r="457" spans="1:42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AO457" s="9"/>
      <c r="AP457" s="9"/>
    </row>
    <row r="458" spans="1:42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AO458" s="9"/>
      <c r="AP458" s="9"/>
    </row>
    <row r="459" spans="1:42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AO459" s="9"/>
      <c r="AP459" s="9"/>
    </row>
    <row r="460" spans="1:42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AO460" s="9"/>
      <c r="AP460" s="9"/>
    </row>
    <row r="461" spans="1:42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AO461" s="9"/>
      <c r="AP461" s="9"/>
    </row>
    <row r="462" spans="1:42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AO462" s="9"/>
      <c r="AP462" s="9"/>
    </row>
    <row r="463" spans="1:42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AO463" s="9"/>
      <c r="AP463" s="9"/>
    </row>
    <row r="464" spans="1:42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AO464" s="9"/>
      <c r="AP464" s="9"/>
    </row>
    <row r="465" spans="1:42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AO465" s="9"/>
      <c r="AP465" s="9"/>
    </row>
    <row r="466" spans="1:42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AO466" s="9"/>
      <c r="AP466" s="9"/>
    </row>
    <row r="467" spans="1:42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AO467" s="9"/>
      <c r="AP467" s="9"/>
    </row>
    <row r="468" spans="1:42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AO468" s="9"/>
      <c r="AP468" s="9"/>
    </row>
    <row r="469" spans="1:42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AO469" s="9"/>
      <c r="AP469" s="9"/>
    </row>
    <row r="470" spans="1:42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AO470" s="9"/>
      <c r="AP470" s="9"/>
    </row>
    <row r="471" spans="1:42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AO471" s="9"/>
      <c r="AP471" s="9"/>
    </row>
    <row r="472" spans="1:42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AO472" s="9"/>
      <c r="AP472" s="9"/>
    </row>
    <row r="473" spans="1:42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AO473" s="9"/>
      <c r="AP473" s="9"/>
    </row>
    <row r="474" spans="1:42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AO474" s="9"/>
      <c r="AP474" s="9"/>
    </row>
    <row r="475" spans="1:42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AO475" s="9"/>
      <c r="AP475" s="9"/>
    </row>
    <row r="476" spans="1:42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AO476" s="9"/>
      <c r="AP476" s="9"/>
    </row>
    <row r="477" spans="1:42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AO477" s="9"/>
      <c r="AP477" s="9"/>
    </row>
    <row r="478" spans="1:42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AO478" s="9"/>
      <c r="AP478" s="9"/>
    </row>
    <row r="479" spans="1:42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AO479" s="9"/>
      <c r="AP479" s="9"/>
    </row>
    <row r="480" spans="1:42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AO480" s="9"/>
      <c r="AP480" s="9"/>
    </row>
    <row r="481" spans="1:42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AO481" s="9"/>
      <c r="AP481" s="9"/>
    </row>
    <row r="482" spans="1:42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AO482" s="9"/>
      <c r="AP482" s="9"/>
    </row>
    <row r="483" spans="1:42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AO483" s="9"/>
      <c r="AP483" s="9"/>
    </row>
    <row r="484" spans="1:42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AO484" s="9"/>
      <c r="AP484" s="9"/>
    </row>
    <row r="485" spans="1:42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AO485" s="9"/>
      <c r="AP485" s="9"/>
    </row>
    <row r="486" spans="1:42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AO486" s="9"/>
      <c r="AP486" s="9"/>
    </row>
    <row r="487" spans="1:42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AO487" s="9"/>
      <c r="AP487" s="9"/>
    </row>
    <row r="488" spans="1:42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AO488" s="9"/>
      <c r="AP488" s="9"/>
    </row>
    <row r="489" spans="1:42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AO489" s="9"/>
      <c r="AP489" s="9"/>
    </row>
    <row r="490" spans="1:42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AO490" s="9"/>
      <c r="AP490" s="9"/>
    </row>
    <row r="491" spans="1:42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AO491" s="9"/>
      <c r="AP491" s="9"/>
    </row>
    <row r="492" spans="1:42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AO492" s="9"/>
      <c r="AP492" s="9"/>
    </row>
    <row r="493" spans="1:42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AO493" s="9"/>
      <c r="AP493" s="9"/>
    </row>
    <row r="494" spans="1:42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AO494" s="9"/>
      <c r="AP494" s="9"/>
    </row>
    <row r="495" spans="1:42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AO495" s="9"/>
      <c r="AP495" s="9"/>
    </row>
    <row r="496" spans="1:42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AO496" s="9"/>
      <c r="AP496" s="9"/>
    </row>
    <row r="497" spans="1:42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AO497" s="9"/>
      <c r="AP497" s="9"/>
    </row>
    <row r="498" spans="1:42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AO498" s="9"/>
      <c r="AP498" s="9"/>
    </row>
    <row r="499" spans="1:42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AO499" s="9"/>
      <c r="AP499" s="9"/>
    </row>
    <row r="500" spans="1:42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AO500" s="9"/>
      <c r="AP500" s="9"/>
    </row>
    <row r="501" spans="1:42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AO501" s="9"/>
      <c r="AP501" s="9"/>
    </row>
    <row r="502" spans="1:42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AO502" s="9"/>
      <c r="AP502" s="9"/>
    </row>
    <row r="503" spans="1:42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AO503" s="9"/>
      <c r="AP503" s="9"/>
    </row>
    <row r="504" spans="1:42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AO504" s="9"/>
      <c r="AP504" s="9"/>
    </row>
    <row r="505" spans="1:42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AO505" s="9"/>
      <c r="AP505" s="9"/>
    </row>
    <row r="506" spans="1:42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AO506" s="9"/>
      <c r="AP506" s="9"/>
    </row>
    <row r="507" spans="1:42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AO507" s="9"/>
      <c r="AP507" s="9"/>
    </row>
    <row r="508" spans="1:42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AO508" s="9"/>
      <c r="AP508" s="9"/>
    </row>
    <row r="509" spans="1:42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AO509" s="9"/>
      <c r="AP509" s="9"/>
    </row>
    <row r="510" spans="1:42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AO510" s="9"/>
      <c r="AP510" s="9"/>
    </row>
    <row r="511" spans="1:42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AO511" s="9"/>
      <c r="AP511" s="9"/>
    </row>
    <row r="512" spans="1:42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AO512" s="9"/>
      <c r="AP512" s="9"/>
    </row>
    <row r="513" spans="1:42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AO513" s="9"/>
      <c r="AP513" s="9"/>
    </row>
    <row r="514" spans="1:42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AO514" s="9"/>
      <c r="AP514" s="9"/>
    </row>
    <row r="515" spans="1:42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AO515" s="9"/>
      <c r="AP515" s="9"/>
    </row>
    <row r="516" spans="1:42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AO516" s="9"/>
      <c r="AP516" s="9"/>
    </row>
    <row r="517" spans="1:42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AO517" s="9"/>
      <c r="AP517" s="9"/>
    </row>
    <row r="518" spans="1:42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AO518" s="9"/>
      <c r="AP518" s="9"/>
    </row>
    <row r="519" spans="1:42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AO519" s="9"/>
      <c r="AP519" s="9"/>
    </row>
    <row r="520" spans="1:42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AO520" s="9"/>
      <c r="AP520" s="9"/>
    </row>
    <row r="521" spans="1:42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AO521" s="9"/>
      <c r="AP521" s="9"/>
    </row>
    <row r="522" spans="1:42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AO522" s="9"/>
      <c r="AP522" s="9"/>
    </row>
    <row r="523" spans="1:42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AO523" s="9"/>
      <c r="AP523" s="9"/>
    </row>
    <row r="524" spans="1:42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AO524" s="9"/>
      <c r="AP524" s="9"/>
    </row>
    <row r="525" spans="1:42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AO525" s="9"/>
      <c r="AP525" s="9"/>
    </row>
    <row r="526" spans="1:42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AO526" s="9"/>
      <c r="AP526" s="9"/>
    </row>
    <row r="527" spans="1:42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AO527" s="9"/>
      <c r="AP527" s="9"/>
    </row>
    <row r="528" spans="1:42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AO528" s="9"/>
      <c r="AP528" s="9"/>
    </row>
    <row r="529" spans="1:42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AO529" s="9"/>
      <c r="AP529" s="9"/>
    </row>
    <row r="530" spans="1:42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AO530" s="9"/>
      <c r="AP530" s="9"/>
    </row>
    <row r="531" spans="1:42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AO531" s="9"/>
      <c r="AP531" s="9"/>
    </row>
    <row r="532" spans="1:42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AO532" s="9"/>
      <c r="AP532" s="9"/>
    </row>
    <row r="533" spans="1:42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AO533" s="9"/>
      <c r="AP533" s="9"/>
    </row>
    <row r="534" spans="1:42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AO534" s="9"/>
      <c r="AP534" s="9"/>
    </row>
    <row r="535" spans="1:42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AO535" s="9"/>
      <c r="AP535" s="9"/>
    </row>
    <row r="536" spans="1:42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AO536" s="9"/>
      <c r="AP536" s="9"/>
    </row>
    <row r="537" spans="1:42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AO537" s="9"/>
      <c r="AP537" s="9"/>
    </row>
    <row r="538" spans="1:42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AO538" s="9"/>
      <c r="AP538" s="9"/>
    </row>
    <row r="539" spans="1:42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AO539" s="9"/>
      <c r="AP539" s="9"/>
    </row>
    <row r="540" spans="1:42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AO540" s="9"/>
      <c r="AP540" s="9"/>
    </row>
    <row r="541" spans="1:42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AO541" s="9"/>
      <c r="AP541" s="9"/>
    </row>
    <row r="542" spans="1:42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AO542" s="9"/>
      <c r="AP542" s="9"/>
    </row>
    <row r="543" spans="1:42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AO543" s="9"/>
      <c r="AP543" s="9"/>
    </row>
    <row r="544" spans="1:42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AO544" s="9"/>
      <c r="AP544" s="9"/>
    </row>
    <row r="545" spans="1:42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AO545" s="9"/>
      <c r="AP545" s="9"/>
    </row>
    <row r="546" spans="1:42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AO546" s="9"/>
      <c r="AP546" s="9"/>
    </row>
    <row r="547" spans="1:42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AO547" s="9"/>
      <c r="AP547" s="9"/>
    </row>
    <row r="548" spans="1:42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AO548" s="9"/>
      <c r="AP548" s="9"/>
    </row>
    <row r="549" spans="1:42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AO549" s="9"/>
      <c r="AP549" s="9"/>
    </row>
    <row r="550" spans="1:42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AO550" s="9"/>
      <c r="AP550" s="9"/>
    </row>
    <row r="551" spans="1:42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AO551" s="9"/>
      <c r="AP551" s="9"/>
    </row>
    <row r="552" spans="1:42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AO552" s="9"/>
      <c r="AP552" s="9"/>
    </row>
    <row r="553" spans="1:42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AO553" s="9"/>
      <c r="AP553" s="9"/>
    </row>
    <row r="554" spans="1:42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AO554" s="9"/>
      <c r="AP554" s="9"/>
    </row>
    <row r="555" spans="1:42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AO555" s="9"/>
      <c r="AP555" s="9"/>
    </row>
    <row r="556" spans="1:42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AO556" s="9"/>
      <c r="AP556" s="9"/>
    </row>
    <row r="557" spans="1:42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AO557" s="9"/>
      <c r="AP557" s="9"/>
    </row>
    <row r="558" spans="1:42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AO558" s="9"/>
      <c r="AP558" s="9"/>
    </row>
    <row r="559" spans="1:42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AO559" s="9"/>
      <c r="AP559" s="9"/>
    </row>
    <row r="560" spans="1:42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AO560" s="9"/>
      <c r="AP560" s="9"/>
    </row>
    <row r="561" spans="1:42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AO561" s="9"/>
      <c r="AP561" s="9"/>
    </row>
    <row r="562" spans="1:42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AO562" s="9"/>
      <c r="AP562" s="9"/>
    </row>
    <row r="563" spans="1:42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AO563" s="9"/>
      <c r="AP563" s="9"/>
    </row>
    <row r="564" spans="1:42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AO564" s="9"/>
      <c r="AP564" s="9"/>
    </row>
    <row r="565" spans="1:42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AO565" s="9"/>
      <c r="AP565" s="9"/>
    </row>
    <row r="566" spans="1:42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AO566" s="9"/>
      <c r="AP566" s="9"/>
    </row>
    <row r="567" spans="1:42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AO567" s="9"/>
      <c r="AP567" s="9"/>
    </row>
    <row r="568" spans="1:42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AO568" s="9"/>
      <c r="AP568" s="9"/>
    </row>
    <row r="569" spans="1:42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AO569" s="9"/>
      <c r="AP569" s="9"/>
    </row>
    <row r="570" spans="1:42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AO570" s="9"/>
      <c r="AP570" s="9"/>
    </row>
    <row r="571" spans="1:42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AO571" s="9"/>
      <c r="AP571" s="9"/>
    </row>
    <row r="572" spans="1:42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AO572" s="9"/>
      <c r="AP572" s="9"/>
    </row>
    <row r="573" spans="1:42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AO573" s="9"/>
      <c r="AP573" s="9"/>
    </row>
    <row r="574" spans="1:42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AO574" s="9"/>
      <c r="AP574" s="9"/>
    </row>
    <row r="575" spans="1:42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AO575" s="9"/>
      <c r="AP575" s="9"/>
    </row>
    <row r="576" spans="1:42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AO576" s="9"/>
      <c r="AP576" s="9"/>
    </row>
    <row r="577" spans="1:42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AO577" s="9"/>
      <c r="AP577" s="9"/>
    </row>
    <row r="578" spans="1:42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AO578" s="9"/>
      <c r="AP578" s="9"/>
    </row>
    <row r="579" spans="1:42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AO579" s="9"/>
      <c r="AP579" s="9"/>
    </row>
    <row r="580" spans="1:42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AO580" s="9"/>
      <c r="AP580" s="9"/>
    </row>
    <row r="581" spans="1:42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AO581" s="9"/>
      <c r="AP581" s="9"/>
    </row>
    <row r="582" spans="1:42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AO582" s="9"/>
      <c r="AP582" s="9"/>
    </row>
    <row r="583" spans="1:42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AO583" s="9"/>
      <c r="AP583" s="9"/>
    </row>
    <row r="584" spans="1:42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AO584" s="9"/>
      <c r="AP584" s="9"/>
    </row>
    <row r="585" spans="1:42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AO585" s="9"/>
      <c r="AP585" s="9"/>
    </row>
    <row r="586" spans="1:42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AO586" s="9"/>
      <c r="AP586" s="9"/>
    </row>
    <row r="587" spans="1:42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AO587" s="9"/>
      <c r="AP587" s="9"/>
    </row>
    <row r="588" spans="1:42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AO588" s="9"/>
      <c r="AP588" s="9"/>
    </row>
    <row r="589" spans="1:42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AO589" s="9"/>
      <c r="AP589" s="9"/>
    </row>
    <row r="590" spans="1:42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AO590" s="9"/>
      <c r="AP590" s="9"/>
    </row>
    <row r="591" spans="1:42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AO591" s="9"/>
      <c r="AP591" s="9"/>
    </row>
    <row r="592" spans="1:42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AO592" s="9"/>
      <c r="AP592" s="9"/>
    </row>
    <row r="593" spans="1:42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AO593" s="9"/>
      <c r="AP593" s="9"/>
    </row>
    <row r="594" spans="1:42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AO594" s="9"/>
      <c r="AP594" s="9"/>
    </row>
    <row r="595" spans="1:42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AO595" s="9"/>
      <c r="AP595" s="9"/>
    </row>
    <row r="596" spans="1:42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AO596" s="9"/>
      <c r="AP596" s="9"/>
    </row>
    <row r="597" spans="1:42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AO597" s="9"/>
      <c r="AP597" s="9"/>
    </row>
    <row r="598" spans="1:42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AO598" s="9"/>
      <c r="AP598" s="9"/>
    </row>
    <row r="599" spans="1:42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AO599" s="9"/>
      <c r="AP599" s="9"/>
    </row>
    <row r="600" spans="1:42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AO600" s="9"/>
      <c r="AP600" s="9"/>
    </row>
    <row r="601" spans="1:42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AO601" s="9"/>
      <c r="AP601" s="9"/>
    </row>
    <row r="602" spans="1:42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AO602" s="9"/>
      <c r="AP602" s="9"/>
    </row>
    <row r="603" spans="1:42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AO603" s="9"/>
      <c r="AP603" s="9"/>
    </row>
    <row r="604" spans="1:42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AO604" s="9"/>
      <c r="AP604" s="9"/>
    </row>
    <row r="605" spans="1:42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AO605" s="9"/>
      <c r="AP605" s="9"/>
    </row>
    <row r="606" spans="1:42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AO606" s="9"/>
      <c r="AP606" s="9"/>
    </row>
    <row r="607" spans="1:42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AO607" s="9"/>
      <c r="AP607" s="9"/>
    </row>
    <row r="608" spans="1:42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AO608" s="9"/>
      <c r="AP608" s="9"/>
    </row>
    <row r="609" spans="1:42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AO609" s="9"/>
      <c r="AP609" s="9"/>
    </row>
    <row r="610" spans="1:42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AO610" s="9"/>
      <c r="AP610" s="9"/>
    </row>
    <row r="611" spans="1:42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AO611" s="9"/>
      <c r="AP611" s="9"/>
    </row>
    <row r="612" spans="1:42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AO612" s="9"/>
      <c r="AP612" s="9"/>
    </row>
    <row r="613" spans="1:42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AO613" s="9"/>
      <c r="AP613" s="9"/>
    </row>
    <row r="614" spans="1:42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AO614" s="9"/>
      <c r="AP614" s="9"/>
    </row>
    <row r="615" spans="1:42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AO615" s="9"/>
      <c r="AP615" s="9"/>
    </row>
    <row r="616" spans="1:42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AO616" s="9"/>
      <c r="AP616" s="9"/>
    </row>
    <row r="617" spans="1:42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AO617" s="9"/>
      <c r="AP617" s="9"/>
    </row>
    <row r="618" spans="1:42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AO618" s="9"/>
      <c r="AP618" s="9"/>
    </row>
    <row r="619" spans="1:42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AO619" s="9"/>
      <c r="AP619" s="9"/>
    </row>
    <row r="620" spans="1:42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AO620" s="9"/>
      <c r="AP620" s="9"/>
    </row>
    <row r="621" spans="1:42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AO621" s="9"/>
      <c r="AP621" s="9"/>
    </row>
    <row r="622" spans="1:42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AO622" s="9"/>
      <c r="AP622" s="9"/>
    </row>
    <row r="623" spans="1:42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AO623" s="9"/>
      <c r="AP623" s="9"/>
    </row>
    <row r="624" spans="1:42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AO624" s="9"/>
      <c r="AP624" s="9"/>
    </row>
    <row r="625" spans="1:42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AO625" s="9"/>
      <c r="AP625" s="9"/>
    </row>
    <row r="626" spans="1:42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AO626" s="9"/>
      <c r="AP626" s="9"/>
    </row>
    <row r="627" spans="1:42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AO627" s="9"/>
      <c r="AP627" s="9"/>
    </row>
    <row r="628" spans="1:42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AO628" s="9"/>
      <c r="AP628" s="9"/>
    </row>
    <row r="629" spans="1:42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AO629" s="9"/>
      <c r="AP629" s="9"/>
    </row>
    <row r="630" spans="1:42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AO630" s="9"/>
      <c r="AP630" s="9"/>
    </row>
    <row r="631" spans="1:42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AO631" s="9"/>
      <c r="AP631" s="9"/>
    </row>
    <row r="632" spans="1:42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AO632" s="9"/>
      <c r="AP632" s="9"/>
    </row>
    <row r="633" spans="1:42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AO633" s="9"/>
      <c r="AP633" s="9"/>
    </row>
    <row r="634" spans="1:42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AO634" s="9"/>
      <c r="AP634" s="9"/>
    </row>
    <row r="635" spans="1:42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AO635" s="9"/>
      <c r="AP635" s="9"/>
    </row>
    <row r="636" spans="1:42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AO636" s="9"/>
      <c r="AP636" s="9"/>
    </row>
    <row r="637" spans="1:42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AO637" s="9"/>
      <c r="AP637" s="9"/>
    </row>
    <row r="638" spans="1:42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AO638" s="9"/>
      <c r="AP638" s="9"/>
    </row>
    <row r="639" spans="1:42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AO639" s="9"/>
      <c r="AP639" s="9"/>
    </row>
    <row r="640" spans="1:42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AO640" s="9"/>
      <c r="AP640" s="9"/>
    </row>
    <row r="641" spans="1:42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AO641" s="9"/>
      <c r="AP641" s="9"/>
    </row>
    <row r="642" spans="1:42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AO642" s="9"/>
      <c r="AP642" s="9"/>
    </row>
    <row r="643" spans="1:42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AO643" s="9"/>
      <c r="AP643" s="9"/>
    </row>
    <row r="644" spans="1:42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AO644" s="9"/>
      <c r="AP644" s="9"/>
    </row>
    <row r="645" spans="1:42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AO645" s="9"/>
      <c r="AP645" s="9"/>
    </row>
    <row r="646" spans="1:42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AO646" s="9"/>
      <c r="AP646" s="9"/>
    </row>
    <row r="647" spans="1:42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AO647" s="9"/>
      <c r="AP647" s="9"/>
    </row>
    <row r="648" spans="1:42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AO648" s="9"/>
      <c r="AP648" s="9"/>
    </row>
    <row r="649" spans="1:42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AO649" s="9"/>
      <c r="AP649" s="9"/>
    </row>
    <row r="650" spans="1:42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AO650" s="9"/>
      <c r="AP650" s="9"/>
    </row>
    <row r="651" spans="1:42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AO651" s="9"/>
      <c r="AP651" s="9"/>
    </row>
    <row r="652" spans="1:42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AO652" s="9"/>
      <c r="AP652" s="9"/>
    </row>
    <row r="653" spans="1:42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AO653" s="9"/>
      <c r="AP653" s="9"/>
    </row>
    <row r="654" spans="1:42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AO654" s="9"/>
      <c r="AP654" s="9"/>
    </row>
    <row r="655" spans="1:42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AO655" s="9"/>
      <c r="AP655" s="9"/>
    </row>
    <row r="656" spans="1:42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AO656" s="9"/>
      <c r="AP656" s="9"/>
    </row>
    <row r="657" spans="1:42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AO657" s="9"/>
      <c r="AP657" s="9"/>
    </row>
    <row r="658" spans="1:42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AO658" s="9"/>
      <c r="AP658" s="9"/>
    </row>
    <row r="659" spans="1:42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AO659" s="9"/>
      <c r="AP659" s="9"/>
    </row>
    <row r="660" spans="1:42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AO660" s="9"/>
      <c r="AP660" s="9"/>
    </row>
    <row r="661" spans="1:42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AO661" s="9"/>
      <c r="AP661" s="9"/>
    </row>
    <row r="662" spans="1:42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AO662" s="9"/>
      <c r="AP662" s="9"/>
    </row>
    <row r="663" spans="1:42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AO663" s="9"/>
      <c r="AP663" s="9"/>
    </row>
    <row r="664" spans="1:42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AO664" s="9"/>
      <c r="AP664" s="9"/>
    </row>
    <row r="665" spans="1:42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AO665" s="9"/>
      <c r="AP665" s="9"/>
    </row>
    <row r="666" spans="1:42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AO666" s="9"/>
      <c r="AP666" s="9"/>
    </row>
    <row r="667" spans="1:42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AO667" s="9"/>
      <c r="AP667" s="9"/>
    </row>
    <row r="668" spans="1:42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AO668" s="9"/>
      <c r="AP668" s="9"/>
    </row>
    <row r="669" spans="1:42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AO669" s="9"/>
      <c r="AP669" s="9"/>
    </row>
    <row r="670" spans="1:42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AO670" s="9"/>
      <c r="AP670" s="9"/>
    </row>
    <row r="671" spans="1:42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AO671" s="9"/>
      <c r="AP671" s="9"/>
    </row>
    <row r="672" spans="1:42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AO672" s="9"/>
      <c r="AP672" s="9"/>
    </row>
    <row r="673" spans="1:42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AO673" s="9"/>
      <c r="AP673" s="9"/>
    </row>
    <row r="674" spans="1:42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AO674" s="9"/>
      <c r="AP674" s="9"/>
    </row>
    <row r="675" spans="1:42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AO675" s="9"/>
      <c r="AP675" s="9"/>
    </row>
    <row r="676" spans="1:42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AO676" s="9"/>
      <c r="AP676" s="9"/>
    </row>
    <row r="677" spans="1:42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AO677" s="9"/>
      <c r="AP677" s="9"/>
    </row>
    <row r="678" spans="1:42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AO678" s="9"/>
      <c r="AP678" s="9"/>
    </row>
    <row r="679" spans="1:42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AO679" s="9"/>
      <c r="AP679" s="9"/>
    </row>
    <row r="680" spans="1:42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AO680" s="9"/>
      <c r="AP680" s="9"/>
    </row>
    <row r="681" spans="1:42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AO681" s="9"/>
      <c r="AP681" s="9"/>
    </row>
    <row r="682" spans="1:42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AO682" s="9"/>
      <c r="AP682" s="9"/>
    </row>
    <row r="683" spans="1:42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AO683" s="9"/>
      <c r="AP683" s="9"/>
    </row>
    <row r="684" spans="1:42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AO684" s="9"/>
      <c r="AP684" s="9"/>
    </row>
    <row r="685" spans="1:42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AO685" s="9"/>
      <c r="AP685" s="9"/>
    </row>
    <row r="686" spans="1:42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AO686" s="9"/>
      <c r="AP686" s="9"/>
    </row>
    <row r="687" spans="1:42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AO687" s="9"/>
      <c r="AP687" s="9"/>
    </row>
    <row r="688" spans="1:42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AO688" s="9"/>
      <c r="AP688" s="9"/>
    </row>
    <row r="689" spans="1:42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AO689" s="9"/>
      <c r="AP689" s="9"/>
    </row>
    <row r="690" spans="1:42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AO690" s="9"/>
      <c r="AP690" s="9"/>
    </row>
    <row r="691" spans="1:42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AO691" s="9"/>
      <c r="AP691" s="9"/>
    </row>
    <row r="692" spans="1:42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AO692" s="9"/>
      <c r="AP692" s="9"/>
    </row>
    <row r="693" spans="1:42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AO693" s="9"/>
      <c r="AP693" s="9"/>
    </row>
    <row r="694" spans="1:42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AO694" s="9"/>
      <c r="AP694" s="9"/>
    </row>
    <row r="695" spans="1:42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AO695" s="9"/>
      <c r="AP695" s="9"/>
    </row>
    <row r="696" spans="1:42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AO696" s="9"/>
      <c r="AP696" s="9"/>
    </row>
    <row r="697" spans="1:42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AO697" s="9"/>
      <c r="AP697" s="9"/>
    </row>
    <row r="698" spans="1:42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AO698" s="9"/>
      <c r="AP698" s="9"/>
    </row>
    <row r="699" spans="1:42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AO699" s="9"/>
      <c r="AP699" s="9"/>
    </row>
    <row r="700" spans="1:42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AO700" s="9"/>
      <c r="AP700" s="9"/>
    </row>
    <row r="701" spans="1:42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AO701" s="9"/>
      <c r="AP701" s="9"/>
    </row>
    <row r="702" spans="1:42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AO702" s="9"/>
      <c r="AP702" s="9"/>
    </row>
    <row r="703" spans="1:42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AO703" s="9"/>
      <c r="AP703" s="9"/>
    </row>
    <row r="704" spans="1:42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AO704" s="9"/>
      <c r="AP704" s="9"/>
    </row>
    <row r="705" spans="1:42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AO705" s="9"/>
      <c r="AP705" s="9"/>
    </row>
    <row r="706" spans="1:42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AO706" s="9"/>
      <c r="AP706" s="9"/>
    </row>
    <row r="707" spans="1:42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AO707" s="9"/>
      <c r="AP707" s="9"/>
    </row>
    <row r="708" spans="1:42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AO708" s="9"/>
      <c r="AP708" s="9"/>
    </row>
    <row r="709" spans="1:42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AO709" s="9"/>
      <c r="AP709" s="9"/>
    </row>
    <row r="710" spans="1:42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AO710" s="9"/>
      <c r="AP710" s="9"/>
    </row>
    <row r="711" spans="1:42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AO711" s="9"/>
      <c r="AP711" s="9"/>
    </row>
    <row r="712" spans="1:42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AO712" s="9"/>
      <c r="AP712" s="9"/>
    </row>
    <row r="713" spans="1:42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AO713" s="9"/>
      <c r="AP713" s="9"/>
    </row>
    <row r="714" spans="1:42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AO714" s="9"/>
      <c r="AP714" s="9"/>
    </row>
    <row r="715" spans="1:42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AO715" s="9"/>
      <c r="AP715" s="9"/>
    </row>
    <row r="716" spans="1:42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AO716" s="9"/>
      <c r="AP716" s="9"/>
    </row>
    <row r="717" spans="1:42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AO717" s="9"/>
      <c r="AP717" s="9"/>
    </row>
    <row r="718" spans="1:42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AO718" s="9"/>
      <c r="AP718" s="9"/>
    </row>
    <row r="719" spans="1:42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AO719" s="9"/>
      <c r="AP719" s="9"/>
    </row>
    <row r="720" spans="1:42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AO720" s="9"/>
      <c r="AP720" s="9"/>
    </row>
    <row r="721" spans="1:42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AO721" s="9"/>
      <c r="AP721" s="9"/>
    </row>
    <row r="722" spans="1:42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AO722" s="9"/>
      <c r="AP722" s="9"/>
    </row>
    <row r="723" spans="1:42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AO723" s="9"/>
      <c r="AP723" s="9"/>
    </row>
    <row r="724" spans="1:42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AO724" s="9"/>
      <c r="AP724" s="9"/>
    </row>
    <row r="725" spans="1:42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AO725" s="9"/>
      <c r="AP725" s="9"/>
    </row>
    <row r="726" spans="1:42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AO726" s="9"/>
      <c r="AP726" s="9"/>
    </row>
    <row r="727" spans="1:42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AO727" s="9"/>
      <c r="AP727" s="9"/>
    </row>
    <row r="728" spans="1:42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AO728" s="9"/>
      <c r="AP728" s="9"/>
    </row>
    <row r="729" spans="1:42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AO729" s="9"/>
      <c r="AP729" s="9"/>
    </row>
    <row r="730" spans="1:42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AO730" s="9"/>
      <c r="AP730" s="9"/>
    </row>
    <row r="731" spans="1:42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AO731" s="9"/>
      <c r="AP731" s="9"/>
    </row>
    <row r="732" spans="1:42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AO732" s="9"/>
      <c r="AP732" s="9"/>
    </row>
    <row r="733" spans="1:42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AO733" s="9"/>
      <c r="AP733" s="9"/>
    </row>
    <row r="734" spans="1:42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AO734" s="9"/>
      <c r="AP734" s="9"/>
    </row>
    <row r="735" spans="1:42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AO735" s="9"/>
      <c r="AP735" s="9"/>
    </row>
    <row r="736" spans="1:42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AO736" s="9"/>
      <c r="AP736" s="9"/>
    </row>
    <row r="737" spans="1:42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AO737" s="9"/>
      <c r="AP737" s="9"/>
    </row>
    <row r="738" spans="1:42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AO738" s="9"/>
      <c r="AP738" s="9"/>
    </row>
    <row r="739" spans="1:42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AO739" s="9"/>
      <c r="AP739" s="9"/>
    </row>
    <row r="740" spans="1:42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AO740" s="9"/>
      <c r="AP740" s="9"/>
    </row>
    <row r="741" spans="1:42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AO741" s="9"/>
      <c r="AP741" s="9"/>
    </row>
    <row r="742" spans="1:42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AO742" s="9"/>
      <c r="AP742" s="9"/>
    </row>
    <row r="743" spans="1:42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AO743" s="9"/>
      <c r="AP743" s="9"/>
    </row>
    <row r="744" spans="1:42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AO744" s="9"/>
      <c r="AP744" s="9"/>
    </row>
    <row r="745" spans="1:42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AO745" s="9"/>
      <c r="AP745" s="9"/>
    </row>
    <row r="746" spans="1:42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AO746" s="9"/>
      <c r="AP746" s="9"/>
    </row>
    <row r="747" spans="1:42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AO747" s="9"/>
      <c r="AP747" s="9"/>
    </row>
    <row r="748" spans="1:42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AO748" s="9"/>
      <c r="AP748" s="9"/>
    </row>
    <row r="749" spans="1:42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AO749" s="9"/>
      <c r="AP749" s="9"/>
    </row>
    <row r="750" spans="1:42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AO750" s="9"/>
      <c r="AP750" s="9"/>
    </row>
    <row r="751" spans="1:42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AO751" s="9"/>
      <c r="AP751" s="9"/>
    </row>
    <row r="752" spans="1:42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AO752" s="9"/>
      <c r="AP752" s="9"/>
    </row>
    <row r="753" spans="1:42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AO753" s="9"/>
      <c r="AP753" s="9"/>
    </row>
    <row r="754" spans="1:42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AO754" s="9"/>
      <c r="AP754" s="9"/>
    </row>
    <row r="755" spans="1:42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AO755" s="9"/>
      <c r="AP755" s="9"/>
    </row>
    <row r="756" spans="1:42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AO756" s="9"/>
      <c r="AP756" s="9"/>
    </row>
    <row r="757" spans="1:42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AO757" s="9"/>
      <c r="AP757" s="9"/>
    </row>
    <row r="758" spans="1:42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AO758" s="9"/>
      <c r="AP758" s="9"/>
    </row>
    <row r="759" spans="1:42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AO759" s="9"/>
      <c r="AP759" s="9"/>
    </row>
    <row r="760" spans="1:42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AO760" s="9"/>
      <c r="AP760" s="9"/>
    </row>
    <row r="761" spans="1:42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AO761" s="9"/>
      <c r="AP761" s="9"/>
    </row>
    <row r="762" spans="1:42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AO762" s="9"/>
      <c r="AP762" s="9"/>
    </row>
    <row r="763" spans="1:42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AO763" s="9"/>
      <c r="AP763" s="9"/>
    </row>
    <row r="764" spans="1:42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AO764" s="9"/>
      <c r="AP764" s="9"/>
    </row>
    <row r="765" spans="1:42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AO765" s="9"/>
      <c r="AP765" s="9"/>
    </row>
    <row r="766" spans="1:42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AO766" s="9"/>
      <c r="AP766" s="9"/>
    </row>
    <row r="767" spans="1:42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AO767" s="9"/>
      <c r="AP767" s="9"/>
    </row>
    <row r="768" spans="1:42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AO768" s="9"/>
      <c r="AP768" s="9"/>
    </row>
    <row r="769" spans="1:42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AO769" s="9"/>
      <c r="AP769" s="9"/>
    </row>
    <row r="770" spans="1:42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AO770" s="9"/>
      <c r="AP770" s="9"/>
    </row>
    <row r="771" spans="1:42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AO771" s="9"/>
      <c r="AP771" s="9"/>
    </row>
    <row r="772" spans="1:42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AO772" s="9"/>
      <c r="AP772" s="9"/>
    </row>
    <row r="773" spans="1:42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AO773" s="9"/>
      <c r="AP773" s="9"/>
    </row>
    <row r="774" spans="1:42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AO774" s="9"/>
      <c r="AP774" s="9"/>
    </row>
    <row r="775" spans="1:42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AO775" s="9"/>
      <c r="AP775" s="9"/>
    </row>
    <row r="776" spans="1:42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AO776" s="9"/>
      <c r="AP776" s="9"/>
    </row>
    <row r="777" spans="1:42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AO777" s="9"/>
      <c r="AP777" s="9"/>
    </row>
    <row r="778" spans="1:42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AO778" s="9"/>
      <c r="AP778" s="9"/>
    </row>
    <row r="779" spans="1:42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AO779" s="9"/>
      <c r="AP779" s="9"/>
    </row>
    <row r="780" spans="1:42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AO780" s="9"/>
      <c r="AP780" s="9"/>
    </row>
    <row r="781" spans="1:42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AO781" s="9"/>
      <c r="AP781" s="9"/>
    </row>
    <row r="782" spans="1:42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AO782" s="9"/>
      <c r="AP782" s="9"/>
    </row>
    <row r="783" spans="1:42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AO783" s="9"/>
      <c r="AP783" s="9"/>
    </row>
    <row r="784" spans="1:42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AO784" s="9"/>
      <c r="AP784" s="9"/>
    </row>
    <row r="785" spans="1:42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AO785" s="9"/>
      <c r="AP785" s="9"/>
    </row>
    <row r="786" spans="1:42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AO786" s="9"/>
      <c r="AP786" s="9"/>
    </row>
    <row r="787" spans="1:42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AO787" s="9"/>
      <c r="AP787" s="9"/>
    </row>
    <row r="788" spans="1:42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AO788" s="9"/>
      <c r="AP788" s="9"/>
    </row>
    <row r="789" spans="1:42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AO789" s="9"/>
      <c r="AP789" s="9"/>
    </row>
    <row r="790" spans="1:42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AO790" s="9"/>
      <c r="AP790" s="9"/>
    </row>
    <row r="791" spans="1:42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AO791" s="9"/>
      <c r="AP791" s="9"/>
    </row>
    <row r="792" spans="1:42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AO792" s="9"/>
      <c r="AP792" s="9"/>
    </row>
    <row r="793" spans="1:42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AO793" s="9"/>
      <c r="AP793" s="9"/>
    </row>
    <row r="794" spans="1:42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AO794" s="9"/>
      <c r="AP794" s="9"/>
    </row>
    <row r="795" spans="1:42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AO795" s="9"/>
      <c r="AP795" s="9"/>
    </row>
    <row r="796" spans="1:42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AO796" s="9"/>
      <c r="AP796" s="9"/>
    </row>
    <row r="797" spans="1:42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AO797" s="9"/>
      <c r="AP797" s="9"/>
    </row>
    <row r="798" spans="1:42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AO798" s="9"/>
      <c r="AP798" s="9"/>
    </row>
    <row r="799" spans="1:42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AO799" s="9"/>
      <c r="AP799" s="9"/>
    </row>
    <row r="800" spans="1:42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AO800" s="9"/>
      <c r="AP800" s="9"/>
    </row>
    <row r="801" spans="1:42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AO801" s="9"/>
      <c r="AP801" s="9"/>
    </row>
    <row r="802" spans="1:42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AO802" s="9"/>
      <c r="AP802" s="9"/>
    </row>
    <row r="803" spans="1:42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AO803" s="9"/>
      <c r="AP803" s="9"/>
    </row>
    <row r="804" spans="1:42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AO804" s="9"/>
      <c r="AP804" s="9"/>
    </row>
    <row r="805" spans="1:42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AO805" s="9"/>
      <c r="AP805" s="9"/>
    </row>
    <row r="806" spans="1:42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AO806" s="9"/>
      <c r="AP806" s="9"/>
    </row>
    <row r="807" spans="1:42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AO807" s="9"/>
      <c r="AP807" s="9"/>
    </row>
    <row r="808" spans="1:42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AO808" s="9"/>
      <c r="AP808" s="9"/>
    </row>
    <row r="809" spans="1:42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AO809" s="9"/>
      <c r="AP809" s="9"/>
    </row>
    <row r="810" spans="1:42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AO810" s="9"/>
      <c r="AP810" s="9"/>
    </row>
    <row r="811" spans="1:42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AO811" s="9"/>
      <c r="AP811" s="9"/>
    </row>
    <row r="812" spans="1:42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AO812" s="9"/>
      <c r="AP812" s="9"/>
    </row>
    <row r="813" spans="1:42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AO813" s="9"/>
      <c r="AP813" s="9"/>
    </row>
    <row r="814" spans="1:42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AO814" s="9"/>
      <c r="AP814" s="9"/>
    </row>
    <row r="815" spans="1:42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AO815" s="9"/>
      <c r="AP815" s="9"/>
    </row>
    <row r="816" spans="1:42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AO816" s="9"/>
      <c r="AP816" s="9"/>
    </row>
    <row r="817" spans="1:42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AO817" s="9"/>
      <c r="AP817" s="9"/>
    </row>
    <row r="818" spans="1:42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AO818" s="9"/>
      <c r="AP818" s="9"/>
    </row>
    <row r="819" spans="1:42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AO819" s="9"/>
      <c r="AP819" s="9"/>
    </row>
    <row r="820" spans="1:42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AO820" s="9"/>
      <c r="AP820" s="9"/>
    </row>
    <row r="821" spans="1:42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AO821" s="9"/>
      <c r="AP821" s="9"/>
    </row>
    <row r="822" spans="1:42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AO822" s="9"/>
      <c r="AP822" s="9"/>
    </row>
    <row r="823" spans="1:42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AO823" s="9"/>
      <c r="AP823" s="9"/>
    </row>
    <row r="824" spans="1:42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AO824" s="9"/>
      <c r="AP824" s="9"/>
    </row>
    <row r="825" spans="1:42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AO825" s="9"/>
      <c r="AP825" s="9"/>
    </row>
    <row r="826" spans="1:42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AO826" s="9"/>
      <c r="AP826" s="9"/>
    </row>
    <row r="827" spans="1:42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AO827" s="9"/>
      <c r="AP827" s="9"/>
    </row>
    <row r="828" spans="1:42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AO828" s="9"/>
      <c r="AP828" s="9"/>
    </row>
    <row r="829" spans="1:42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AO829" s="9"/>
      <c r="AP829" s="9"/>
    </row>
    <row r="830" spans="1:42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AO830" s="9"/>
      <c r="AP830" s="9"/>
    </row>
    <row r="831" spans="1:42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AO831" s="9"/>
      <c r="AP831" s="9"/>
    </row>
    <row r="832" spans="1:42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AO832" s="9"/>
      <c r="AP832" s="9"/>
    </row>
    <row r="833" spans="1:42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AO833" s="9"/>
      <c r="AP833" s="9"/>
    </row>
    <row r="834" spans="1:42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AO834" s="9"/>
      <c r="AP834" s="9"/>
    </row>
    <row r="835" spans="1:42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AO835" s="9"/>
      <c r="AP835" s="9"/>
    </row>
    <row r="836" spans="1:42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AO836" s="9"/>
      <c r="AP836" s="9"/>
    </row>
    <row r="837" spans="1:42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AO837" s="9"/>
      <c r="AP837" s="9"/>
    </row>
    <row r="838" spans="1:42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AO838" s="9"/>
      <c r="AP838" s="9"/>
    </row>
    <row r="839" spans="1:42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AO839" s="9"/>
      <c r="AP839" s="9"/>
    </row>
    <row r="840" spans="1:42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AO840" s="9"/>
      <c r="AP840" s="9"/>
    </row>
    <row r="841" spans="1:42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AO841" s="9"/>
      <c r="AP841" s="9"/>
    </row>
    <row r="842" spans="1:42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AO842" s="9"/>
      <c r="AP842" s="9"/>
    </row>
    <row r="843" spans="1:42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AO843" s="9"/>
      <c r="AP843" s="9"/>
    </row>
    <row r="844" spans="1:42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AO844" s="9"/>
      <c r="AP844" s="9"/>
    </row>
    <row r="845" spans="1:42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AO845" s="9"/>
      <c r="AP845" s="9"/>
    </row>
    <row r="846" spans="1:42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AO846" s="9"/>
      <c r="AP846" s="9"/>
    </row>
    <row r="847" spans="1:42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AO847" s="9"/>
      <c r="AP847" s="9"/>
    </row>
    <row r="848" spans="1:42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AO848" s="9"/>
      <c r="AP848" s="9"/>
    </row>
    <row r="849" spans="1:42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AO849" s="9"/>
      <c r="AP849" s="9"/>
    </row>
    <row r="850" spans="1:42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AO850" s="9"/>
      <c r="AP850" s="9"/>
    </row>
    <row r="851" spans="1:42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AO851" s="9"/>
      <c r="AP851" s="9"/>
    </row>
    <row r="852" spans="1:42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AO852" s="9"/>
      <c r="AP852" s="9"/>
    </row>
    <row r="853" spans="1:42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AO853" s="9"/>
      <c r="AP853" s="9"/>
    </row>
    <row r="854" spans="1:42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AO854" s="9"/>
      <c r="AP854" s="9"/>
    </row>
    <row r="855" spans="1:42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AO855" s="9"/>
      <c r="AP855" s="9"/>
    </row>
    <row r="856" spans="1:42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AO856" s="9"/>
      <c r="AP856" s="9"/>
    </row>
    <row r="857" spans="1:42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AO857" s="9"/>
      <c r="AP857" s="9"/>
    </row>
    <row r="858" spans="1:42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AO858" s="9"/>
      <c r="AP858" s="9"/>
    </row>
    <row r="859" spans="1:42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AO859" s="9"/>
      <c r="AP859" s="9"/>
    </row>
    <row r="860" spans="1:42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AO860" s="9"/>
      <c r="AP860" s="9"/>
    </row>
    <row r="861" spans="1:42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AO861" s="9"/>
      <c r="AP861" s="9"/>
    </row>
    <row r="862" spans="1:42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AO862" s="9"/>
      <c r="AP862" s="9"/>
    </row>
    <row r="863" spans="1:42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AO863" s="9"/>
      <c r="AP863" s="9"/>
    </row>
    <row r="864" spans="1:42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AO864" s="9"/>
      <c r="AP864" s="9"/>
    </row>
    <row r="865" spans="1:42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AO865" s="9"/>
      <c r="AP865" s="9"/>
    </row>
    <row r="866" spans="1:42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AO866" s="9"/>
      <c r="AP866" s="9"/>
    </row>
    <row r="867" spans="1:42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AO867" s="9"/>
      <c r="AP867" s="9"/>
    </row>
    <row r="868" spans="1:42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AO868" s="9"/>
      <c r="AP868" s="9"/>
    </row>
    <row r="869" spans="1:42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AO869" s="9"/>
      <c r="AP869" s="9"/>
    </row>
    <row r="870" spans="1:42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AO870" s="9"/>
      <c r="AP870" s="9"/>
    </row>
    <row r="871" spans="1:42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AO871" s="9"/>
      <c r="AP871" s="9"/>
    </row>
    <row r="872" spans="1:42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AO872" s="9"/>
      <c r="AP872" s="9"/>
    </row>
    <row r="873" spans="1:42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AO873" s="9"/>
      <c r="AP873" s="9"/>
    </row>
    <row r="874" spans="1:42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AO874" s="9"/>
      <c r="AP874" s="9"/>
    </row>
    <row r="875" spans="1:42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AO875" s="9"/>
      <c r="AP875" s="9"/>
    </row>
    <row r="876" spans="1:42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AO876" s="9"/>
      <c r="AP876" s="9"/>
    </row>
    <row r="877" spans="1:42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AO877" s="9"/>
      <c r="AP877" s="9"/>
    </row>
    <row r="878" spans="1:42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AO878" s="9"/>
      <c r="AP878" s="9"/>
    </row>
    <row r="879" spans="1:42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AO879" s="9"/>
      <c r="AP879" s="9"/>
    </row>
    <row r="880" spans="1:42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AO880" s="9"/>
      <c r="AP880" s="9"/>
    </row>
    <row r="881" spans="1:42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AO881" s="9"/>
      <c r="AP881" s="9"/>
    </row>
    <row r="882" spans="1:42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AO882" s="9"/>
      <c r="AP882" s="9"/>
    </row>
    <row r="883" spans="1:42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AO883" s="9"/>
      <c r="AP883" s="9"/>
    </row>
    <row r="884" spans="1:42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AO884" s="9"/>
      <c r="AP884" s="9"/>
    </row>
    <row r="885" spans="1:42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AO885" s="9"/>
      <c r="AP885" s="9"/>
    </row>
    <row r="886" spans="1:42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AO886" s="9"/>
      <c r="AP886" s="9"/>
    </row>
    <row r="887" spans="1:42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AO887" s="9"/>
      <c r="AP887" s="9"/>
    </row>
    <row r="888" spans="1:42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AO888" s="9"/>
      <c r="AP888" s="9"/>
    </row>
    <row r="889" spans="1:42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AO889" s="9"/>
      <c r="AP889" s="9"/>
    </row>
    <row r="890" spans="1:42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AO890" s="9"/>
      <c r="AP890" s="9"/>
    </row>
    <row r="891" spans="1:42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AO891" s="9"/>
      <c r="AP891" s="9"/>
    </row>
    <row r="892" spans="1:42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AO892" s="9"/>
      <c r="AP892" s="9"/>
    </row>
    <row r="893" spans="1:42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AO893" s="9"/>
      <c r="AP893" s="9"/>
    </row>
    <row r="894" spans="1:42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AO894" s="9"/>
      <c r="AP894" s="9"/>
    </row>
    <row r="895" spans="1:42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AO895" s="9"/>
      <c r="AP895" s="9"/>
    </row>
    <row r="896" spans="1:42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AO896" s="9"/>
      <c r="AP896" s="9"/>
    </row>
    <row r="897" spans="1:42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AO897" s="9"/>
      <c r="AP897" s="9"/>
    </row>
    <row r="898" spans="1:42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AO898" s="9"/>
      <c r="AP898" s="9"/>
    </row>
    <row r="899" spans="1:42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AO899" s="9"/>
      <c r="AP899" s="9"/>
    </row>
    <row r="900" spans="1:42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AO900" s="9"/>
      <c r="AP900" s="9"/>
    </row>
    <row r="901" spans="1:42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AO901" s="9"/>
      <c r="AP901" s="9"/>
    </row>
    <row r="902" spans="1:42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AO902" s="9"/>
      <c r="AP902" s="9"/>
    </row>
    <row r="903" spans="1:42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AO903" s="9"/>
      <c r="AP903" s="9"/>
    </row>
    <row r="904" spans="1:42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AO904" s="9"/>
      <c r="AP904" s="9"/>
    </row>
    <row r="905" spans="1:42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AO905" s="9"/>
      <c r="AP905" s="9"/>
    </row>
    <row r="906" spans="1:42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AO906" s="9"/>
      <c r="AP906" s="9"/>
    </row>
    <row r="907" spans="1:42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AO907" s="9"/>
      <c r="AP907" s="9"/>
    </row>
    <row r="908" spans="1:42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AO908" s="9"/>
      <c r="AP908" s="9"/>
    </row>
    <row r="909" spans="1:42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AO909" s="9"/>
      <c r="AP909" s="9"/>
    </row>
    <row r="910" spans="1:42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AO910" s="9"/>
      <c r="AP910" s="9"/>
    </row>
    <row r="911" spans="1:42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AO911" s="9"/>
      <c r="AP911" s="9"/>
    </row>
    <row r="912" spans="1:42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AO912" s="9"/>
      <c r="AP912" s="9"/>
    </row>
    <row r="913" spans="1:42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AO913" s="9"/>
      <c r="AP913" s="9"/>
    </row>
    <row r="914" spans="1:42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AO914" s="9"/>
      <c r="AP914" s="9"/>
    </row>
    <row r="915" spans="1:42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AO915" s="9"/>
      <c r="AP915" s="9"/>
    </row>
    <row r="916" spans="1:42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AO916" s="9"/>
      <c r="AP916" s="9"/>
    </row>
    <row r="917" spans="1:42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AO917" s="9"/>
      <c r="AP917" s="9"/>
    </row>
    <row r="918" spans="1:42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AO918" s="9"/>
      <c r="AP918" s="9"/>
    </row>
    <row r="919" spans="1:42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AO919" s="9"/>
      <c r="AP919" s="9"/>
    </row>
    <row r="920" spans="1:42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AO920" s="9"/>
      <c r="AP920" s="9"/>
    </row>
    <row r="921" spans="1:42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AO921" s="9"/>
      <c r="AP921" s="9"/>
    </row>
    <row r="922" spans="1:42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AO922" s="9"/>
      <c r="AP922" s="9"/>
    </row>
    <row r="923" spans="1:42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AO923" s="9"/>
      <c r="AP923" s="9"/>
    </row>
    <row r="924" spans="1:42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AO924" s="9"/>
      <c r="AP924" s="9"/>
    </row>
    <row r="925" spans="1:42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AO925" s="9"/>
      <c r="AP925" s="9"/>
    </row>
    <row r="926" spans="1:42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AO926" s="9"/>
      <c r="AP926" s="9"/>
    </row>
    <row r="927" spans="1:42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AO927" s="9"/>
      <c r="AP927" s="9"/>
    </row>
    <row r="928" spans="1:42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AO928" s="9"/>
      <c r="AP928" s="9"/>
    </row>
    <row r="929" spans="1:42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AO929" s="9"/>
      <c r="AP929" s="9"/>
    </row>
    <row r="930" spans="1:42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AO930" s="9"/>
      <c r="AP930" s="9"/>
    </row>
    <row r="931" spans="1:42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AO931" s="9"/>
      <c r="AP931" s="9"/>
    </row>
    <row r="932" spans="1:42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AO932" s="9"/>
      <c r="AP932" s="9"/>
    </row>
    <row r="933" spans="1:42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AO933" s="9"/>
      <c r="AP933" s="9"/>
    </row>
    <row r="934" spans="1:42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AO934" s="9"/>
      <c r="AP934" s="9"/>
    </row>
    <row r="935" spans="1:42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AO935" s="9"/>
      <c r="AP935" s="9"/>
    </row>
    <row r="936" spans="1:42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AO936" s="9"/>
      <c r="AP936" s="9"/>
    </row>
    <row r="937" spans="1:42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AO937" s="9"/>
      <c r="AP937" s="9"/>
    </row>
    <row r="938" spans="1:42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AO938" s="9"/>
      <c r="AP938" s="9"/>
    </row>
    <row r="939" spans="1:42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AO939" s="9"/>
      <c r="AP939" s="9"/>
    </row>
    <row r="940" spans="1:42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AO940" s="9"/>
      <c r="AP940" s="9"/>
    </row>
    <row r="941" spans="1:42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AO941" s="9"/>
      <c r="AP941" s="9"/>
    </row>
    <row r="942" spans="1:42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AO942" s="9"/>
      <c r="AP942" s="9"/>
    </row>
    <row r="943" spans="1:42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AO943" s="9"/>
      <c r="AP943" s="9"/>
    </row>
    <row r="944" spans="1:42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AO944" s="9"/>
      <c r="AP944" s="9"/>
    </row>
    <row r="945" spans="1:42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AO945" s="9"/>
      <c r="AP945" s="9"/>
    </row>
    <row r="946" spans="1:42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AO946" s="9"/>
      <c r="AP946" s="9"/>
    </row>
    <row r="947" spans="1:42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AO947" s="9"/>
      <c r="AP947" s="9"/>
    </row>
    <row r="948" spans="1:42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AO948" s="9"/>
      <c r="AP948" s="9"/>
    </row>
    <row r="949" spans="1:42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AO949" s="9"/>
      <c r="AP949" s="9"/>
    </row>
    <row r="950" spans="1:42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AO950" s="9"/>
      <c r="AP950" s="9"/>
    </row>
    <row r="951" spans="1:42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AO951" s="9"/>
      <c r="AP951" s="9"/>
    </row>
    <row r="952" spans="1:42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AO952" s="9"/>
      <c r="AP952" s="9"/>
    </row>
    <row r="953" spans="1:42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AO953" s="9"/>
      <c r="AP953" s="9"/>
    </row>
    <row r="954" spans="1:42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AO954" s="9"/>
      <c r="AP954" s="9"/>
    </row>
    <row r="955" spans="1:42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AO955" s="9"/>
      <c r="AP955" s="9"/>
    </row>
    <row r="956" spans="1:42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AO956" s="9"/>
      <c r="AP956" s="9"/>
    </row>
    <row r="957" spans="1:42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AO957" s="9"/>
      <c r="AP957" s="9"/>
    </row>
    <row r="958" spans="1:42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AO958" s="9"/>
      <c r="AP958" s="9"/>
    </row>
    <row r="959" spans="1:42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AO959" s="9"/>
      <c r="AP959" s="9"/>
    </row>
    <row r="960" spans="1:42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AO960" s="9"/>
      <c r="AP960" s="9"/>
    </row>
    <row r="961" spans="1:42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AO961" s="9"/>
      <c r="AP961" s="9"/>
    </row>
    <row r="962" spans="1:42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AO962" s="9"/>
      <c r="AP962" s="9"/>
    </row>
    <row r="963" spans="1:42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AO963" s="9"/>
      <c r="AP963" s="9"/>
    </row>
    <row r="964" spans="1:42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AO964" s="9"/>
      <c r="AP964" s="9"/>
    </row>
    <row r="965" spans="1:42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AO965" s="9"/>
      <c r="AP965" s="9"/>
    </row>
    <row r="966" spans="1:42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AO966" s="9"/>
      <c r="AP966" s="9"/>
    </row>
    <row r="967" spans="1:42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AO967" s="9"/>
      <c r="AP967" s="9"/>
    </row>
    <row r="968" spans="1:42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AO968" s="9"/>
      <c r="AP968" s="9"/>
    </row>
    <row r="969" spans="1:42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AO969" s="9"/>
      <c r="AP969" s="9"/>
    </row>
    <row r="970" spans="1:42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AO970" s="9"/>
      <c r="AP970" s="9"/>
    </row>
    <row r="971" spans="1:42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AO971" s="9"/>
      <c r="AP971" s="9"/>
    </row>
    <row r="972" spans="1:42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AO972" s="9"/>
      <c r="AP972" s="9"/>
    </row>
    <row r="973" spans="1:42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AO973" s="9"/>
      <c r="AP973" s="9"/>
    </row>
    <row r="974" spans="1:42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AO974" s="9"/>
      <c r="AP974" s="9"/>
    </row>
    <row r="975" spans="1:42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AO975" s="9"/>
      <c r="AP975" s="9"/>
    </row>
    <row r="976" spans="1:42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AO976" s="9"/>
      <c r="AP976" s="9"/>
    </row>
    <row r="977" spans="1:42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AO977" s="9"/>
      <c r="AP977" s="9"/>
    </row>
    <row r="978" spans="1:42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AO978" s="9"/>
      <c r="AP978" s="9"/>
    </row>
    <row r="979" spans="1:42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AO979" s="9"/>
      <c r="AP979" s="9"/>
    </row>
    <row r="980" spans="1:42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AO980" s="9"/>
      <c r="AP980" s="9"/>
    </row>
    <row r="981" spans="1:42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AO981" s="9"/>
      <c r="AP981" s="9"/>
    </row>
    <row r="982" spans="1:42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AO982" s="9"/>
      <c r="AP982" s="9"/>
    </row>
    <row r="983" spans="1:42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AO983" s="9"/>
      <c r="AP983" s="9"/>
    </row>
    <row r="984" spans="1:42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AO984" s="9"/>
      <c r="AP984" s="9"/>
    </row>
    <row r="985" spans="1:42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AO985" s="9"/>
      <c r="AP985" s="9"/>
    </row>
    <row r="986" spans="1:42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AO986" s="9"/>
      <c r="AP986" s="9"/>
    </row>
    <row r="987" spans="1:42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AO987" s="9"/>
      <c r="AP987" s="9"/>
    </row>
    <row r="988" spans="1:42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AO988" s="9"/>
      <c r="AP988" s="9"/>
    </row>
    <row r="989" spans="1:42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AO989" s="9"/>
      <c r="AP989" s="9"/>
    </row>
    <row r="990" spans="1:42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AO990" s="9"/>
      <c r="AP990" s="9"/>
    </row>
    <row r="991" spans="1:42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AO991" s="9"/>
      <c r="AP991" s="9"/>
    </row>
    <row r="992" spans="1:42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AO992" s="9"/>
      <c r="AP992" s="9"/>
    </row>
    <row r="993" spans="1:42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AO993" s="9"/>
      <c r="AP993" s="9"/>
    </row>
    <row r="994" spans="1:42" ht="13">
      <c r="AO994" s="9"/>
      <c r="AP994" s="9"/>
    </row>
    <row r="995" spans="1:42" ht="13">
      <c r="AO995" s="9"/>
      <c r="AP995" s="9"/>
    </row>
    <row r="996" spans="1:42" ht="13">
      <c r="AO996" s="9"/>
      <c r="AP996" s="9"/>
    </row>
    <row r="997" spans="1:42" ht="13">
      <c r="AO997" s="9"/>
      <c r="AP997" s="9"/>
    </row>
    <row r="998" spans="1:42" ht="13">
      <c r="AO998" s="9"/>
      <c r="AP998" s="9"/>
    </row>
    <row r="999" spans="1:42" ht="13">
      <c r="AO999" s="9"/>
      <c r="AP999" s="9"/>
    </row>
    <row r="1000" spans="1:42" ht="13">
      <c r="AO1000" s="9"/>
      <c r="AP1000" s="9"/>
    </row>
    <row r="1001" spans="1:42" ht="13">
      <c r="AO1001" s="9"/>
      <c r="AP1001" s="9"/>
    </row>
    <row r="1002" spans="1:42" ht="13">
      <c r="AO1002" s="9"/>
      <c r="AP1002" s="9"/>
    </row>
    <row r="1003" spans="1:42" ht="13">
      <c r="AO1003" s="9"/>
      <c r="AP1003" s="9"/>
    </row>
    <row r="1004" spans="1:42" ht="13">
      <c r="AO1004" s="9"/>
      <c r="AP1004" s="9"/>
    </row>
    <row r="1005" spans="1:42" ht="13">
      <c r="AO1005" s="9"/>
      <c r="AP1005" s="9"/>
    </row>
    <row r="1006" spans="1:42" ht="13">
      <c r="AO1006" s="9"/>
      <c r="AP1006" s="9"/>
    </row>
    <row r="1007" spans="1:42" ht="13">
      <c r="AO1007" s="9"/>
      <c r="AP1007" s="9"/>
    </row>
  </sheetData>
  <mergeCells count="26">
    <mergeCell ref="A18:B18"/>
    <mergeCell ref="C18:E18"/>
    <mergeCell ref="J18:J20"/>
    <mergeCell ref="A19:B20"/>
    <mergeCell ref="E19:E20"/>
    <mergeCell ref="I19:I20"/>
    <mergeCell ref="AM3:AM5"/>
    <mergeCell ref="AN3:AN5"/>
    <mergeCell ref="W4:W5"/>
    <mergeCell ref="AL4:AL5"/>
    <mergeCell ref="C19:C20"/>
    <mergeCell ref="D19:D20"/>
    <mergeCell ref="F18:H18"/>
    <mergeCell ref="G19:H19"/>
    <mergeCell ref="R3:S5"/>
    <mergeCell ref="T4:T5"/>
    <mergeCell ref="AK4:AK5"/>
    <mergeCell ref="T3:U3"/>
    <mergeCell ref="X3:X5"/>
    <mergeCell ref="Y3:Y5"/>
    <mergeCell ref="AI3:AJ3"/>
    <mergeCell ref="U4:U5"/>
    <mergeCell ref="V4:V5"/>
    <mergeCell ref="AG3:AH5"/>
    <mergeCell ref="AI4:AI5"/>
    <mergeCell ref="AJ4:AJ5"/>
  </mergeCells>
  <phoneticPr fontId="68" type="noConversion"/>
  <conditionalFormatting sqref="X6:X36 AM6:AM36">
    <cfRule type="cellIs" dxfId="2" priority="1" operator="greaterThan">
      <formula>240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Q1096"/>
  <sheetViews>
    <sheetView showGridLines="0" workbookViewId="0"/>
  </sheetViews>
  <sheetFormatPr baseColWidth="10" defaultColWidth="12.6640625" defaultRowHeight="15.75" customHeight="1" outlineLevelRow="1"/>
  <cols>
    <col min="1" max="1" width="9.1640625" customWidth="1"/>
    <col min="2" max="2" width="10.5" customWidth="1"/>
    <col min="3" max="3" width="8" customWidth="1"/>
    <col min="4" max="6" width="11.6640625" customWidth="1"/>
    <col min="7" max="7" width="13.5" customWidth="1"/>
    <col min="8" max="8" width="12.1640625" customWidth="1"/>
    <col min="9" max="10" width="11.6640625" customWidth="1"/>
    <col min="11" max="11" width="12.1640625" customWidth="1"/>
    <col min="12" max="13" width="8.1640625" customWidth="1"/>
    <col min="14" max="14" width="14.5" customWidth="1"/>
  </cols>
  <sheetData>
    <row r="1" spans="1:17" ht="17.25" customHeight="1">
      <c r="A1" s="1" t="s">
        <v>549</v>
      </c>
      <c r="B1" s="1"/>
      <c r="C1" s="2"/>
      <c r="D1" s="3"/>
      <c r="E1" s="3"/>
      <c r="F1" s="3"/>
      <c r="G1" s="3"/>
      <c r="H1" s="3"/>
      <c r="I1" s="3"/>
      <c r="J1" s="3"/>
      <c r="K1" s="3"/>
      <c r="L1" s="2"/>
      <c r="M1" s="2"/>
      <c r="N1" s="2"/>
      <c r="O1" s="2"/>
      <c r="P1" s="2"/>
      <c r="Q1" s="2"/>
    </row>
    <row r="2" spans="1:17" ht="15">
      <c r="A2" s="1"/>
      <c r="B2" s="10" t="s">
        <v>7</v>
      </c>
      <c r="C2" s="11"/>
      <c r="D2" s="12"/>
      <c r="E2" s="12"/>
      <c r="F2" s="12"/>
      <c r="G2" s="12"/>
      <c r="H2" s="12"/>
      <c r="I2" s="12"/>
      <c r="J2" s="617"/>
      <c r="K2" s="12"/>
      <c r="L2" s="2"/>
      <c r="M2" s="2"/>
      <c r="N2" s="2"/>
      <c r="O2" s="2"/>
      <c r="P2" s="2"/>
      <c r="Q2" s="2"/>
    </row>
    <row r="3" spans="1:17" ht="15">
      <c r="A3" s="54"/>
      <c r="B3" s="20"/>
      <c r="C3" s="21" t="s">
        <v>15</v>
      </c>
      <c r="D3" s="22"/>
      <c r="E3" s="22"/>
      <c r="F3" s="22"/>
      <c r="G3" s="22"/>
      <c r="H3" s="22"/>
      <c r="I3" s="22"/>
      <c r="J3" s="618"/>
      <c r="K3" s="22"/>
      <c r="L3" s="619"/>
      <c r="M3" s="619"/>
      <c r="N3" s="2"/>
      <c r="O3" s="2"/>
      <c r="P3" s="2"/>
      <c r="Q3" s="2"/>
    </row>
    <row r="4" spans="1:17" ht="15">
      <c r="A4" s="54"/>
      <c r="B4" s="20"/>
      <c r="C4" s="30" t="s">
        <v>23</v>
      </c>
      <c r="D4" s="31" t="s">
        <v>24</v>
      </c>
      <c r="E4" s="22"/>
      <c r="F4" s="22"/>
      <c r="G4" s="22"/>
      <c r="H4" s="22"/>
      <c r="I4" s="22"/>
      <c r="J4" s="618"/>
      <c r="K4" s="22"/>
      <c r="L4" s="2"/>
      <c r="M4" s="2"/>
      <c r="N4" s="2"/>
      <c r="O4" s="2"/>
      <c r="P4" s="2"/>
      <c r="Q4" s="2"/>
    </row>
    <row r="5" spans="1:17" ht="15">
      <c r="A5" s="54"/>
      <c r="B5" s="20"/>
      <c r="C5" s="21" t="s">
        <v>8</v>
      </c>
      <c r="D5" s="22"/>
      <c r="E5" s="22"/>
      <c r="F5" s="22"/>
      <c r="G5" s="22"/>
      <c r="H5" s="22"/>
      <c r="I5" s="22"/>
      <c r="J5" s="618"/>
      <c r="K5" s="22"/>
      <c r="L5" s="2"/>
      <c r="M5" s="2"/>
      <c r="N5" s="2"/>
      <c r="O5" s="2"/>
      <c r="P5" s="2"/>
      <c r="Q5" s="2"/>
    </row>
    <row r="6" spans="1:17" ht="15">
      <c r="A6" s="54"/>
      <c r="B6" s="20"/>
      <c r="C6" s="30" t="s">
        <v>23</v>
      </c>
      <c r="D6" s="31" t="s">
        <v>31</v>
      </c>
      <c r="E6" s="22"/>
      <c r="F6" s="22"/>
      <c r="G6" s="22"/>
      <c r="H6" s="22"/>
      <c r="I6" s="22"/>
      <c r="J6" s="618"/>
      <c r="K6" s="22"/>
      <c r="L6" s="2"/>
      <c r="M6" s="2"/>
      <c r="N6" s="2"/>
      <c r="O6" s="2"/>
      <c r="P6" s="2"/>
      <c r="Q6" s="2"/>
    </row>
    <row r="7" spans="1:17" ht="15">
      <c r="A7" s="54"/>
      <c r="B7" s="20"/>
      <c r="C7" s="30" t="s">
        <v>23</v>
      </c>
      <c r="D7" s="31" t="s">
        <v>550</v>
      </c>
      <c r="E7" s="22"/>
      <c r="F7" s="22"/>
      <c r="G7" s="22"/>
      <c r="H7" s="22"/>
      <c r="I7" s="22"/>
      <c r="J7" s="618"/>
      <c r="K7" s="22"/>
      <c r="L7" s="2"/>
      <c r="M7" s="2"/>
      <c r="N7" s="2"/>
      <c r="O7" s="2"/>
      <c r="P7" s="2"/>
      <c r="Q7" s="2"/>
    </row>
    <row r="8" spans="1:17" ht="15">
      <c r="A8" s="54"/>
      <c r="B8" s="20"/>
      <c r="C8" s="30" t="s">
        <v>23</v>
      </c>
      <c r="D8" s="31" t="s">
        <v>551</v>
      </c>
      <c r="E8" s="22"/>
      <c r="F8" s="22"/>
      <c r="G8" s="22"/>
      <c r="H8" s="22"/>
      <c r="I8" s="22"/>
      <c r="J8" s="618"/>
      <c r="K8" s="22"/>
      <c r="L8" s="2"/>
      <c r="M8" s="2"/>
      <c r="N8" s="2"/>
      <c r="O8" s="2"/>
      <c r="P8" s="2"/>
      <c r="Q8" s="2"/>
    </row>
    <row r="9" spans="1:17" ht="15">
      <c r="A9" s="54"/>
      <c r="B9" s="55"/>
      <c r="C9" s="56" t="s">
        <v>23</v>
      </c>
      <c r="D9" s="57" t="s">
        <v>44</v>
      </c>
      <c r="E9" s="58"/>
      <c r="F9" s="58"/>
      <c r="G9" s="58"/>
      <c r="H9" s="58"/>
      <c r="I9" s="58"/>
      <c r="J9" s="620"/>
      <c r="K9" s="58"/>
      <c r="L9" s="2"/>
      <c r="M9" s="2"/>
      <c r="N9" s="2"/>
      <c r="O9" s="2"/>
      <c r="P9" s="2"/>
      <c r="Q9" s="2"/>
    </row>
    <row r="10" spans="1:17" ht="13">
      <c r="A10" s="54"/>
      <c r="B10" s="54"/>
      <c r="C10" s="54"/>
      <c r="D10" s="3"/>
      <c r="E10" s="3"/>
      <c r="F10" s="3"/>
      <c r="G10" s="3"/>
      <c r="H10" s="132"/>
      <c r="I10" s="3"/>
      <c r="J10" s="3"/>
      <c r="K10" s="3"/>
      <c r="L10" s="2"/>
      <c r="M10" s="2"/>
      <c r="N10" s="2"/>
      <c r="O10" s="2"/>
      <c r="P10" s="2"/>
      <c r="Q10" s="2"/>
    </row>
    <row r="11" spans="1:17" ht="16">
      <c r="A11" s="621"/>
      <c r="B11" s="817" t="s">
        <v>552</v>
      </c>
      <c r="C11" s="818"/>
      <c r="D11" s="862" t="s">
        <v>15</v>
      </c>
      <c r="E11" s="818"/>
      <c r="F11" s="819" t="s">
        <v>8</v>
      </c>
      <c r="G11" s="820"/>
      <c r="H11" s="820"/>
      <c r="I11" s="820"/>
      <c r="J11" s="820"/>
      <c r="K11" s="818"/>
      <c r="L11" s="821" t="s">
        <v>113</v>
      </c>
      <c r="M11" s="820"/>
      <c r="N11" s="822"/>
      <c r="O11" s="2"/>
      <c r="P11" s="13" t="s">
        <v>553</v>
      </c>
      <c r="Q11" s="2"/>
    </row>
    <row r="12" spans="1:17" ht="14">
      <c r="A12" s="622"/>
      <c r="B12" s="825" t="s">
        <v>10</v>
      </c>
      <c r="C12" s="859"/>
      <c r="D12" s="858" t="s">
        <v>554</v>
      </c>
      <c r="E12" s="860" t="s">
        <v>555</v>
      </c>
      <c r="F12" s="858" t="s">
        <v>3</v>
      </c>
      <c r="G12" s="814"/>
      <c r="H12" s="859"/>
      <c r="I12" s="816" t="s">
        <v>66</v>
      </c>
      <c r="J12" s="814"/>
      <c r="K12" s="859"/>
      <c r="L12" s="816" t="s">
        <v>3</v>
      </c>
      <c r="M12" s="860" t="s">
        <v>66</v>
      </c>
      <c r="N12" s="865" t="s">
        <v>117</v>
      </c>
      <c r="O12" s="2"/>
      <c r="P12" s="2"/>
      <c r="Q12" s="2"/>
    </row>
    <row r="13" spans="1:17" ht="14" collapsed="1">
      <c r="A13" s="622"/>
      <c r="B13" s="791"/>
      <c r="C13" s="861"/>
      <c r="D13" s="863"/>
      <c r="E13" s="864"/>
      <c r="F13" s="623" t="s">
        <v>118</v>
      </c>
      <c r="G13" s="25" t="s">
        <v>556</v>
      </c>
      <c r="H13" s="624" t="s">
        <v>120</v>
      </c>
      <c r="I13" s="25" t="s">
        <v>118</v>
      </c>
      <c r="J13" s="25" t="s">
        <v>8</v>
      </c>
      <c r="K13" s="624" t="s">
        <v>120</v>
      </c>
      <c r="L13" s="786"/>
      <c r="M13" s="861"/>
      <c r="N13" s="809"/>
      <c r="O13" s="13" t="s">
        <v>114</v>
      </c>
      <c r="P13" s="2"/>
      <c r="Q13" s="625"/>
    </row>
    <row r="14" spans="1:17" ht="14" outlineLevel="1">
      <c r="A14" s="626"/>
      <c r="B14" s="627">
        <v>43416</v>
      </c>
      <c r="C14" s="628" t="s">
        <v>41</v>
      </c>
      <c r="D14" s="629" t="s">
        <v>23</v>
      </c>
      <c r="E14" s="630" t="s">
        <v>23</v>
      </c>
      <c r="F14" s="631"/>
      <c r="G14" s="632"/>
      <c r="H14" s="633"/>
      <c r="I14" s="632"/>
      <c r="J14" s="632"/>
      <c r="K14" s="633"/>
      <c r="L14" s="634"/>
      <c r="M14" s="635"/>
      <c r="N14" s="636"/>
      <c r="O14" s="2"/>
      <c r="P14" s="2"/>
      <c r="Q14" s="2"/>
    </row>
    <row r="15" spans="1:17" ht="14" outlineLevel="1">
      <c r="A15" s="626"/>
      <c r="B15" s="637">
        <v>43417</v>
      </c>
      <c r="C15" s="638" t="s">
        <v>123</v>
      </c>
      <c r="D15" s="639">
        <v>20000</v>
      </c>
      <c r="E15" s="640">
        <v>8000</v>
      </c>
      <c r="F15" s="641">
        <v>28353</v>
      </c>
      <c r="G15" s="642"/>
      <c r="H15" s="643" t="s">
        <v>23</v>
      </c>
      <c r="I15" s="644">
        <v>3000</v>
      </c>
      <c r="J15" s="644"/>
      <c r="K15" s="640"/>
      <c r="L15" s="645"/>
      <c r="M15" s="646"/>
      <c r="N15" s="647"/>
      <c r="O15" s="2"/>
      <c r="P15" s="2"/>
      <c r="Q15" s="2"/>
    </row>
    <row r="16" spans="1:17" ht="14" outlineLevel="1">
      <c r="A16" s="626"/>
      <c r="B16" s="637">
        <v>43418</v>
      </c>
      <c r="C16" s="638" t="s">
        <v>49</v>
      </c>
      <c r="D16" s="639">
        <v>20000</v>
      </c>
      <c r="E16" s="640">
        <v>8000</v>
      </c>
      <c r="F16" s="641">
        <v>27880</v>
      </c>
      <c r="G16" s="642"/>
      <c r="H16" s="643" t="s">
        <v>23</v>
      </c>
      <c r="I16" s="644">
        <v>3000</v>
      </c>
      <c r="J16" s="644"/>
      <c r="K16" s="640"/>
      <c r="L16" s="645"/>
      <c r="M16" s="646"/>
      <c r="N16" s="647"/>
      <c r="O16" s="2"/>
      <c r="P16" s="2"/>
      <c r="Q16" s="2"/>
    </row>
    <row r="17" spans="1:17" ht="14" outlineLevel="1">
      <c r="A17" s="626"/>
      <c r="B17" s="637">
        <v>43419</v>
      </c>
      <c r="C17" s="638" t="s">
        <v>124</v>
      </c>
      <c r="D17" s="639">
        <v>20000</v>
      </c>
      <c r="E17" s="640">
        <v>8000</v>
      </c>
      <c r="F17" s="641">
        <v>28767</v>
      </c>
      <c r="G17" s="642"/>
      <c r="H17" s="643" t="s">
        <v>23</v>
      </c>
      <c r="I17" s="644">
        <v>5000</v>
      </c>
      <c r="J17" s="644"/>
      <c r="K17" s="640"/>
      <c r="L17" s="645"/>
      <c r="M17" s="646"/>
      <c r="N17" s="647"/>
      <c r="O17" s="2"/>
      <c r="P17" s="2"/>
      <c r="Q17" s="2"/>
    </row>
    <row r="18" spans="1:17" ht="14" outlineLevel="1">
      <c r="A18" s="626"/>
      <c r="B18" s="637">
        <v>43420</v>
      </c>
      <c r="C18" s="638" t="s">
        <v>29</v>
      </c>
      <c r="D18" s="639">
        <v>20000</v>
      </c>
      <c r="E18" s="640">
        <v>8000</v>
      </c>
      <c r="F18" s="641">
        <v>24474</v>
      </c>
      <c r="G18" s="642"/>
      <c r="H18" s="643" t="s">
        <v>23</v>
      </c>
      <c r="I18" s="644">
        <v>3000</v>
      </c>
      <c r="J18" s="644"/>
      <c r="K18" s="640"/>
      <c r="L18" s="645"/>
      <c r="M18" s="646"/>
      <c r="N18" s="647"/>
      <c r="O18" s="2"/>
      <c r="P18" s="2"/>
      <c r="Q18" s="2"/>
    </row>
    <row r="19" spans="1:17" ht="14" outlineLevel="1">
      <c r="A19" s="626"/>
      <c r="B19" s="637">
        <v>43421</v>
      </c>
      <c r="C19" s="638" t="s">
        <v>33</v>
      </c>
      <c r="D19" s="639">
        <v>20000</v>
      </c>
      <c r="E19" s="640">
        <v>8000</v>
      </c>
      <c r="F19" s="641">
        <v>23507</v>
      </c>
      <c r="G19" s="642"/>
      <c r="H19" s="643" t="s">
        <v>23</v>
      </c>
      <c r="I19" s="644">
        <v>3000</v>
      </c>
      <c r="J19" s="644"/>
      <c r="K19" s="640"/>
      <c r="L19" s="645"/>
      <c r="M19" s="646"/>
      <c r="N19" s="647"/>
      <c r="O19" s="2"/>
      <c r="P19" s="2"/>
      <c r="Q19" s="2"/>
    </row>
    <row r="20" spans="1:17" ht="14" outlineLevel="1">
      <c r="A20" s="626"/>
      <c r="B20" s="637">
        <v>43422</v>
      </c>
      <c r="C20" s="638" t="s">
        <v>37</v>
      </c>
      <c r="D20" s="639" t="s">
        <v>23</v>
      </c>
      <c r="E20" s="640">
        <v>8000</v>
      </c>
      <c r="F20" s="639" t="s">
        <v>23</v>
      </c>
      <c r="G20" s="642"/>
      <c r="H20" s="643" t="s">
        <v>23</v>
      </c>
      <c r="I20" s="644">
        <v>3000</v>
      </c>
      <c r="J20" s="644"/>
      <c r="K20" s="640"/>
      <c r="L20" s="645"/>
      <c r="M20" s="646"/>
      <c r="N20" s="647"/>
      <c r="O20" s="2"/>
      <c r="P20" s="2"/>
      <c r="Q20" s="2"/>
    </row>
    <row r="21" spans="1:17" ht="14" outlineLevel="1">
      <c r="A21" s="626"/>
      <c r="B21" s="637">
        <v>43423</v>
      </c>
      <c r="C21" s="638" t="s">
        <v>41</v>
      </c>
      <c r="D21" s="639">
        <v>20000</v>
      </c>
      <c r="E21" s="640">
        <v>8000</v>
      </c>
      <c r="F21" s="641">
        <v>15285</v>
      </c>
      <c r="G21" s="642"/>
      <c r="H21" s="643" t="s">
        <v>23</v>
      </c>
      <c r="I21" s="644">
        <v>3000</v>
      </c>
      <c r="J21" s="644"/>
      <c r="K21" s="640"/>
      <c r="L21" s="645"/>
      <c r="M21" s="646"/>
      <c r="N21" s="647"/>
      <c r="O21" s="2"/>
      <c r="P21" s="2"/>
      <c r="Q21" s="2"/>
    </row>
    <row r="22" spans="1:17" ht="14" outlineLevel="1">
      <c r="A22" s="626"/>
      <c r="B22" s="637">
        <v>43424</v>
      </c>
      <c r="C22" s="638" t="s">
        <v>123</v>
      </c>
      <c r="D22" s="639">
        <v>20000</v>
      </c>
      <c r="E22" s="640">
        <v>8000</v>
      </c>
      <c r="F22" s="639">
        <v>25289</v>
      </c>
      <c r="G22" s="642"/>
      <c r="H22" s="643" t="s">
        <v>23</v>
      </c>
      <c r="I22" s="648">
        <v>3000</v>
      </c>
      <c r="J22" s="648"/>
      <c r="K22" s="649"/>
      <c r="L22" s="645"/>
      <c r="M22" s="646"/>
      <c r="N22" s="650"/>
      <c r="O22" s="2"/>
      <c r="P22" s="2"/>
      <c r="Q22" s="2"/>
    </row>
    <row r="23" spans="1:17" ht="14">
      <c r="A23" s="626"/>
      <c r="B23" s="637">
        <v>43424</v>
      </c>
      <c r="C23" s="638" t="s">
        <v>123</v>
      </c>
      <c r="D23" s="639">
        <v>20000</v>
      </c>
      <c r="E23" s="640">
        <v>8000</v>
      </c>
      <c r="F23" s="639">
        <v>25289</v>
      </c>
      <c r="G23" s="651"/>
      <c r="H23" s="652">
        <v>49000</v>
      </c>
      <c r="I23" s="648">
        <v>3000</v>
      </c>
      <c r="J23" s="648"/>
      <c r="K23" s="649"/>
      <c r="L23" s="653"/>
      <c r="M23" s="654"/>
      <c r="N23" s="650"/>
      <c r="O23" s="2"/>
      <c r="P23" s="2"/>
      <c r="Q23" s="2"/>
    </row>
    <row r="24" spans="1:17" ht="15">
      <c r="A24" s="626"/>
      <c r="B24" s="637">
        <v>43425</v>
      </c>
      <c r="C24" s="638" t="s">
        <v>49</v>
      </c>
      <c r="D24" s="639">
        <v>30000</v>
      </c>
      <c r="E24" s="640">
        <v>5000</v>
      </c>
      <c r="F24" s="655" t="str">
        <f ca="1">IFERROR(__xludf.DUMMYFUNCTION("IMPORTRANGE(""https://docs.google.com/spreadsheets/d/1Q9mWyBKdiJ84AlcLGwupeHa20ZZ3W_OhQcxDE7uXLlI/edit#gid=1384952719"",""InboundSummary!H30"")"),"#REF!")</f>
        <v>#REF!</v>
      </c>
      <c r="G24" s="656" t="e">
        <f t="shared" ref="G24:G34" ca="1" si="0">D24-F24</f>
        <v>#VALUE!</v>
      </c>
      <c r="H24" s="657" t="str">
        <f t="shared" ref="H24:H35" ca="1" si="1">IFERROR(IF(H23-G24&lt;0,"-",H23-G24),"-")</f>
        <v>-</v>
      </c>
      <c r="I24" s="648">
        <v>3500</v>
      </c>
      <c r="J24" s="648">
        <f t="shared" ref="J24:J55" si="2">E24-I24</f>
        <v>1500</v>
      </c>
      <c r="K24" s="649"/>
      <c r="L24" s="653"/>
      <c r="M24" s="654"/>
      <c r="N24" s="650"/>
      <c r="O24" s="2"/>
      <c r="P24" s="2"/>
      <c r="Q24" s="2"/>
    </row>
    <row r="25" spans="1:17" ht="15">
      <c r="A25" s="626"/>
      <c r="B25" s="637">
        <v>43426</v>
      </c>
      <c r="C25" s="638" t="s">
        <v>124</v>
      </c>
      <c r="D25" s="639">
        <v>30000</v>
      </c>
      <c r="E25" s="640">
        <v>5000</v>
      </c>
      <c r="F25" s="655" t="str">
        <f ca="1">IFERROR(__xludf.DUMMYFUNCTION("IMPORTRANGE(""https://docs.google.com/spreadsheets/d/1Q9mWyBKdiJ84AlcLGwupeHa20ZZ3W_OhQcxDE7uXLlI/edit#gid=1384952719"",""InboundSummary!H29"")"),"#REF!")</f>
        <v>#REF!</v>
      </c>
      <c r="G25" s="656" t="e">
        <f t="shared" ca="1" si="0"/>
        <v>#VALUE!</v>
      </c>
      <c r="H25" s="657" t="str">
        <f t="shared" ca="1" si="1"/>
        <v>-</v>
      </c>
      <c r="I25" s="648">
        <v>3500</v>
      </c>
      <c r="J25" s="648">
        <f t="shared" si="2"/>
        <v>1500</v>
      </c>
      <c r="K25" s="649"/>
      <c r="L25" s="653"/>
      <c r="M25" s="654"/>
      <c r="N25" s="650"/>
      <c r="O25" s="2"/>
      <c r="P25" s="2"/>
      <c r="Q25" s="2"/>
    </row>
    <row r="26" spans="1:17" ht="15">
      <c r="A26" s="626"/>
      <c r="B26" s="637">
        <v>43427</v>
      </c>
      <c r="C26" s="638" t="s">
        <v>29</v>
      </c>
      <c r="D26" s="639">
        <v>30000</v>
      </c>
      <c r="E26" s="640">
        <v>5000</v>
      </c>
      <c r="F26" s="655" t="str">
        <f ca="1">IFERROR(__xludf.DUMMYFUNCTION("IMPORTRANGE(""https://docs.google.com/spreadsheets/d/1Q9mWyBKdiJ84AlcLGwupeHa20ZZ3W_OhQcxDE7uXLlI/edit#gid=1384952719"",""InboundSummary!H28"")"),"#REF!")</f>
        <v>#REF!</v>
      </c>
      <c r="G26" s="656" t="e">
        <f t="shared" ca="1" si="0"/>
        <v>#VALUE!</v>
      </c>
      <c r="H26" s="657" t="str">
        <f t="shared" ca="1" si="1"/>
        <v>-</v>
      </c>
      <c r="I26" s="648">
        <v>3000</v>
      </c>
      <c r="J26" s="648">
        <f t="shared" si="2"/>
        <v>2000</v>
      </c>
      <c r="K26" s="649"/>
      <c r="L26" s="653"/>
      <c r="M26" s="654"/>
      <c r="N26" s="650"/>
      <c r="O26" s="2"/>
      <c r="P26" s="2"/>
      <c r="Q26" s="2"/>
    </row>
    <row r="27" spans="1:17" ht="15">
      <c r="A27" s="626"/>
      <c r="B27" s="637">
        <v>43428</v>
      </c>
      <c r="C27" s="638" t="s">
        <v>33</v>
      </c>
      <c r="D27" s="639">
        <v>30000</v>
      </c>
      <c r="E27" s="640">
        <v>5000</v>
      </c>
      <c r="F27" s="655" t="str">
        <f ca="1">IFERROR(__xludf.DUMMYFUNCTION("IMPORTRANGE(""https://docs.google.com/spreadsheets/d/1Q9mWyBKdiJ84AlcLGwupeHa20ZZ3W_OhQcxDE7uXLlI/edit#gid=1384952719"",""InboundSummary!H27"")"),"#REF!")</f>
        <v>#REF!</v>
      </c>
      <c r="G27" s="656" t="e">
        <f t="shared" ca="1" si="0"/>
        <v>#VALUE!</v>
      </c>
      <c r="H27" s="657" t="str">
        <f t="shared" ca="1" si="1"/>
        <v>-</v>
      </c>
      <c r="I27" s="648">
        <v>2500</v>
      </c>
      <c r="J27" s="648">
        <f t="shared" si="2"/>
        <v>2500</v>
      </c>
      <c r="K27" s="649"/>
      <c r="L27" s="653"/>
      <c r="M27" s="654"/>
      <c r="N27" s="650"/>
      <c r="O27" s="2"/>
      <c r="P27" s="2"/>
      <c r="Q27" s="2"/>
    </row>
    <row r="28" spans="1:17" ht="15">
      <c r="A28" s="626"/>
      <c r="B28" s="637">
        <v>43429</v>
      </c>
      <c r="C28" s="638" t="s">
        <v>37</v>
      </c>
      <c r="D28" s="658">
        <v>50000</v>
      </c>
      <c r="E28" s="640">
        <v>5000</v>
      </c>
      <c r="F28" s="655" t="str">
        <f ca="1">IFERROR(__xludf.DUMMYFUNCTION("IMPORTRANGE(""https://docs.google.com/spreadsheets/d/1Q9mWyBKdiJ84AlcLGwupeHa20ZZ3W_OhQcxDE7uXLlI/edit#gid=1384952719"",""InboundSummary!H26"")"),"#REF!")</f>
        <v>#REF!</v>
      </c>
      <c r="G28" s="656" t="e">
        <f t="shared" ca="1" si="0"/>
        <v>#VALUE!</v>
      </c>
      <c r="H28" s="659" t="str">
        <f t="shared" ca="1" si="1"/>
        <v>-</v>
      </c>
      <c r="I28" s="648">
        <v>3000</v>
      </c>
      <c r="J28" s="648">
        <f t="shared" si="2"/>
        <v>2000</v>
      </c>
      <c r="K28" s="649"/>
      <c r="L28" s="653"/>
      <c r="M28" s="654"/>
      <c r="N28" s="650"/>
      <c r="O28" s="2"/>
      <c r="P28" s="2"/>
      <c r="Q28" s="2"/>
    </row>
    <row r="29" spans="1:17" ht="15">
      <c r="A29" s="626"/>
      <c r="B29" s="660">
        <v>43430</v>
      </c>
      <c r="C29" s="661" t="s">
        <v>41</v>
      </c>
      <c r="D29" s="662">
        <v>30000</v>
      </c>
      <c r="E29" s="663">
        <v>5000</v>
      </c>
      <c r="F29" s="664">
        <v>31481</v>
      </c>
      <c r="G29" s="665">
        <f t="shared" si="0"/>
        <v>-1481</v>
      </c>
      <c r="H29" s="666" t="str">
        <f t="shared" ca="1" si="1"/>
        <v>-</v>
      </c>
      <c r="I29" s="667">
        <v>3868</v>
      </c>
      <c r="J29" s="39">
        <f t="shared" si="2"/>
        <v>1132</v>
      </c>
      <c r="K29" s="668"/>
      <c r="L29" s="669">
        <f t="shared" ref="L29:L34" si="3">F29/O29</f>
        <v>0.48432307692307691</v>
      </c>
      <c r="M29" s="670">
        <f t="shared" ref="M29:M34" si="4">I29*7/O29</f>
        <v>0.41655384615384616</v>
      </c>
      <c r="N29" s="671">
        <f t="shared" ref="N29:N35" si="5">SUM(L29:M29)</f>
        <v>0.90087692307692313</v>
      </c>
      <c r="O29" s="672">
        <f t="shared" ref="O29:O34" si="6">D29+E29*7</f>
        <v>65000</v>
      </c>
      <c r="P29" s="2"/>
      <c r="Q29" s="2"/>
    </row>
    <row r="30" spans="1:17" ht="15">
      <c r="A30" s="626"/>
      <c r="B30" s="37">
        <v>43431</v>
      </c>
      <c r="C30" s="38" t="s">
        <v>123</v>
      </c>
      <c r="D30" s="673">
        <v>30000</v>
      </c>
      <c r="E30" s="674">
        <v>5000</v>
      </c>
      <c r="F30" s="664">
        <v>28716</v>
      </c>
      <c r="G30" s="651">
        <f t="shared" si="0"/>
        <v>1284</v>
      </c>
      <c r="H30" s="675" t="str">
        <f t="shared" ca="1" si="1"/>
        <v>-</v>
      </c>
      <c r="I30" s="667">
        <v>4082</v>
      </c>
      <c r="J30" s="39">
        <f t="shared" si="2"/>
        <v>918</v>
      </c>
      <c r="K30" s="676">
        <f t="shared" ref="K30:K34" si="7">E30+J30-I30</f>
        <v>1836</v>
      </c>
      <c r="L30" s="669">
        <f t="shared" si="3"/>
        <v>0.44178461538461539</v>
      </c>
      <c r="M30" s="670">
        <f t="shared" si="4"/>
        <v>0.43959999999999999</v>
      </c>
      <c r="N30" s="671">
        <f t="shared" si="5"/>
        <v>0.88138461538461543</v>
      </c>
      <c r="O30" s="672">
        <f t="shared" si="6"/>
        <v>65000</v>
      </c>
      <c r="P30" s="2"/>
      <c r="Q30" s="2"/>
    </row>
    <row r="31" spans="1:17" ht="15">
      <c r="A31" s="626"/>
      <c r="B31" s="37">
        <v>43432</v>
      </c>
      <c r="C31" s="38" t="s">
        <v>49</v>
      </c>
      <c r="D31" s="673">
        <v>30000</v>
      </c>
      <c r="E31" s="674">
        <v>5000</v>
      </c>
      <c r="F31" s="664">
        <v>29301</v>
      </c>
      <c r="G31" s="651">
        <f t="shared" si="0"/>
        <v>699</v>
      </c>
      <c r="H31" s="675" t="str">
        <f t="shared" ca="1" si="1"/>
        <v>-</v>
      </c>
      <c r="I31" s="667">
        <v>4553</v>
      </c>
      <c r="J31" s="39">
        <f t="shared" si="2"/>
        <v>447</v>
      </c>
      <c r="K31" s="676">
        <f t="shared" si="7"/>
        <v>894</v>
      </c>
      <c r="L31" s="669">
        <f t="shared" si="3"/>
        <v>0.45078461538461539</v>
      </c>
      <c r="M31" s="670">
        <f t="shared" si="4"/>
        <v>0.49032307692307692</v>
      </c>
      <c r="N31" s="671">
        <f t="shared" si="5"/>
        <v>0.94110769230769231</v>
      </c>
      <c r="O31" s="672">
        <f t="shared" si="6"/>
        <v>65000</v>
      </c>
      <c r="P31" s="2"/>
      <c r="Q31" s="2"/>
    </row>
    <row r="32" spans="1:17" ht="15">
      <c r="A32" s="626"/>
      <c r="B32" s="37">
        <v>43433</v>
      </c>
      <c r="C32" s="38" t="s">
        <v>124</v>
      </c>
      <c r="D32" s="673">
        <v>30000</v>
      </c>
      <c r="E32" s="674">
        <v>5000</v>
      </c>
      <c r="F32" s="664">
        <v>28953</v>
      </c>
      <c r="G32" s="651">
        <f t="shared" si="0"/>
        <v>1047</v>
      </c>
      <c r="H32" s="675" t="str">
        <f t="shared" ca="1" si="1"/>
        <v>-</v>
      </c>
      <c r="I32" s="667">
        <v>3819</v>
      </c>
      <c r="J32" s="39">
        <f t="shared" si="2"/>
        <v>1181</v>
      </c>
      <c r="K32" s="676">
        <f t="shared" si="7"/>
        <v>2362</v>
      </c>
      <c r="L32" s="669">
        <f t="shared" si="3"/>
        <v>0.44543076923076924</v>
      </c>
      <c r="M32" s="670">
        <f t="shared" si="4"/>
        <v>0.4112769230769231</v>
      </c>
      <c r="N32" s="671">
        <f t="shared" si="5"/>
        <v>0.85670769230769239</v>
      </c>
      <c r="O32" s="672">
        <f t="shared" si="6"/>
        <v>65000</v>
      </c>
      <c r="P32" s="2"/>
      <c r="Q32" s="2"/>
    </row>
    <row r="33" spans="1:17" ht="15">
      <c r="A33" s="626"/>
      <c r="B33" s="37">
        <v>43434</v>
      </c>
      <c r="C33" s="38" t="s">
        <v>29</v>
      </c>
      <c r="D33" s="662">
        <v>30000</v>
      </c>
      <c r="E33" s="663">
        <v>5000</v>
      </c>
      <c r="F33" s="664">
        <v>26392</v>
      </c>
      <c r="G33" s="651">
        <f t="shared" si="0"/>
        <v>3608</v>
      </c>
      <c r="H33" s="675" t="str">
        <f t="shared" ca="1" si="1"/>
        <v>-</v>
      </c>
      <c r="I33" s="667">
        <v>4405</v>
      </c>
      <c r="J33" s="39">
        <f t="shared" si="2"/>
        <v>595</v>
      </c>
      <c r="K33" s="676">
        <f t="shared" si="7"/>
        <v>1190</v>
      </c>
      <c r="L33" s="669">
        <f t="shared" si="3"/>
        <v>0.40603076923076925</v>
      </c>
      <c r="M33" s="670">
        <f t="shared" si="4"/>
        <v>0.4743846153846154</v>
      </c>
      <c r="N33" s="671">
        <f t="shared" si="5"/>
        <v>0.8804153846153846</v>
      </c>
      <c r="O33" s="672">
        <f t="shared" si="6"/>
        <v>65000</v>
      </c>
      <c r="P33" s="2"/>
      <c r="Q33" s="2"/>
    </row>
    <row r="34" spans="1:17" ht="15">
      <c r="A34" s="2"/>
      <c r="B34" s="37">
        <v>43435</v>
      </c>
      <c r="C34" s="38" t="s">
        <v>33</v>
      </c>
      <c r="D34" s="664">
        <v>35000</v>
      </c>
      <c r="E34" s="668">
        <v>8000</v>
      </c>
      <c r="F34" s="664">
        <v>32735</v>
      </c>
      <c r="G34" s="651">
        <f t="shared" si="0"/>
        <v>2265</v>
      </c>
      <c r="H34" s="675" t="str">
        <f t="shared" ca="1" si="1"/>
        <v>-</v>
      </c>
      <c r="I34" s="667">
        <v>3478</v>
      </c>
      <c r="J34" s="39">
        <f t="shared" si="2"/>
        <v>4522</v>
      </c>
      <c r="K34" s="676">
        <f t="shared" si="7"/>
        <v>9044</v>
      </c>
      <c r="L34" s="669">
        <f t="shared" si="3"/>
        <v>0.35972527472527471</v>
      </c>
      <c r="M34" s="670">
        <f t="shared" si="4"/>
        <v>0.26753846153846156</v>
      </c>
      <c r="N34" s="671">
        <f t="shared" si="5"/>
        <v>0.62726373626373633</v>
      </c>
      <c r="O34" s="672">
        <f t="shared" si="6"/>
        <v>91000</v>
      </c>
      <c r="P34" s="2"/>
      <c r="Q34" s="2"/>
    </row>
    <row r="35" spans="1:17" ht="15">
      <c r="A35" s="2"/>
      <c r="B35" s="677">
        <v>43436</v>
      </c>
      <c r="C35" s="678" t="s">
        <v>37</v>
      </c>
      <c r="D35" s="679" t="s">
        <v>23</v>
      </c>
      <c r="E35" s="680">
        <v>8000</v>
      </c>
      <c r="F35" s="679" t="str">
        <f ca="1">IFERROR(__xludf.DUMMYFUNCTION("IMPORTRANGE(""https://docs.google.com/spreadsheets/d/1Q9mWyBKdiJ84AlcLGwupeHa20ZZ3W_OhQcxDE7uXLlI/edit#gid=1622139751"",""預約時間(only for Jerry)!E99"")"),"#REF!")</f>
        <v>#REF!</v>
      </c>
      <c r="G35" s="681" t="s">
        <v>23</v>
      </c>
      <c r="H35" s="682" t="str">
        <f t="shared" ca="1" si="1"/>
        <v>-</v>
      </c>
      <c r="I35" s="683">
        <v>3900</v>
      </c>
      <c r="J35" s="684">
        <f t="shared" si="2"/>
        <v>4100</v>
      </c>
      <c r="K35" s="685">
        <f>E35-I35</f>
        <v>4100</v>
      </c>
      <c r="L35" s="686" t="s">
        <v>23</v>
      </c>
      <c r="M35" s="687">
        <f>I35/E35</f>
        <v>0.48749999999999999</v>
      </c>
      <c r="N35" s="688">
        <f t="shared" si="5"/>
        <v>0.48749999999999999</v>
      </c>
      <c r="O35" s="672">
        <f>E35*7</f>
        <v>56000</v>
      </c>
      <c r="P35" s="13"/>
      <c r="Q35" s="2"/>
    </row>
    <row r="36" spans="1:17" ht="14">
      <c r="A36" s="2"/>
      <c r="B36" s="37">
        <v>43437</v>
      </c>
      <c r="C36" s="38" t="s">
        <v>41</v>
      </c>
      <c r="D36" s="689">
        <v>40000</v>
      </c>
      <c r="E36" s="676">
        <v>8000</v>
      </c>
      <c r="F36" s="664">
        <v>35850</v>
      </c>
      <c r="G36" s="690">
        <f t="shared" ref="G36:G42" si="8">IFERROR(D36-F36,"-")</f>
        <v>4150</v>
      </c>
      <c r="H36" s="675"/>
      <c r="I36" s="667">
        <v>5749</v>
      </c>
      <c r="J36" s="39">
        <f t="shared" si="2"/>
        <v>2251</v>
      </c>
      <c r="K36" s="676">
        <f t="shared" ref="K36:K55" si="9">E36+J36-I36</f>
        <v>4502</v>
      </c>
      <c r="L36" s="691">
        <f t="shared" ref="L36:L41" si="10">F36/O36</f>
        <v>0.34471153846153846</v>
      </c>
      <c r="M36" s="692">
        <f t="shared" ref="M36:M98" si="11">I36*8/O36</f>
        <v>0.44223076923076921</v>
      </c>
      <c r="N36" s="671">
        <f t="shared" ref="N36:N41" si="12">L36+M36</f>
        <v>0.78694230769230766</v>
      </c>
      <c r="O36" s="693">
        <f t="shared" ref="O36:O41" si="13">D36+E36*8</f>
        <v>104000</v>
      </c>
      <c r="P36" s="2"/>
      <c r="Q36" s="2"/>
    </row>
    <row r="37" spans="1:17" ht="14">
      <c r="A37" s="2"/>
      <c r="B37" s="37">
        <v>43438</v>
      </c>
      <c r="C37" s="38" t="s">
        <v>123</v>
      </c>
      <c r="D37" s="689">
        <v>40000</v>
      </c>
      <c r="E37" s="676">
        <v>8000</v>
      </c>
      <c r="F37" s="664">
        <v>30434</v>
      </c>
      <c r="G37" s="690">
        <f t="shared" si="8"/>
        <v>9566</v>
      </c>
      <c r="H37" s="675"/>
      <c r="I37" s="667">
        <v>8071</v>
      </c>
      <c r="J37" s="39">
        <f t="shared" si="2"/>
        <v>-71</v>
      </c>
      <c r="K37" s="676">
        <f t="shared" si="9"/>
        <v>-142</v>
      </c>
      <c r="L37" s="691">
        <f t="shared" si="10"/>
        <v>0.29263461538461538</v>
      </c>
      <c r="M37" s="692">
        <f t="shared" si="11"/>
        <v>0.62084615384615383</v>
      </c>
      <c r="N37" s="671">
        <f t="shared" si="12"/>
        <v>0.91348076923076915</v>
      </c>
      <c r="O37" s="693">
        <f t="shared" si="13"/>
        <v>104000</v>
      </c>
      <c r="P37" s="2"/>
      <c r="Q37" s="2"/>
    </row>
    <row r="38" spans="1:17" ht="14">
      <c r="A38" s="2"/>
      <c r="B38" s="37">
        <v>43439</v>
      </c>
      <c r="C38" s="38" t="s">
        <v>49</v>
      </c>
      <c r="D38" s="689">
        <v>40000</v>
      </c>
      <c r="E38" s="676">
        <v>8000</v>
      </c>
      <c r="F38" s="664">
        <v>33974</v>
      </c>
      <c r="G38" s="690">
        <f t="shared" si="8"/>
        <v>6026</v>
      </c>
      <c r="H38" s="694"/>
      <c r="I38" s="667">
        <v>12290</v>
      </c>
      <c r="J38" s="39">
        <f t="shared" si="2"/>
        <v>-4290</v>
      </c>
      <c r="K38" s="676">
        <f t="shared" si="9"/>
        <v>-8580</v>
      </c>
      <c r="L38" s="691">
        <f t="shared" si="10"/>
        <v>0.3266730769230769</v>
      </c>
      <c r="M38" s="692">
        <f t="shared" si="11"/>
        <v>0.94538461538461538</v>
      </c>
      <c r="N38" s="671">
        <f t="shared" si="12"/>
        <v>1.2720576923076923</v>
      </c>
      <c r="O38" s="693">
        <f t="shared" si="13"/>
        <v>104000</v>
      </c>
      <c r="P38" s="2"/>
      <c r="Q38" s="2"/>
    </row>
    <row r="39" spans="1:17" ht="14">
      <c r="A39" s="2"/>
      <c r="B39" s="37">
        <v>43440</v>
      </c>
      <c r="C39" s="38" t="s">
        <v>124</v>
      </c>
      <c r="D39" s="689">
        <v>40000</v>
      </c>
      <c r="E39" s="676">
        <v>8000</v>
      </c>
      <c r="F39" s="664">
        <v>32032</v>
      </c>
      <c r="G39" s="690">
        <f t="shared" si="8"/>
        <v>7968</v>
      </c>
      <c r="H39" s="694"/>
      <c r="I39" s="667">
        <v>8260</v>
      </c>
      <c r="J39" s="39">
        <f t="shared" si="2"/>
        <v>-260</v>
      </c>
      <c r="K39" s="676">
        <f t="shared" si="9"/>
        <v>-520</v>
      </c>
      <c r="L39" s="691">
        <f t="shared" si="10"/>
        <v>0.308</v>
      </c>
      <c r="M39" s="692">
        <f t="shared" si="11"/>
        <v>0.63538461538461544</v>
      </c>
      <c r="N39" s="671">
        <f t="shared" si="12"/>
        <v>0.94338461538461549</v>
      </c>
      <c r="O39" s="693">
        <f t="shared" si="13"/>
        <v>104000</v>
      </c>
      <c r="P39" s="2"/>
      <c r="Q39" s="2"/>
    </row>
    <row r="40" spans="1:17" ht="14">
      <c r="A40" s="2"/>
      <c r="B40" s="37">
        <v>43441</v>
      </c>
      <c r="C40" s="38" t="s">
        <v>29</v>
      </c>
      <c r="D40" s="689">
        <v>40000</v>
      </c>
      <c r="E40" s="676">
        <v>8000</v>
      </c>
      <c r="F40" s="664">
        <v>41459</v>
      </c>
      <c r="G40" s="690">
        <f t="shared" si="8"/>
        <v>-1459</v>
      </c>
      <c r="H40" s="694"/>
      <c r="I40" s="667">
        <v>4625</v>
      </c>
      <c r="J40" s="39">
        <f t="shared" si="2"/>
        <v>3375</v>
      </c>
      <c r="K40" s="676">
        <f t="shared" si="9"/>
        <v>6750</v>
      </c>
      <c r="L40" s="691">
        <f t="shared" si="10"/>
        <v>0.39864423076923078</v>
      </c>
      <c r="M40" s="692">
        <f t="shared" si="11"/>
        <v>0.35576923076923078</v>
      </c>
      <c r="N40" s="671">
        <f t="shared" si="12"/>
        <v>0.75441346153846156</v>
      </c>
      <c r="O40" s="693">
        <f t="shared" si="13"/>
        <v>104000</v>
      </c>
      <c r="P40" s="2"/>
      <c r="Q40" s="2"/>
    </row>
    <row r="41" spans="1:17" ht="14">
      <c r="A41" s="2"/>
      <c r="B41" s="37">
        <v>43442</v>
      </c>
      <c r="C41" s="38" t="s">
        <v>33</v>
      </c>
      <c r="D41" s="689">
        <v>40000</v>
      </c>
      <c r="E41" s="676">
        <v>8000</v>
      </c>
      <c r="F41" s="664">
        <v>24675</v>
      </c>
      <c r="G41" s="690">
        <f t="shared" si="8"/>
        <v>15325</v>
      </c>
      <c r="H41" s="694"/>
      <c r="I41" s="667">
        <v>5245</v>
      </c>
      <c r="J41" s="39">
        <f t="shared" si="2"/>
        <v>2755</v>
      </c>
      <c r="K41" s="676">
        <f t="shared" si="9"/>
        <v>5510</v>
      </c>
      <c r="L41" s="691">
        <f t="shared" si="10"/>
        <v>0.23725961538461537</v>
      </c>
      <c r="M41" s="692">
        <f t="shared" si="11"/>
        <v>0.40346153846153848</v>
      </c>
      <c r="N41" s="671">
        <f t="shared" si="12"/>
        <v>0.64072115384615391</v>
      </c>
      <c r="O41" s="693">
        <f t="shared" si="13"/>
        <v>104000</v>
      </c>
      <c r="P41" s="2"/>
      <c r="Q41" s="2"/>
    </row>
    <row r="42" spans="1:17" ht="15">
      <c r="A42" s="2"/>
      <c r="B42" s="677">
        <v>43443</v>
      </c>
      <c r="C42" s="678" t="s">
        <v>37</v>
      </c>
      <c r="D42" s="695" t="s">
        <v>23</v>
      </c>
      <c r="E42" s="685">
        <v>8000</v>
      </c>
      <c r="F42" s="679">
        <v>0</v>
      </c>
      <c r="G42" s="681" t="str">
        <f t="shared" si="8"/>
        <v>-</v>
      </c>
      <c r="H42" s="696"/>
      <c r="I42" s="683">
        <v>10332</v>
      </c>
      <c r="J42" s="684">
        <f t="shared" si="2"/>
        <v>-2332</v>
      </c>
      <c r="K42" s="685">
        <f t="shared" si="9"/>
        <v>-4664</v>
      </c>
      <c r="L42" s="697" t="s">
        <v>23</v>
      </c>
      <c r="M42" s="698">
        <f t="shared" si="11"/>
        <v>1.2915000000000001</v>
      </c>
      <c r="N42" s="688">
        <f>M42</f>
        <v>1.2915000000000001</v>
      </c>
      <c r="O42" s="2">
        <f>E42*8</f>
        <v>64000</v>
      </c>
      <c r="P42" s="2"/>
      <c r="Q42" s="2"/>
    </row>
    <row r="43" spans="1:17" ht="14">
      <c r="A43" s="2"/>
      <c r="B43" s="37">
        <v>43444</v>
      </c>
      <c r="C43" s="38" t="s">
        <v>41</v>
      </c>
      <c r="D43" s="689">
        <v>40000</v>
      </c>
      <c r="E43" s="676">
        <v>8000</v>
      </c>
      <c r="F43" s="664">
        <v>3447</v>
      </c>
      <c r="G43" s="690">
        <f t="shared" ref="G43:G48" si="14">D43-F43</f>
        <v>36553</v>
      </c>
      <c r="H43" s="675"/>
      <c r="I43" s="699">
        <v>8972</v>
      </c>
      <c r="J43" s="118">
        <f t="shared" si="2"/>
        <v>-972</v>
      </c>
      <c r="K43" s="676">
        <f t="shared" si="9"/>
        <v>-1944</v>
      </c>
      <c r="L43" s="700">
        <f t="shared" ref="L43:L98" si="15">F43/O43</f>
        <v>3.3144230769230766E-2</v>
      </c>
      <c r="M43" s="692">
        <f t="shared" si="11"/>
        <v>0.69015384615384612</v>
      </c>
      <c r="N43" s="701">
        <f t="shared" ref="N43:N98" si="16">SUM(L43:M43)</f>
        <v>0.7232980769230769</v>
      </c>
      <c r="O43" s="693">
        <f t="shared" ref="O43:O48" si="17">D43+E43*8</f>
        <v>104000</v>
      </c>
      <c r="P43" s="2"/>
      <c r="Q43" s="2"/>
    </row>
    <row r="44" spans="1:17" ht="14">
      <c r="A44" s="2"/>
      <c r="B44" s="37">
        <v>43445</v>
      </c>
      <c r="C44" s="38" t="s">
        <v>123</v>
      </c>
      <c r="D44" s="689">
        <v>40000</v>
      </c>
      <c r="E44" s="676">
        <v>8000</v>
      </c>
      <c r="F44" s="664">
        <v>237</v>
      </c>
      <c r="G44" s="690">
        <f t="shared" si="14"/>
        <v>39763</v>
      </c>
      <c r="H44" s="675"/>
      <c r="I44" s="699">
        <v>7315</v>
      </c>
      <c r="J44" s="118">
        <f t="shared" si="2"/>
        <v>685</v>
      </c>
      <c r="K44" s="676">
        <f t="shared" si="9"/>
        <v>1370</v>
      </c>
      <c r="L44" s="700">
        <f t="shared" si="15"/>
        <v>2.2788461538461539E-3</v>
      </c>
      <c r="M44" s="692">
        <f t="shared" si="11"/>
        <v>0.56269230769230771</v>
      </c>
      <c r="N44" s="701">
        <f t="shared" si="16"/>
        <v>0.56497115384615382</v>
      </c>
      <c r="O44" s="693">
        <f t="shared" si="17"/>
        <v>104000</v>
      </c>
      <c r="P44" s="2"/>
      <c r="Q44" s="2"/>
    </row>
    <row r="45" spans="1:17" ht="14">
      <c r="A45" s="2"/>
      <c r="B45" s="37">
        <v>43446</v>
      </c>
      <c r="C45" s="38" t="s">
        <v>49</v>
      </c>
      <c r="D45" s="689">
        <v>40000</v>
      </c>
      <c r="E45" s="676">
        <v>8000</v>
      </c>
      <c r="F45" s="664">
        <v>830</v>
      </c>
      <c r="G45" s="690">
        <f t="shared" si="14"/>
        <v>39170</v>
      </c>
      <c r="H45" s="702"/>
      <c r="I45" s="699">
        <v>24921</v>
      </c>
      <c r="J45" s="118">
        <f t="shared" si="2"/>
        <v>-16921</v>
      </c>
      <c r="K45" s="676">
        <f t="shared" si="9"/>
        <v>-33842</v>
      </c>
      <c r="L45" s="700">
        <f t="shared" si="15"/>
        <v>7.9807692307692305E-3</v>
      </c>
      <c r="M45" s="692">
        <f t="shared" si="11"/>
        <v>1.917</v>
      </c>
      <c r="N45" s="701">
        <f t="shared" si="16"/>
        <v>1.9249807692307692</v>
      </c>
      <c r="O45" s="693">
        <f t="shared" si="17"/>
        <v>104000</v>
      </c>
      <c r="P45" s="2"/>
      <c r="Q45" s="2"/>
    </row>
    <row r="46" spans="1:17" ht="14">
      <c r="A46" s="2"/>
      <c r="B46" s="37">
        <v>43447</v>
      </c>
      <c r="C46" s="38" t="s">
        <v>124</v>
      </c>
      <c r="D46" s="689">
        <v>40000</v>
      </c>
      <c r="E46" s="676">
        <v>8000</v>
      </c>
      <c r="F46" s="664">
        <v>2</v>
      </c>
      <c r="G46" s="690">
        <f t="shared" si="14"/>
        <v>39998</v>
      </c>
      <c r="H46" s="702"/>
      <c r="I46" s="699">
        <v>5131</v>
      </c>
      <c r="J46" s="118">
        <f t="shared" si="2"/>
        <v>2869</v>
      </c>
      <c r="K46" s="676">
        <f t="shared" si="9"/>
        <v>5738</v>
      </c>
      <c r="L46" s="700">
        <f t="shared" si="15"/>
        <v>1.9230769230769231E-5</v>
      </c>
      <c r="M46" s="692">
        <f t="shared" si="11"/>
        <v>0.39469230769230768</v>
      </c>
      <c r="N46" s="701">
        <f t="shared" si="16"/>
        <v>0.39471153846153845</v>
      </c>
      <c r="O46" s="693">
        <f t="shared" si="17"/>
        <v>104000</v>
      </c>
      <c r="P46" s="2"/>
      <c r="Q46" s="2"/>
    </row>
    <row r="47" spans="1:17" ht="14">
      <c r="A47" s="2"/>
      <c r="B47" s="37">
        <v>43448</v>
      </c>
      <c r="C47" s="38" t="s">
        <v>29</v>
      </c>
      <c r="D47" s="689">
        <v>40000</v>
      </c>
      <c r="E47" s="676">
        <v>8000</v>
      </c>
      <c r="F47" s="664">
        <v>214</v>
      </c>
      <c r="G47" s="690">
        <f t="shared" si="14"/>
        <v>39786</v>
      </c>
      <c r="H47" s="702"/>
      <c r="I47" s="699">
        <v>4527</v>
      </c>
      <c r="J47" s="118">
        <f t="shared" si="2"/>
        <v>3473</v>
      </c>
      <c r="K47" s="676">
        <f t="shared" si="9"/>
        <v>6946</v>
      </c>
      <c r="L47" s="700">
        <f t="shared" si="15"/>
        <v>2.0576923076923077E-3</v>
      </c>
      <c r="M47" s="692">
        <f t="shared" si="11"/>
        <v>0.34823076923076923</v>
      </c>
      <c r="N47" s="701">
        <f t="shared" si="16"/>
        <v>0.35028846153846155</v>
      </c>
      <c r="O47" s="693">
        <f t="shared" si="17"/>
        <v>104000</v>
      </c>
      <c r="P47" s="2"/>
      <c r="Q47" s="2"/>
    </row>
    <row r="48" spans="1:17" ht="14">
      <c r="A48" s="2"/>
      <c r="B48" s="37">
        <v>43449</v>
      </c>
      <c r="C48" s="38" t="s">
        <v>33</v>
      </c>
      <c r="D48" s="689">
        <v>40000</v>
      </c>
      <c r="E48" s="676">
        <v>8000</v>
      </c>
      <c r="F48" s="664">
        <v>39791</v>
      </c>
      <c r="G48" s="690">
        <f t="shared" si="14"/>
        <v>209</v>
      </c>
      <c r="H48" s="702"/>
      <c r="I48" s="699">
        <v>3746</v>
      </c>
      <c r="J48" s="118">
        <f t="shared" si="2"/>
        <v>4254</v>
      </c>
      <c r="K48" s="676">
        <f t="shared" si="9"/>
        <v>8508</v>
      </c>
      <c r="L48" s="700">
        <f t="shared" si="15"/>
        <v>0.38260576923076922</v>
      </c>
      <c r="M48" s="692">
        <f t="shared" si="11"/>
        <v>0.28815384615384615</v>
      </c>
      <c r="N48" s="701">
        <f t="shared" si="16"/>
        <v>0.67075961538461537</v>
      </c>
      <c r="O48" s="693">
        <f t="shared" si="17"/>
        <v>104000</v>
      </c>
      <c r="P48" s="2"/>
      <c r="Q48" s="2"/>
    </row>
    <row r="49" spans="1:17" ht="15">
      <c r="A49" s="2"/>
      <c r="B49" s="44">
        <v>43450</v>
      </c>
      <c r="C49" s="45" t="s">
        <v>37</v>
      </c>
      <c r="D49" s="703" t="s">
        <v>23</v>
      </c>
      <c r="E49" s="704">
        <v>8000</v>
      </c>
      <c r="F49" s="705">
        <v>0</v>
      </c>
      <c r="G49" s="706" t="s">
        <v>23</v>
      </c>
      <c r="H49" s="707"/>
      <c r="I49" s="706">
        <v>5077</v>
      </c>
      <c r="J49" s="122">
        <f t="shared" si="2"/>
        <v>2923</v>
      </c>
      <c r="K49" s="704">
        <f t="shared" si="9"/>
        <v>5846</v>
      </c>
      <c r="L49" s="708">
        <f t="shared" si="15"/>
        <v>0</v>
      </c>
      <c r="M49" s="709">
        <f t="shared" si="11"/>
        <v>0.63462499999999999</v>
      </c>
      <c r="N49" s="710">
        <f t="shared" si="16"/>
        <v>0.63462499999999999</v>
      </c>
      <c r="O49" s="2">
        <f>E49*8</f>
        <v>64000</v>
      </c>
      <c r="P49" s="2"/>
      <c r="Q49" s="2"/>
    </row>
    <row r="50" spans="1:17" ht="14">
      <c r="A50" s="2"/>
      <c r="B50" s="37">
        <v>43451</v>
      </c>
      <c r="C50" s="38" t="s">
        <v>41</v>
      </c>
      <c r="D50" s="664">
        <v>40000</v>
      </c>
      <c r="E50" s="668">
        <v>8000</v>
      </c>
      <c r="F50" s="664">
        <v>38188</v>
      </c>
      <c r="G50" s="690">
        <f t="shared" ref="G50:G55" si="18">D50-F50</f>
        <v>1812</v>
      </c>
      <c r="H50" s="702"/>
      <c r="I50" s="667">
        <v>6254</v>
      </c>
      <c r="J50" s="118">
        <f t="shared" si="2"/>
        <v>1746</v>
      </c>
      <c r="K50" s="676">
        <f t="shared" si="9"/>
        <v>3492</v>
      </c>
      <c r="L50" s="711">
        <f t="shared" si="15"/>
        <v>0.36719230769230771</v>
      </c>
      <c r="M50" s="712">
        <f t="shared" si="11"/>
        <v>0.48107692307692307</v>
      </c>
      <c r="N50" s="701">
        <f t="shared" si="16"/>
        <v>0.84826923076923078</v>
      </c>
      <c r="O50" s="693">
        <f t="shared" ref="O50:O55" si="19">D50+E50*8</f>
        <v>104000</v>
      </c>
      <c r="P50" s="2"/>
      <c r="Q50" s="2"/>
    </row>
    <row r="51" spans="1:17" ht="15">
      <c r="A51" s="2"/>
      <c r="B51" s="37">
        <v>43452</v>
      </c>
      <c r="C51" s="38" t="s">
        <v>123</v>
      </c>
      <c r="D51" s="664">
        <v>40000</v>
      </c>
      <c r="E51" s="668">
        <v>8000</v>
      </c>
      <c r="F51" s="664" t="str">
        <f ca="1">IFERROR(__xludf.DUMMYFUNCTION("IMPORTRANGE(""https://docs.google.com/spreadsheets/d/1Q9mWyBKdiJ84AlcLGwupeHa20ZZ3W_OhQcxDE7uXLlI/edit#gid=1622139751"",""預約時間(only for Jerry)!E115"")"),"#REF!")</f>
        <v>#REF!</v>
      </c>
      <c r="G51" s="690" t="e">
        <f t="shared" ca="1" si="18"/>
        <v>#VALUE!</v>
      </c>
      <c r="H51" s="702"/>
      <c r="I51" s="667">
        <v>9276</v>
      </c>
      <c r="J51" s="118">
        <f t="shared" si="2"/>
        <v>-1276</v>
      </c>
      <c r="K51" s="676">
        <f t="shared" si="9"/>
        <v>-2552</v>
      </c>
      <c r="L51" s="711" t="e">
        <f t="shared" ca="1" si="15"/>
        <v>#VALUE!</v>
      </c>
      <c r="M51" s="712">
        <f t="shared" si="11"/>
        <v>0.71353846153846157</v>
      </c>
      <c r="N51" s="701" t="e">
        <f t="shared" ca="1" si="16"/>
        <v>#VALUE!</v>
      </c>
      <c r="O51" s="693">
        <f t="shared" si="19"/>
        <v>104000</v>
      </c>
      <c r="P51" s="2"/>
      <c r="Q51" s="2"/>
    </row>
    <row r="52" spans="1:17" ht="15">
      <c r="A52" s="2"/>
      <c r="B52" s="37">
        <v>43453</v>
      </c>
      <c r="C52" s="38" t="s">
        <v>49</v>
      </c>
      <c r="D52" s="664">
        <v>40000</v>
      </c>
      <c r="E52" s="668">
        <v>8000</v>
      </c>
      <c r="F52" s="664" t="str">
        <f ca="1">IFERROR(__xludf.DUMMYFUNCTION("IMPORTRANGE(""https://docs.google.com/spreadsheets/d/1Q9mWyBKdiJ84AlcLGwupeHa20ZZ3W_OhQcxDE7uXLlI/edit#gid=1622139751"",""預約時間(only for Jerry)!E116"")"),"#REF!")</f>
        <v>#REF!</v>
      </c>
      <c r="G52" s="690" t="e">
        <f t="shared" ca="1" si="18"/>
        <v>#VALUE!</v>
      </c>
      <c r="H52" s="702"/>
      <c r="I52" s="667">
        <v>7369</v>
      </c>
      <c r="J52" s="118">
        <f t="shared" si="2"/>
        <v>631</v>
      </c>
      <c r="K52" s="676">
        <f t="shared" si="9"/>
        <v>1262</v>
      </c>
      <c r="L52" s="711" t="e">
        <f t="shared" ca="1" si="15"/>
        <v>#VALUE!</v>
      </c>
      <c r="M52" s="712">
        <f t="shared" si="11"/>
        <v>0.56684615384615389</v>
      </c>
      <c r="N52" s="701" t="e">
        <f t="shared" ca="1" si="16"/>
        <v>#VALUE!</v>
      </c>
      <c r="O52" s="693">
        <f t="shared" si="19"/>
        <v>104000</v>
      </c>
      <c r="P52" s="2"/>
      <c r="Q52" s="2"/>
    </row>
    <row r="53" spans="1:17" ht="15">
      <c r="A53" s="2"/>
      <c r="B53" s="37">
        <v>43454</v>
      </c>
      <c r="C53" s="38" t="s">
        <v>124</v>
      </c>
      <c r="D53" s="664">
        <v>40000</v>
      </c>
      <c r="E53" s="668">
        <v>8000</v>
      </c>
      <c r="F53" s="664" t="str">
        <f ca="1">IFERROR(__xludf.DUMMYFUNCTION("IMPORTRANGE(""https://docs.google.com/spreadsheets/d/1Q9mWyBKdiJ84AlcLGwupeHa20ZZ3W_OhQcxDE7uXLlI/edit#gid=1622139751"",""預約時間(only for Jerry)!E117"")"),"#REF!")</f>
        <v>#REF!</v>
      </c>
      <c r="G53" s="690" t="e">
        <f t="shared" ca="1" si="18"/>
        <v>#VALUE!</v>
      </c>
      <c r="H53" s="702"/>
      <c r="I53" s="667">
        <v>6607</v>
      </c>
      <c r="J53" s="118">
        <f t="shared" si="2"/>
        <v>1393</v>
      </c>
      <c r="K53" s="676">
        <f t="shared" si="9"/>
        <v>2786</v>
      </c>
      <c r="L53" s="711" t="e">
        <f t="shared" ca="1" si="15"/>
        <v>#VALUE!</v>
      </c>
      <c r="M53" s="712">
        <f t="shared" si="11"/>
        <v>0.50823076923076926</v>
      </c>
      <c r="N53" s="701" t="e">
        <f t="shared" ca="1" si="16"/>
        <v>#VALUE!</v>
      </c>
      <c r="O53" s="693">
        <f t="shared" si="19"/>
        <v>104000</v>
      </c>
      <c r="P53" s="2"/>
      <c r="Q53" s="2"/>
    </row>
    <row r="54" spans="1:17" ht="15">
      <c r="A54" s="2"/>
      <c r="B54" s="37">
        <v>43455</v>
      </c>
      <c r="C54" s="38" t="s">
        <v>29</v>
      </c>
      <c r="D54" s="664">
        <v>40000</v>
      </c>
      <c r="E54" s="668">
        <v>8000</v>
      </c>
      <c r="F54" s="664" t="str">
        <f ca="1">IFERROR(__xludf.DUMMYFUNCTION("IMPORTRANGE(""https://docs.google.com/spreadsheets/d/1Q9mWyBKdiJ84AlcLGwupeHa20ZZ3W_OhQcxDE7uXLlI/edit#gid=1622139751"",""預約時間(only for Jerry)!E118"")"),"#REF!")</f>
        <v>#REF!</v>
      </c>
      <c r="G54" s="690" t="e">
        <f t="shared" ca="1" si="18"/>
        <v>#VALUE!</v>
      </c>
      <c r="H54" s="702"/>
      <c r="I54" s="667">
        <v>4862</v>
      </c>
      <c r="J54" s="118">
        <f t="shared" si="2"/>
        <v>3138</v>
      </c>
      <c r="K54" s="676">
        <f t="shared" si="9"/>
        <v>6276</v>
      </c>
      <c r="L54" s="711" t="e">
        <f t="shared" ca="1" si="15"/>
        <v>#VALUE!</v>
      </c>
      <c r="M54" s="712">
        <f t="shared" si="11"/>
        <v>0.374</v>
      </c>
      <c r="N54" s="701" t="e">
        <f t="shared" ca="1" si="16"/>
        <v>#VALUE!</v>
      </c>
      <c r="O54" s="693">
        <f t="shared" si="19"/>
        <v>104000</v>
      </c>
      <c r="P54" s="2"/>
      <c r="Q54" s="2"/>
    </row>
    <row r="55" spans="1:17" ht="15">
      <c r="A55" s="2"/>
      <c r="B55" s="37">
        <v>43456</v>
      </c>
      <c r="C55" s="38" t="s">
        <v>33</v>
      </c>
      <c r="D55" s="664">
        <v>40000</v>
      </c>
      <c r="E55" s="668">
        <v>8000</v>
      </c>
      <c r="F55" s="664" t="str">
        <f ca="1">IFERROR(__xludf.DUMMYFUNCTION("IMPORTRANGE(""https://docs.google.com/spreadsheets/d/1Q9mWyBKdiJ84AlcLGwupeHa20ZZ3W_OhQcxDE7uXLlI/edit#gid=1622139751"",""預約時間(only for Jerry)!E119"")"),"#REF!")</f>
        <v>#REF!</v>
      </c>
      <c r="G55" s="690" t="e">
        <f t="shared" ca="1" si="18"/>
        <v>#VALUE!</v>
      </c>
      <c r="H55" s="702"/>
      <c r="I55" s="667">
        <v>4729</v>
      </c>
      <c r="J55" s="118">
        <f t="shared" si="2"/>
        <v>3271</v>
      </c>
      <c r="K55" s="676">
        <f t="shared" si="9"/>
        <v>6542</v>
      </c>
      <c r="L55" s="711" t="e">
        <f t="shared" ca="1" si="15"/>
        <v>#VALUE!</v>
      </c>
      <c r="M55" s="712">
        <f t="shared" si="11"/>
        <v>0.36376923076923079</v>
      </c>
      <c r="N55" s="701" t="e">
        <f t="shared" ca="1" si="16"/>
        <v>#VALUE!</v>
      </c>
      <c r="O55" s="693">
        <f t="shared" si="19"/>
        <v>104000</v>
      </c>
      <c r="P55" s="2"/>
      <c r="Q55" s="2"/>
    </row>
    <row r="56" spans="1:17" ht="15">
      <c r="A56" s="2"/>
      <c r="B56" s="44">
        <v>43457</v>
      </c>
      <c r="C56" s="45" t="s">
        <v>37</v>
      </c>
      <c r="D56" s="705" t="s">
        <v>23</v>
      </c>
      <c r="E56" s="713">
        <v>8000</v>
      </c>
      <c r="F56" s="705" t="str">
        <f ca="1">IFERROR(__xludf.DUMMYFUNCTION("IMPORTRANGE(""https://docs.google.com/spreadsheets/d/1Q9mWyBKdiJ84AlcLGwupeHa20ZZ3W_OhQcxDE7uXLlI/edit#gid=1622139751"",""預約時間(only for Jerry)!E120"")"),"#REF!")</f>
        <v>#REF!</v>
      </c>
      <c r="G56" s="706" t="s">
        <v>23</v>
      </c>
      <c r="H56" s="707"/>
      <c r="I56" s="714">
        <v>5615</v>
      </c>
      <c r="J56" s="122" t="s">
        <v>23</v>
      </c>
      <c r="K56" s="704">
        <f>E56-I56</f>
        <v>2385</v>
      </c>
      <c r="L56" s="715" t="e">
        <f t="shared" ca="1" si="15"/>
        <v>#VALUE!</v>
      </c>
      <c r="M56" s="716">
        <f t="shared" si="11"/>
        <v>0.70187500000000003</v>
      </c>
      <c r="N56" s="701" t="e">
        <f t="shared" ca="1" si="16"/>
        <v>#VALUE!</v>
      </c>
      <c r="O56" s="2">
        <f>E56*8</f>
        <v>64000</v>
      </c>
      <c r="P56" s="2"/>
      <c r="Q56" s="2"/>
    </row>
    <row r="57" spans="1:17" ht="14">
      <c r="A57" s="2"/>
      <c r="B57" s="37">
        <v>43458</v>
      </c>
      <c r="C57" s="38" t="s">
        <v>41</v>
      </c>
      <c r="D57" s="689">
        <v>40000</v>
      </c>
      <c r="E57" s="676">
        <v>8000</v>
      </c>
      <c r="F57" s="664">
        <v>32077</v>
      </c>
      <c r="G57" s="651">
        <f t="shared" ref="G57:G62" si="20">D57-F57</f>
        <v>7923</v>
      </c>
      <c r="H57" s="717"/>
      <c r="I57" s="667">
        <v>6776</v>
      </c>
      <c r="J57" s="118">
        <f t="shared" ref="J57:J98" si="21">E57-I57</f>
        <v>1224</v>
      </c>
      <c r="K57" s="676">
        <f t="shared" ref="K57:K77" si="22">E57+J57-I57</f>
        <v>2448</v>
      </c>
      <c r="L57" s="711">
        <f t="shared" si="15"/>
        <v>0.30843269230769232</v>
      </c>
      <c r="M57" s="712">
        <f t="shared" si="11"/>
        <v>0.52123076923076928</v>
      </c>
      <c r="N57" s="718">
        <f t="shared" si="16"/>
        <v>0.8296634615384616</v>
      </c>
      <c r="O57" s="693">
        <f t="shared" ref="O57:O62" si="23">D57+E57*8</f>
        <v>104000</v>
      </c>
      <c r="P57" s="2"/>
      <c r="Q57" s="2"/>
    </row>
    <row r="58" spans="1:17" ht="14">
      <c r="A58" s="2"/>
      <c r="B58" s="37">
        <v>43459</v>
      </c>
      <c r="C58" s="38" t="s">
        <v>123</v>
      </c>
      <c r="D58" s="689">
        <v>40000</v>
      </c>
      <c r="E58" s="676">
        <v>8000</v>
      </c>
      <c r="F58" s="664">
        <v>23591</v>
      </c>
      <c r="G58" s="651">
        <f t="shared" si="20"/>
        <v>16409</v>
      </c>
      <c r="H58" s="717"/>
      <c r="I58" s="667">
        <v>8625</v>
      </c>
      <c r="J58" s="118">
        <f t="shared" si="21"/>
        <v>-625</v>
      </c>
      <c r="K58" s="676">
        <f t="shared" si="22"/>
        <v>-1250</v>
      </c>
      <c r="L58" s="711">
        <f t="shared" si="15"/>
        <v>0.22683653846153845</v>
      </c>
      <c r="M58" s="712">
        <f t="shared" si="11"/>
        <v>0.66346153846153844</v>
      </c>
      <c r="N58" s="701">
        <f t="shared" si="16"/>
        <v>0.89029807692307683</v>
      </c>
      <c r="O58" s="693">
        <f t="shared" si="23"/>
        <v>104000</v>
      </c>
      <c r="P58" s="2"/>
      <c r="Q58" s="2"/>
    </row>
    <row r="59" spans="1:17" ht="14">
      <c r="A59" s="2"/>
      <c r="B59" s="37">
        <v>43460</v>
      </c>
      <c r="C59" s="38" t="s">
        <v>49</v>
      </c>
      <c r="D59" s="689">
        <v>40000</v>
      </c>
      <c r="E59" s="676">
        <v>8000</v>
      </c>
      <c r="F59" s="664">
        <v>33072</v>
      </c>
      <c r="G59" s="651">
        <f t="shared" si="20"/>
        <v>6928</v>
      </c>
      <c r="H59" s="717"/>
      <c r="I59" s="667">
        <v>6041</v>
      </c>
      <c r="J59" s="118">
        <f t="shared" si="21"/>
        <v>1959</v>
      </c>
      <c r="K59" s="676">
        <f t="shared" si="22"/>
        <v>3918</v>
      </c>
      <c r="L59" s="711">
        <f t="shared" si="15"/>
        <v>0.318</v>
      </c>
      <c r="M59" s="712">
        <f t="shared" si="11"/>
        <v>0.46469230769230768</v>
      </c>
      <c r="N59" s="701">
        <f t="shared" si="16"/>
        <v>0.78269230769230769</v>
      </c>
      <c r="O59" s="693">
        <f t="shared" si="23"/>
        <v>104000</v>
      </c>
      <c r="P59" s="2"/>
      <c r="Q59" s="2"/>
    </row>
    <row r="60" spans="1:17" ht="14">
      <c r="A60" s="2"/>
      <c r="B60" s="37">
        <v>43461</v>
      </c>
      <c r="C60" s="38" t="s">
        <v>124</v>
      </c>
      <c r="D60" s="689">
        <v>40000</v>
      </c>
      <c r="E60" s="676">
        <v>8000</v>
      </c>
      <c r="F60" s="664">
        <v>30265</v>
      </c>
      <c r="G60" s="651">
        <f t="shared" si="20"/>
        <v>9735</v>
      </c>
      <c r="H60" s="717"/>
      <c r="I60" s="667">
        <v>5872</v>
      </c>
      <c r="J60" s="118">
        <f t="shared" si="21"/>
        <v>2128</v>
      </c>
      <c r="K60" s="676">
        <f t="shared" si="22"/>
        <v>4256</v>
      </c>
      <c r="L60" s="711">
        <f t="shared" si="15"/>
        <v>0.29100961538461539</v>
      </c>
      <c r="M60" s="712">
        <f t="shared" si="11"/>
        <v>0.45169230769230767</v>
      </c>
      <c r="N60" s="701">
        <f t="shared" si="16"/>
        <v>0.74270192307692307</v>
      </c>
      <c r="O60" s="693">
        <f t="shared" si="23"/>
        <v>104000</v>
      </c>
      <c r="P60" s="2"/>
      <c r="Q60" s="2"/>
    </row>
    <row r="61" spans="1:17" ht="14">
      <c r="A61" s="2"/>
      <c r="B61" s="37">
        <v>43462</v>
      </c>
      <c r="C61" s="38" t="s">
        <v>29</v>
      </c>
      <c r="D61" s="689">
        <v>40000</v>
      </c>
      <c r="E61" s="676">
        <v>8000</v>
      </c>
      <c r="F61" s="664">
        <v>32775</v>
      </c>
      <c r="G61" s="651">
        <f t="shared" si="20"/>
        <v>7225</v>
      </c>
      <c r="H61" s="717"/>
      <c r="I61" s="667">
        <v>5162</v>
      </c>
      <c r="J61" s="118">
        <f t="shared" si="21"/>
        <v>2838</v>
      </c>
      <c r="K61" s="676">
        <f t="shared" si="22"/>
        <v>5676</v>
      </c>
      <c r="L61" s="711">
        <f t="shared" si="15"/>
        <v>0.31514423076923076</v>
      </c>
      <c r="M61" s="712">
        <f t="shared" si="11"/>
        <v>0.39707692307692305</v>
      </c>
      <c r="N61" s="701">
        <f t="shared" si="16"/>
        <v>0.71222115384615381</v>
      </c>
      <c r="O61" s="693">
        <f t="shared" si="23"/>
        <v>104000</v>
      </c>
      <c r="P61" s="2"/>
      <c r="Q61" s="2"/>
    </row>
    <row r="62" spans="1:17" ht="14">
      <c r="A62" s="2"/>
      <c r="B62" s="37">
        <v>43463</v>
      </c>
      <c r="C62" s="38" t="s">
        <v>33</v>
      </c>
      <c r="D62" s="689">
        <v>40000</v>
      </c>
      <c r="E62" s="676">
        <v>8000</v>
      </c>
      <c r="F62" s="664">
        <v>14132</v>
      </c>
      <c r="G62" s="651">
        <f t="shared" si="20"/>
        <v>25868</v>
      </c>
      <c r="H62" s="717"/>
      <c r="I62" s="667">
        <v>3583</v>
      </c>
      <c r="J62" s="118">
        <f t="shared" si="21"/>
        <v>4417</v>
      </c>
      <c r="K62" s="676">
        <f t="shared" si="22"/>
        <v>8834</v>
      </c>
      <c r="L62" s="711">
        <f t="shared" si="15"/>
        <v>0.13588461538461538</v>
      </c>
      <c r="M62" s="712">
        <f t="shared" si="11"/>
        <v>0.2756153846153846</v>
      </c>
      <c r="N62" s="701">
        <f t="shared" si="16"/>
        <v>0.41149999999999998</v>
      </c>
      <c r="O62" s="693">
        <f t="shared" si="23"/>
        <v>104000</v>
      </c>
      <c r="P62" s="2"/>
      <c r="Q62" s="2"/>
    </row>
    <row r="63" spans="1:17" ht="15">
      <c r="A63" s="2"/>
      <c r="B63" s="37">
        <v>43464</v>
      </c>
      <c r="C63" s="45" t="s">
        <v>37</v>
      </c>
      <c r="D63" s="703" t="s">
        <v>23</v>
      </c>
      <c r="E63" s="704">
        <v>8000</v>
      </c>
      <c r="F63" s="705" t="str">
        <f ca="1">IFERROR(__xludf.DUMMYFUNCTION("IMPORTRANGE(""https://docs.google.com/spreadsheets/d/1Q9mWyBKdiJ84AlcLGwupeHa20ZZ3W_OhQcxDE7uXLlI/edit#gid=1622139751"",""預約時間(only for Jerry)!E127"")"),"#REF!")</f>
        <v>#REF!</v>
      </c>
      <c r="G63" s="690" t="s">
        <v>23</v>
      </c>
      <c r="H63" s="719"/>
      <c r="I63" s="720">
        <v>3805</v>
      </c>
      <c r="J63" s="122">
        <f t="shared" si="21"/>
        <v>4195</v>
      </c>
      <c r="K63" s="704">
        <f t="shared" si="22"/>
        <v>8390</v>
      </c>
      <c r="L63" s="715" t="e">
        <f t="shared" ca="1" si="15"/>
        <v>#VALUE!</v>
      </c>
      <c r="M63" s="716">
        <f t="shared" si="11"/>
        <v>0.47562500000000002</v>
      </c>
      <c r="N63" s="701" t="e">
        <f t="shared" ca="1" si="16"/>
        <v>#VALUE!</v>
      </c>
      <c r="O63" s="2">
        <f>E63*8</f>
        <v>64000</v>
      </c>
      <c r="P63" s="2"/>
      <c r="Q63" s="2"/>
    </row>
    <row r="64" spans="1:17" ht="15">
      <c r="A64" s="2"/>
      <c r="B64" s="50">
        <v>43465</v>
      </c>
      <c r="C64" s="51" t="s">
        <v>41</v>
      </c>
      <c r="D64" s="721">
        <v>40000</v>
      </c>
      <c r="E64" s="722">
        <v>8000</v>
      </c>
      <c r="F64" s="723" t="str">
        <f ca="1">IFERROR(__xludf.DUMMYFUNCTION("IMPORTRANGE(""https://docs.google.com/spreadsheets/d/1Q9mWyBKdiJ84AlcLGwupeHa20ZZ3W_OhQcxDE7uXLlI/edit#gid=1622139751"",""預約時間(only for Jerry)!E128"")"),"#REF!")</f>
        <v>#REF!</v>
      </c>
      <c r="G64" s="724" t="e">
        <f t="shared" ref="G64:G69" ca="1" si="24">D64-F64</f>
        <v>#VALUE!</v>
      </c>
      <c r="H64" s="725"/>
      <c r="I64" s="726">
        <v>4100</v>
      </c>
      <c r="J64" s="727">
        <f t="shared" si="21"/>
        <v>3900</v>
      </c>
      <c r="K64" s="722">
        <f t="shared" si="22"/>
        <v>7800</v>
      </c>
      <c r="L64" s="728" t="e">
        <f t="shared" ca="1" si="15"/>
        <v>#VALUE!</v>
      </c>
      <c r="M64" s="729">
        <f t="shared" si="11"/>
        <v>0.31538461538461537</v>
      </c>
      <c r="N64" s="718" t="e">
        <f t="shared" ca="1" si="16"/>
        <v>#VALUE!</v>
      </c>
      <c r="O64" s="693">
        <f t="shared" ref="O64:O69" si="25">D64+E64*8</f>
        <v>104000</v>
      </c>
      <c r="P64" s="2"/>
      <c r="Q64" s="2"/>
    </row>
    <row r="65" spans="1:17" ht="15">
      <c r="A65" s="2"/>
      <c r="B65" s="37">
        <v>43466</v>
      </c>
      <c r="C65" s="38" t="s">
        <v>123</v>
      </c>
      <c r="D65" s="689">
        <v>25000</v>
      </c>
      <c r="E65" s="676">
        <v>10000</v>
      </c>
      <c r="F65" s="664" t="str">
        <f ca="1">IFERROR(__xludf.DUMMYFUNCTION("IMPORTRANGE(""https://docs.google.com/spreadsheets/d/1Q9mWyBKdiJ84AlcLGwupeHa20ZZ3W_OhQcxDE7uXLlI/edit#gid=1622139751"",""預約時間(only for Jerry)!E129"")"),"#REF!")</f>
        <v>#REF!</v>
      </c>
      <c r="G65" s="690" t="e">
        <f t="shared" ca="1" si="24"/>
        <v>#VALUE!</v>
      </c>
      <c r="H65" s="717"/>
      <c r="I65" s="730">
        <v>4827</v>
      </c>
      <c r="J65" s="118">
        <f t="shared" si="21"/>
        <v>5173</v>
      </c>
      <c r="K65" s="676">
        <f t="shared" si="22"/>
        <v>10346</v>
      </c>
      <c r="L65" s="711" t="e">
        <f t="shared" ca="1" si="15"/>
        <v>#VALUE!</v>
      </c>
      <c r="M65" s="712">
        <f t="shared" si="11"/>
        <v>0.36777142857142858</v>
      </c>
      <c r="N65" s="701" t="e">
        <f t="shared" ca="1" si="16"/>
        <v>#VALUE!</v>
      </c>
      <c r="O65" s="693">
        <f t="shared" si="25"/>
        <v>105000</v>
      </c>
      <c r="P65" s="2"/>
      <c r="Q65" s="2"/>
    </row>
    <row r="66" spans="1:17" ht="15">
      <c r="A66" s="2"/>
      <c r="B66" s="37">
        <v>43467</v>
      </c>
      <c r="C66" s="38" t="s">
        <v>49</v>
      </c>
      <c r="D66" s="689">
        <v>25000</v>
      </c>
      <c r="E66" s="676">
        <v>10000</v>
      </c>
      <c r="F66" s="664" t="str">
        <f ca="1">IFERROR(__xludf.DUMMYFUNCTION("IMPORTRANGE(""https://docs.google.com/spreadsheets/d/1Q9mWyBKdiJ84AlcLGwupeHa20ZZ3W_OhQcxDE7uXLlI/edit#gid=1622139751"",""預約時間(only for Jerry)!E130"")"),"#REF!")</f>
        <v>#REF!</v>
      </c>
      <c r="G66" s="690" t="e">
        <f t="shared" ca="1" si="24"/>
        <v>#VALUE!</v>
      </c>
      <c r="H66" s="717"/>
      <c r="I66" s="730">
        <v>6362</v>
      </c>
      <c r="J66" s="118">
        <f t="shared" si="21"/>
        <v>3638</v>
      </c>
      <c r="K66" s="676">
        <f t="shared" si="22"/>
        <v>7276</v>
      </c>
      <c r="L66" s="711" t="e">
        <f t="shared" ca="1" si="15"/>
        <v>#VALUE!</v>
      </c>
      <c r="M66" s="712">
        <f t="shared" si="11"/>
        <v>0.4847238095238095</v>
      </c>
      <c r="N66" s="701" t="e">
        <f t="shared" ca="1" si="16"/>
        <v>#VALUE!</v>
      </c>
      <c r="O66" s="693">
        <f t="shared" si="25"/>
        <v>105000</v>
      </c>
      <c r="P66" s="2"/>
      <c r="Q66" s="2"/>
    </row>
    <row r="67" spans="1:17" ht="15">
      <c r="A67" s="2"/>
      <c r="B67" s="37">
        <v>43468</v>
      </c>
      <c r="C67" s="38" t="s">
        <v>124</v>
      </c>
      <c r="D67" s="689">
        <v>25000</v>
      </c>
      <c r="E67" s="676">
        <v>10000</v>
      </c>
      <c r="F67" s="664" t="str">
        <f ca="1">IFERROR(__xludf.DUMMYFUNCTION("IMPORTRANGE(""https://docs.google.com/spreadsheets/d/1Q9mWyBKdiJ84AlcLGwupeHa20ZZ3W_OhQcxDE7uXLlI/edit#gid=1622139751"",""預約時間(only for Jerry)!E131"")"),"#REF!")</f>
        <v>#REF!</v>
      </c>
      <c r="G67" s="690" t="e">
        <f t="shared" ca="1" si="24"/>
        <v>#VALUE!</v>
      </c>
      <c r="H67" s="717"/>
      <c r="I67" s="730">
        <v>10193</v>
      </c>
      <c r="J67" s="118">
        <f t="shared" si="21"/>
        <v>-193</v>
      </c>
      <c r="K67" s="676">
        <f t="shared" si="22"/>
        <v>-386</v>
      </c>
      <c r="L67" s="711" t="e">
        <f t="shared" ca="1" si="15"/>
        <v>#VALUE!</v>
      </c>
      <c r="M67" s="712">
        <f t="shared" si="11"/>
        <v>0.77660952380952386</v>
      </c>
      <c r="N67" s="701" t="e">
        <f t="shared" ca="1" si="16"/>
        <v>#VALUE!</v>
      </c>
      <c r="O67" s="693">
        <f t="shared" si="25"/>
        <v>105000</v>
      </c>
      <c r="P67" s="2"/>
      <c r="Q67" s="2"/>
    </row>
    <row r="68" spans="1:17" ht="15">
      <c r="A68" s="2"/>
      <c r="B68" s="37">
        <v>43469</v>
      </c>
      <c r="C68" s="38" t="s">
        <v>29</v>
      </c>
      <c r="D68" s="689">
        <v>25000</v>
      </c>
      <c r="E68" s="676">
        <v>10000</v>
      </c>
      <c r="F68" s="664" t="str">
        <f ca="1">IFERROR(__xludf.DUMMYFUNCTION("IMPORTRANGE(""https://docs.google.com/spreadsheets/d/1Q9mWyBKdiJ84AlcLGwupeHa20ZZ3W_OhQcxDE7uXLlI/edit#gid=1622139751"",""預約時間(only for Jerry)!E132"")"),"#REF!")</f>
        <v>#REF!</v>
      </c>
      <c r="G68" s="690" t="e">
        <f t="shared" ca="1" si="24"/>
        <v>#VALUE!</v>
      </c>
      <c r="H68" s="717"/>
      <c r="I68" s="730">
        <v>6807</v>
      </c>
      <c r="J68" s="118">
        <f t="shared" si="21"/>
        <v>3193</v>
      </c>
      <c r="K68" s="676">
        <f t="shared" si="22"/>
        <v>6386</v>
      </c>
      <c r="L68" s="711" t="e">
        <f t="shared" ca="1" si="15"/>
        <v>#VALUE!</v>
      </c>
      <c r="M68" s="712">
        <f t="shared" si="11"/>
        <v>0.51862857142857144</v>
      </c>
      <c r="N68" s="701" t="e">
        <f t="shared" ca="1" si="16"/>
        <v>#VALUE!</v>
      </c>
      <c r="O68" s="693">
        <f t="shared" si="25"/>
        <v>105000</v>
      </c>
      <c r="P68" s="2"/>
      <c r="Q68" s="2"/>
    </row>
    <row r="69" spans="1:17" ht="15">
      <c r="A69" s="2"/>
      <c r="B69" s="37">
        <v>43470</v>
      </c>
      <c r="C69" s="38" t="s">
        <v>33</v>
      </c>
      <c r="D69" s="689">
        <v>25000</v>
      </c>
      <c r="E69" s="676">
        <v>10000</v>
      </c>
      <c r="F69" s="664" t="str">
        <f ca="1">IFERROR(__xludf.DUMMYFUNCTION("IMPORTRANGE(""https://docs.google.com/spreadsheets/d/1Q9mWyBKdiJ84AlcLGwupeHa20ZZ3W_OhQcxDE7uXLlI/edit#gid=1622139751"",""預約時間(only for Jerry)!E133"")"),"#REF!")</f>
        <v>#REF!</v>
      </c>
      <c r="G69" s="690" t="e">
        <f t="shared" ca="1" si="24"/>
        <v>#VALUE!</v>
      </c>
      <c r="H69" s="717"/>
      <c r="I69" s="730">
        <v>5939</v>
      </c>
      <c r="J69" s="118">
        <f t="shared" si="21"/>
        <v>4061</v>
      </c>
      <c r="K69" s="676">
        <f t="shared" si="22"/>
        <v>8122</v>
      </c>
      <c r="L69" s="711" t="e">
        <f t="shared" ca="1" si="15"/>
        <v>#VALUE!</v>
      </c>
      <c r="M69" s="712">
        <f t="shared" si="11"/>
        <v>0.45249523809523812</v>
      </c>
      <c r="N69" s="701" t="e">
        <f t="shared" ca="1" si="16"/>
        <v>#VALUE!</v>
      </c>
      <c r="O69" s="693">
        <f t="shared" si="25"/>
        <v>105000</v>
      </c>
      <c r="P69" s="2"/>
      <c r="Q69" s="2"/>
    </row>
    <row r="70" spans="1:17" ht="15">
      <c r="A70" s="2"/>
      <c r="B70" s="44">
        <v>43471</v>
      </c>
      <c r="C70" s="45" t="s">
        <v>37</v>
      </c>
      <c r="D70" s="703" t="s">
        <v>23</v>
      </c>
      <c r="E70" s="704">
        <v>10000</v>
      </c>
      <c r="F70" s="664" t="str">
        <f ca="1">IFERROR(__xludf.DUMMYFUNCTION("IMPORTRANGE(""https://docs.google.com/spreadsheets/d/1Q9mWyBKdiJ84AlcLGwupeHa20ZZ3W_OhQcxDE7uXLlI/edit#gid=1622139751"",""預約時間(only for Jerry)!E134"")"),"#REF!")</f>
        <v>#REF!</v>
      </c>
      <c r="G70" s="706" t="s">
        <v>23</v>
      </c>
      <c r="H70" s="719"/>
      <c r="I70" s="731">
        <v>5734</v>
      </c>
      <c r="J70" s="122">
        <f t="shared" si="21"/>
        <v>4266</v>
      </c>
      <c r="K70" s="704">
        <f t="shared" si="22"/>
        <v>8532</v>
      </c>
      <c r="L70" s="715" t="e">
        <f t="shared" ca="1" si="15"/>
        <v>#VALUE!</v>
      </c>
      <c r="M70" s="716">
        <f t="shared" si="11"/>
        <v>0.57340000000000002</v>
      </c>
      <c r="N70" s="710" t="e">
        <f t="shared" ca="1" si="16"/>
        <v>#VALUE!</v>
      </c>
      <c r="O70" s="2">
        <f>E70*8</f>
        <v>80000</v>
      </c>
      <c r="P70" s="2"/>
      <c r="Q70" s="2"/>
    </row>
    <row r="71" spans="1:17" ht="15">
      <c r="A71" s="2"/>
      <c r="B71" s="50">
        <v>43472</v>
      </c>
      <c r="C71" s="51" t="s">
        <v>41</v>
      </c>
      <c r="D71" s="721">
        <v>25000</v>
      </c>
      <c r="E71" s="722">
        <v>10000</v>
      </c>
      <c r="F71" s="723" t="str">
        <f ca="1">IFERROR(__xludf.DUMMYFUNCTION("IMPORTRANGE(""https://docs.google.com/spreadsheets/d/1Q9mWyBKdiJ84AlcLGwupeHa20ZZ3W_OhQcxDE7uXLlI/edit#gid=1622139751"",""預約時間(only for Jerry)!E135"")"),"#REF!")</f>
        <v>#REF!</v>
      </c>
      <c r="G71" s="724" t="e">
        <f t="shared" ref="G71:G76" ca="1" si="26">D71-F71</f>
        <v>#VALUE!</v>
      </c>
      <c r="H71" s="725"/>
      <c r="I71" s="105">
        <v>7092</v>
      </c>
      <c r="J71" s="727">
        <f t="shared" si="21"/>
        <v>2908</v>
      </c>
      <c r="K71" s="722">
        <f t="shared" si="22"/>
        <v>5816</v>
      </c>
      <c r="L71" s="728" t="e">
        <f t="shared" ca="1" si="15"/>
        <v>#VALUE!</v>
      </c>
      <c r="M71" s="729">
        <f t="shared" si="11"/>
        <v>0.54034285714285712</v>
      </c>
      <c r="N71" s="718" t="e">
        <f t="shared" ca="1" si="16"/>
        <v>#VALUE!</v>
      </c>
      <c r="O71" s="693">
        <f t="shared" ref="O71:O76" si="27">D71+E71*8</f>
        <v>105000</v>
      </c>
      <c r="P71" s="2"/>
      <c r="Q71" s="2"/>
    </row>
    <row r="72" spans="1:17" ht="15">
      <c r="A72" s="2"/>
      <c r="B72" s="37">
        <v>43473</v>
      </c>
      <c r="C72" s="38" t="s">
        <v>123</v>
      </c>
      <c r="D72" s="689">
        <v>25000</v>
      </c>
      <c r="E72" s="676">
        <v>10000</v>
      </c>
      <c r="F72" s="664" t="str">
        <f ca="1">IFERROR(__xludf.DUMMYFUNCTION("IMPORTRANGE(""https://docs.google.com/spreadsheets/d/1Q9mWyBKdiJ84AlcLGwupeHa20ZZ3W_OhQcxDE7uXLlI/edit#gid=1622139751"",""預約時間(only for Jerry)!E136"")"),"#REF!")</f>
        <v>#REF!</v>
      </c>
      <c r="G72" s="690" t="e">
        <f t="shared" ca="1" si="26"/>
        <v>#VALUE!</v>
      </c>
      <c r="H72" s="717"/>
      <c r="I72" s="39">
        <v>11159</v>
      </c>
      <c r="J72" s="118">
        <f t="shared" si="21"/>
        <v>-1159</v>
      </c>
      <c r="K72" s="676">
        <f t="shared" si="22"/>
        <v>-2318</v>
      </c>
      <c r="L72" s="711" t="e">
        <f t="shared" ca="1" si="15"/>
        <v>#VALUE!</v>
      </c>
      <c r="M72" s="712">
        <f t="shared" si="11"/>
        <v>0.85020952380952386</v>
      </c>
      <c r="N72" s="701" t="e">
        <f t="shared" ca="1" si="16"/>
        <v>#VALUE!</v>
      </c>
      <c r="O72" s="693">
        <f t="shared" si="27"/>
        <v>105000</v>
      </c>
      <c r="P72" s="2"/>
      <c r="Q72" s="2"/>
    </row>
    <row r="73" spans="1:17" ht="15">
      <c r="A73" s="2"/>
      <c r="B73" s="37">
        <v>43474</v>
      </c>
      <c r="C73" s="38" t="s">
        <v>49</v>
      </c>
      <c r="D73" s="689">
        <v>25000</v>
      </c>
      <c r="E73" s="676">
        <v>10000</v>
      </c>
      <c r="F73" s="664" t="str">
        <f ca="1">IFERROR(__xludf.DUMMYFUNCTION("IMPORTRANGE(""https://docs.google.com/spreadsheets/d/1Q9mWyBKdiJ84AlcLGwupeHa20ZZ3W_OhQcxDE7uXLlI/edit#gid=1622139751"",""預約時間(only for Jerry)!E137"")"),"#REF!")</f>
        <v>#REF!</v>
      </c>
      <c r="G73" s="690" t="e">
        <f t="shared" ca="1" si="26"/>
        <v>#VALUE!</v>
      </c>
      <c r="H73" s="717"/>
      <c r="I73" s="39">
        <v>6736</v>
      </c>
      <c r="J73" s="118">
        <f t="shared" si="21"/>
        <v>3264</v>
      </c>
      <c r="K73" s="676">
        <f t="shared" si="22"/>
        <v>6528</v>
      </c>
      <c r="L73" s="711" t="e">
        <f t="shared" ca="1" si="15"/>
        <v>#VALUE!</v>
      </c>
      <c r="M73" s="712">
        <f t="shared" si="11"/>
        <v>0.51321904761904757</v>
      </c>
      <c r="N73" s="701" t="e">
        <f t="shared" ca="1" si="16"/>
        <v>#VALUE!</v>
      </c>
      <c r="O73" s="693">
        <f t="shared" si="27"/>
        <v>105000</v>
      </c>
      <c r="P73" s="2"/>
      <c r="Q73" s="2"/>
    </row>
    <row r="74" spans="1:17" ht="15">
      <c r="A74" s="2"/>
      <c r="B74" s="37">
        <v>43475</v>
      </c>
      <c r="C74" s="38" t="s">
        <v>124</v>
      </c>
      <c r="D74" s="689">
        <v>25000</v>
      </c>
      <c r="E74" s="676">
        <v>10000</v>
      </c>
      <c r="F74" s="664" t="str">
        <f ca="1">IFERROR(__xludf.DUMMYFUNCTION("IMPORTRANGE(""https://docs.google.com/spreadsheets/d/1Q9mWyBKdiJ84AlcLGwupeHa20ZZ3W_OhQcxDE7uXLlI/edit#gid=1622139751"",""預約時間(only for Jerry)!E138"")"),"#REF!")</f>
        <v>#REF!</v>
      </c>
      <c r="G74" s="690" t="e">
        <f t="shared" ca="1" si="26"/>
        <v>#VALUE!</v>
      </c>
      <c r="H74" s="717"/>
      <c r="I74" s="39">
        <v>5907</v>
      </c>
      <c r="J74" s="118">
        <f t="shared" si="21"/>
        <v>4093</v>
      </c>
      <c r="K74" s="676">
        <f t="shared" si="22"/>
        <v>8186</v>
      </c>
      <c r="L74" s="711" t="e">
        <f t="shared" ca="1" si="15"/>
        <v>#VALUE!</v>
      </c>
      <c r="M74" s="712">
        <f t="shared" si="11"/>
        <v>0.45005714285714288</v>
      </c>
      <c r="N74" s="701" t="e">
        <f t="shared" ca="1" si="16"/>
        <v>#VALUE!</v>
      </c>
      <c r="O74" s="693">
        <f t="shared" si="27"/>
        <v>105000</v>
      </c>
      <c r="P74" s="2"/>
      <c r="Q74" s="2"/>
    </row>
    <row r="75" spans="1:17" ht="15">
      <c r="A75" s="2"/>
      <c r="B75" s="37">
        <v>43476</v>
      </c>
      <c r="C75" s="38" t="s">
        <v>29</v>
      </c>
      <c r="D75" s="689">
        <v>25000</v>
      </c>
      <c r="E75" s="676">
        <v>10000</v>
      </c>
      <c r="F75" s="664" t="str">
        <f ca="1">IFERROR(__xludf.DUMMYFUNCTION("IMPORTRANGE(""https://docs.google.com/spreadsheets/d/1Q9mWyBKdiJ84AlcLGwupeHa20ZZ3W_OhQcxDE7uXLlI/edit#gid=1622139751"",""預約時間(only for Jerry)!E139"")"),"#REF!")</f>
        <v>#REF!</v>
      </c>
      <c r="G75" s="690" t="e">
        <f t="shared" ca="1" si="26"/>
        <v>#VALUE!</v>
      </c>
      <c r="H75" s="717"/>
      <c r="I75" s="39">
        <v>5976</v>
      </c>
      <c r="J75" s="118">
        <f t="shared" si="21"/>
        <v>4024</v>
      </c>
      <c r="K75" s="676">
        <f t="shared" si="22"/>
        <v>8048</v>
      </c>
      <c r="L75" s="711" t="e">
        <f t="shared" ca="1" si="15"/>
        <v>#VALUE!</v>
      </c>
      <c r="M75" s="712">
        <f t="shared" si="11"/>
        <v>0.45531428571428573</v>
      </c>
      <c r="N75" s="701" t="e">
        <f t="shared" ca="1" si="16"/>
        <v>#VALUE!</v>
      </c>
      <c r="O75" s="693">
        <f t="shared" si="27"/>
        <v>105000</v>
      </c>
      <c r="P75" s="2"/>
      <c r="Q75" s="2"/>
    </row>
    <row r="76" spans="1:17" ht="15">
      <c r="A76" s="2"/>
      <c r="B76" s="37">
        <v>43477</v>
      </c>
      <c r="C76" s="38" t="s">
        <v>33</v>
      </c>
      <c r="D76" s="689">
        <v>25000</v>
      </c>
      <c r="E76" s="676">
        <v>10000</v>
      </c>
      <c r="F76" s="664" t="str">
        <f ca="1">IFERROR(__xludf.DUMMYFUNCTION("IMPORTRANGE(""https://docs.google.com/spreadsheets/d/1Q9mWyBKdiJ84AlcLGwupeHa20ZZ3W_OhQcxDE7uXLlI/edit#gid=1622139751"",""預約時間(only for Jerry)!E140"")"),"#REF!")</f>
        <v>#REF!</v>
      </c>
      <c r="G76" s="690" t="e">
        <f t="shared" ca="1" si="26"/>
        <v>#VALUE!</v>
      </c>
      <c r="H76" s="717"/>
      <c r="I76" s="39">
        <v>5811</v>
      </c>
      <c r="J76" s="118">
        <f t="shared" si="21"/>
        <v>4189</v>
      </c>
      <c r="K76" s="676">
        <f t="shared" si="22"/>
        <v>8378</v>
      </c>
      <c r="L76" s="711" t="e">
        <f t="shared" ca="1" si="15"/>
        <v>#VALUE!</v>
      </c>
      <c r="M76" s="712">
        <f t="shared" si="11"/>
        <v>0.44274285714285716</v>
      </c>
      <c r="N76" s="701" t="e">
        <f t="shared" ca="1" si="16"/>
        <v>#VALUE!</v>
      </c>
      <c r="O76" s="693">
        <f t="shared" si="27"/>
        <v>105000</v>
      </c>
      <c r="P76" s="2"/>
      <c r="Q76" s="2"/>
    </row>
    <row r="77" spans="1:17" ht="15">
      <c r="A77" s="2"/>
      <c r="B77" s="44">
        <v>43478</v>
      </c>
      <c r="C77" s="45" t="s">
        <v>37</v>
      </c>
      <c r="D77" s="703" t="s">
        <v>23</v>
      </c>
      <c r="E77" s="704">
        <v>10000</v>
      </c>
      <c r="F77" s="705" t="str">
        <f ca="1">IFERROR(__xludf.DUMMYFUNCTION("IMPORTRANGE(""https://docs.google.com/spreadsheets/d/1Q9mWyBKdiJ84AlcLGwupeHa20ZZ3W_OhQcxDE7uXLlI/edit#gid=1622139751"",""預約時間(only for Jerry)!E141"")"),"#REF!")</f>
        <v>#REF!</v>
      </c>
      <c r="G77" s="706" t="s">
        <v>23</v>
      </c>
      <c r="H77" s="719"/>
      <c r="I77" s="46">
        <v>5783</v>
      </c>
      <c r="J77" s="122">
        <f t="shared" si="21"/>
        <v>4217</v>
      </c>
      <c r="K77" s="704">
        <f t="shared" si="22"/>
        <v>8434</v>
      </c>
      <c r="L77" s="711" t="e">
        <f t="shared" ca="1" si="15"/>
        <v>#VALUE!</v>
      </c>
      <c r="M77" s="712">
        <f t="shared" si="11"/>
        <v>0.57830000000000004</v>
      </c>
      <c r="N77" s="710" t="e">
        <f t="shared" ca="1" si="16"/>
        <v>#VALUE!</v>
      </c>
      <c r="O77" s="2">
        <f>E77*8</f>
        <v>80000</v>
      </c>
      <c r="P77" s="2"/>
      <c r="Q77" s="2"/>
    </row>
    <row r="78" spans="1:17" ht="15">
      <c r="A78" s="2"/>
      <c r="B78" s="50">
        <v>43479</v>
      </c>
      <c r="C78" s="51" t="s">
        <v>41</v>
      </c>
      <c r="D78" s="721">
        <v>25000</v>
      </c>
      <c r="E78" s="722">
        <v>10000</v>
      </c>
      <c r="F78" s="723" t="str">
        <f ca="1">IFERROR(__xludf.DUMMYFUNCTION("IMPORTRANGE(""https://docs.google.com/spreadsheets/d/1Q9mWyBKdiJ84AlcLGwupeHa20ZZ3W_OhQcxDE7uXLlI/edit#gid=1622139751"",""預約時間(only for Jerry)!E142"")"),"#REF!")</f>
        <v>#REF!</v>
      </c>
      <c r="G78" s="724" t="e">
        <f t="shared" ref="G78:G83" ca="1" si="28">D78-F78</f>
        <v>#VALUE!</v>
      </c>
      <c r="H78" s="725"/>
      <c r="I78" s="105">
        <v>7951</v>
      </c>
      <c r="J78" s="105">
        <f t="shared" si="21"/>
        <v>2049</v>
      </c>
      <c r="K78" s="722"/>
      <c r="L78" s="728" t="e">
        <f t="shared" ca="1" si="15"/>
        <v>#VALUE!</v>
      </c>
      <c r="M78" s="729">
        <f t="shared" si="11"/>
        <v>0.60579047619047621</v>
      </c>
      <c r="N78" s="718" t="e">
        <f t="shared" ca="1" si="16"/>
        <v>#VALUE!</v>
      </c>
      <c r="O78" s="693">
        <f t="shared" ref="O78:O83" si="29">D78+E78*8</f>
        <v>105000</v>
      </c>
      <c r="P78" s="2"/>
      <c r="Q78" s="2"/>
    </row>
    <row r="79" spans="1:17" ht="15">
      <c r="A79" s="2"/>
      <c r="B79" s="37">
        <v>43480</v>
      </c>
      <c r="C79" s="38" t="s">
        <v>123</v>
      </c>
      <c r="D79" s="689">
        <v>25000</v>
      </c>
      <c r="E79" s="676">
        <v>10000</v>
      </c>
      <c r="F79" s="664" t="str">
        <f ca="1">IFERROR(__xludf.DUMMYFUNCTION("IMPORTRANGE(""https://docs.google.com/spreadsheets/d/1Q9mWyBKdiJ84AlcLGwupeHa20ZZ3W_OhQcxDE7uXLlI/edit#gid=1622139751"",""預約時間(only for Jerry)!E143"")"),"#REF!")</f>
        <v>#REF!</v>
      </c>
      <c r="G79" s="690" t="e">
        <f t="shared" ca="1" si="28"/>
        <v>#VALUE!</v>
      </c>
      <c r="H79" s="717"/>
      <c r="I79" s="39">
        <v>12289</v>
      </c>
      <c r="J79" s="39">
        <f t="shared" si="21"/>
        <v>-2289</v>
      </c>
      <c r="K79" s="676"/>
      <c r="L79" s="711" t="e">
        <f t="shared" ca="1" si="15"/>
        <v>#VALUE!</v>
      </c>
      <c r="M79" s="712">
        <f t="shared" si="11"/>
        <v>0.93630476190476186</v>
      </c>
      <c r="N79" s="701" t="e">
        <f t="shared" ca="1" si="16"/>
        <v>#VALUE!</v>
      </c>
      <c r="O79" s="693">
        <f t="shared" si="29"/>
        <v>105000</v>
      </c>
      <c r="P79" s="2"/>
      <c r="Q79" s="2"/>
    </row>
    <row r="80" spans="1:17" ht="15">
      <c r="A80" s="2"/>
      <c r="B80" s="37">
        <v>43481</v>
      </c>
      <c r="C80" s="38" t="s">
        <v>49</v>
      </c>
      <c r="D80" s="689">
        <v>25000</v>
      </c>
      <c r="E80" s="676">
        <v>10000</v>
      </c>
      <c r="F80" s="664" t="str">
        <f ca="1">IFERROR(__xludf.DUMMYFUNCTION("IMPORTRANGE(""https://docs.google.com/spreadsheets/d/1Q9mWyBKdiJ84AlcLGwupeHa20ZZ3W_OhQcxDE7uXLlI/edit#gid=1622139751"",""預約時間(only for Jerry)!E144"")"),"#REF!")</f>
        <v>#REF!</v>
      </c>
      <c r="G80" s="690" t="e">
        <f t="shared" ca="1" si="28"/>
        <v>#VALUE!</v>
      </c>
      <c r="H80" s="717"/>
      <c r="I80" s="39">
        <v>7610</v>
      </c>
      <c r="J80" s="39">
        <f t="shared" si="21"/>
        <v>2390</v>
      </c>
      <c r="K80" s="676"/>
      <c r="L80" s="711" t="e">
        <f t="shared" ca="1" si="15"/>
        <v>#VALUE!</v>
      </c>
      <c r="M80" s="712">
        <f t="shared" si="11"/>
        <v>0.57980952380952377</v>
      </c>
      <c r="N80" s="701" t="e">
        <f t="shared" ca="1" si="16"/>
        <v>#VALUE!</v>
      </c>
      <c r="O80" s="693">
        <f t="shared" si="29"/>
        <v>105000</v>
      </c>
      <c r="P80" s="2"/>
      <c r="Q80" s="2"/>
    </row>
    <row r="81" spans="1:17" ht="15">
      <c r="A81" s="2"/>
      <c r="B81" s="37">
        <v>43482</v>
      </c>
      <c r="C81" s="38" t="s">
        <v>124</v>
      </c>
      <c r="D81" s="689">
        <v>25000</v>
      </c>
      <c r="E81" s="676">
        <v>10000</v>
      </c>
      <c r="F81" s="664" t="str">
        <f ca="1">IFERROR(__xludf.DUMMYFUNCTION("IMPORTRANGE(""https://docs.google.com/spreadsheets/d/1Q9mWyBKdiJ84AlcLGwupeHa20ZZ3W_OhQcxDE7uXLlI/edit#gid=1622139751"",""預約時間(only for Jerry)!E145"")"),"#REF!")</f>
        <v>#REF!</v>
      </c>
      <c r="G81" s="690" t="e">
        <f t="shared" ca="1" si="28"/>
        <v>#VALUE!</v>
      </c>
      <c r="H81" s="717"/>
      <c r="I81" s="39">
        <v>6910</v>
      </c>
      <c r="J81" s="39">
        <f t="shared" si="21"/>
        <v>3090</v>
      </c>
      <c r="K81" s="676"/>
      <c r="L81" s="711" t="e">
        <f t="shared" ca="1" si="15"/>
        <v>#VALUE!</v>
      </c>
      <c r="M81" s="712">
        <f t="shared" si="11"/>
        <v>0.52647619047619043</v>
      </c>
      <c r="N81" s="701" t="e">
        <f t="shared" ca="1" si="16"/>
        <v>#VALUE!</v>
      </c>
      <c r="O81" s="693">
        <f t="shared" si="29"/>
        <v>105000</v>
      </c>
      <c r="P81" s="2"/>
      <c r="Q81" s="2"/>
    </row>
    <row r="82" spans="1:17" ht="15">
      <c r="A82" s="2"/>
      <c r="B82" s="37">
        <v>43483</v>
      </c>
      <c r="C82" s="38" t="s">
        <v>29</v>
      </c>
      <c r="D82" s="689">
        <v>25000</v>
      </c>
      <c r="E82" s="676">
        <v>10000</v>
      </c>
      <c r="F82" s="664" t="str">
        <f ca="1">IFERROR(__xludf.DUMMYFUNCTION("IMPORTRANGE(""https://docs.google.com/spreadsheets/d/1Q9mWyBKdiJ84AlcLGwupeHa20ZZ3W_OhQcxDE7uXLlI/edit#gid=1622139751"",""預約時間(only for Jerry)!E146"")"),"#REF!")</f>
        <v>#REF!</v>
      </c>
      <c r="G82" s="690" t="e">
        <f t="shared" ca="1" si="28"/>
        <v>#VALUE!</v>
      </c>
      <c r="H82" s="717"/>
      <c r="I82" s="39">
        <v>7300</v>
      </c>
      <c r="J82" s="39">
        <f t="shared" si="21"/>
        <v>2700</v>
      </c>
      <c r="K82" s="676"/>
      <c r="L82" s="711" t="e">
        <f t="shared" ca="1" si="15"/>
        <v>#VALUE!</v>
      </c>
      <c r="M82" s="712">
        <f t="shared" si="11"/>
        <v>0.55619047619047624</v>
      </c>
      <c r="N82" s="701" t="e">
        <f t="shared" ca="1" si="16"/>
        <v>#VALUE!</v>
      </c>
      <c r="O82" s="693">
        <f t="shared" si="29"/>
        <v>105000</v>
      </c>
      <c r="P82" s="2"/>
      <c r="Q82" s="2"/>
    </row>
    <row r="83" spans="1:17" ht="15">
      <c r="A83" s="2"/>
      <c r="B83" s="37">
        <v>43484</v>
      </c>
      <c r="C83" s="38" t="s">
        <v>33</v>
      </c>
      <c r="D83" s="689">
        <v>25000</v>
      </c>
      <c r="E83" s="676">
        <v>10000</v>
      </c>
      <c r="F83" s="664" t="str">
        <f ca="1">IFERROR(__xludf.DUMMYFUNCTION("IMPORTRANGE(""https://docs.google.com/spreadsheets/d/1Q9mWyBKdiJ84AlcLGwupeHa20ZZ3W_OhQcxDE7uXLlI/edit#gid=1622139751"",""預約時間(only for Jerry)!E147"")"),"#REF!")</f>
        <v>#REF!</v>
      </c>
      <c r="G83" s="690" t="e">
        <f t="shared" ca="1" si="28"/>
        <v>#VALUE!</v>
      </c>
      <c r="H83" s="717"/>
      <c r="I83" s="39">
        <v>6171</v>
      </c>
      <c r="J83" s="39">
        <f t="shared" si="21"/>
        <v>3829</v>
      </c>
      <c r="K83" s="676"/>
      <c r="L83" s="711" t="e">
        <f t="shared" ca="1" si="15"/>
        <v>#VALUE!</v>
      </c>
      <c r="M83" s="712">
        <f t="shared" si="11"/>
        <v>0.47017142857142857</v>
      </c>
      <c r="N83" s="701" t="e">
        <f t="shared" ca="1" si="16"/>
        <v>#VALUE!</v>
      </c>
      <c r="O83" s="693">
        <f t="shared" si="29"/>
        <v>105000</v>
      </c>
      <c r="P83" s="2"/>
      <c r="Q83" s="2"/>
    </row>
    <row r="84" spans="1:17" ht="14">
      <c r="A84" s="2"/>
      <c r="B84" s="44">
        <v>43485</v>
      </c>
      <c r="C84" s="45" t="s">
        <v>37</v>
      </c>
      <c r="D84" s="703" t="s">
        <v>23</v>
      </c>
      <c r="E84" s="704">
        <v>10000</v>
      </c>
      <c r="F84" s="705" t="str">
        <f ca="1">IFERROR(__xludf.DUMMYFUNCTION("IMPORTRANGE(""https://docs.google.com/spreadsheets/d/1Q9mWyBKdiJ84AlcLGwupeHa20ZZ3W_OhQcxDE7uXLlI/edit#gid=1622139751"",""預約時間(only for Jerry)!E148"")"),"#REF!")</f>
        <v>#REF!</v>
      </c>
      <c r="G84" s="122" t="s">
        <v>23</v>
      </c>
      <c r="H84" s="719"/>
      <c r="I84" s="46">
        <v>7942</v>
      </c>
      <c r="J84" s="46">
        <f t="shared" si="21"/>
        <v>2058</v>
      </c>
      <c r="K84" s="704"/>
      <c r="L84" s="715" t="e">
        <f t="shared" ca="1" si="15"/>
        <v>#VALUE!</v>
      </c>
      <c r="M84" s="716">
        <f t="shared" si="11"/>
        <v>0.79420000000000002</v>
      </c>
      <c r="N84" s="710" t="e">
        <f t="shared" ca="1" si="16"/>
        <v>#VALUE!</v>
      </c>
      <c r="O84" s="2">
        <f>E84*8</f>
        <v>80000</v>
      </c>
      <c r="P84" s="2"/>
      <c r="Q84" s="2"/>
    </row>
    <row r="85" spans="1:17" ht="15">
      <c r="A85" s="2"/>
      <c r="B85" s="50">
        <v>43486</v>
      </c>
      <c r="C85" s="51" t="s">
        <v>41</v>
      </c>
      <c r="D85" s="721">
        <v>25000</v>
      </c>
      <c r="E85" s="722">
        <v>10000</v>
      </c>
      <c r="F85" s="723" t="str">
        <f ca="1">IFERROR(__xludf.DUMMYFUNCTION("IMPORTRANGE(""https://docs.google.com/spreadsheets/d/1Q9mWyBKdiJ84AlcLGwupeHa20ZZ3W_OhQcxDE7uXLlI/edit#gid=1622139751"",""預約時間(only for Sandy)!E149"")"),"#REF!")</f>
        <v>#REF!</v>
      </c>
      <c r="G85" s="724" t="e">
        <f t="shared" ref="G85:G90" ca="1" si="30">D85-F85</f>
        <v>#VALUE!</v>
      </c>
      <c r="H85" s="725"/>
      <c r="I85" s="105">
        <v>8080</v>
      </c>
      <c r="J85" s="724">
        <f t="shared" si="21"/>
        <v>1920</v>
      </c>
      <c r="K85" s="722"/>
      <c r="L85" s="728" t="e">
        <f t="shared" ca="1" si="15"/>
        <v>#VALUE!</v>
      </c>
      <c r="M85" s="729">
        <f t="shared" si="11"/>
        <v>0.61561904761904762</v>
      </c>
      <c r="N85" s="718" t="e">
        <f t="shared" ca="1" si="16"/>
        <v>#VALUE!</v>
      </c>
      <c r="O85" s="693">
        <f t="shared" ref="O85:O90" si="31">D85+E85*8</f>
        <v>105000</v>
      </c>
      <c r="P85" s="2"/>
      <c r="Q85" s="2"/>
    </row>
    <row r="86" spans="1:17" ht="15">
      <c r="A86" s="2"/>
      <c r="B86" s="37">
        <v>43487</v>
      </c>
      <c r="C86" s="38" t="s">
        <v>123</v>
      </c>
      <c r="D86" s="689">
        <v>25000</v>
      </c>
      <c r="E86" s="676">
        <v>10000</v>
      </c>
      <c r="F86" s="664" t="str">
        <f ca="1">IFERROR(__xludf.DUMMYFUNCTION("IMPORTRANGE(""https://docs.google.com/spreadsheets/d/1Q9mWyBKdiJ84AlcLGwupeHa20ZZ3W_OhQcxDE7uXLlI/edit#gid=1622139751"",""預約時間(only for Sandy)!E150"")"),"#REF!")</f>
        <v>#REF!</v>
      </c>
      <c r="G86" s="690" t="e">
        <f t="shared" ca="1" si="30"/>
        <v>#VALUE!</v>
      </c>
      <c r="H86" s="717"/>
      <c r="I86" s="39">
        <v>10551</v>
      </c>
      <c r="J86" s="690">
        <f t="shared" si="21"/>
        <v>-551</v>
      </c>
      <c r="K86" s="676"/>
      <c r="L86" s="711" t="e">
        <f t="shared" ca="1" si="15"/>
        <v>#VALUE!</v>
      </c>
      <c r="M86" s="712">
        <f t="shared" si="11"/>
        <v>0.80388571428571431</v>
      </c>
      <c r="N86" s="701" t="e">
        <f t="shared" ca="1" si="16"/>
        <v>#VALUE!</v>
      </c>
      <c r="O86" s="693">
        <f t="shared" si="31"/>
        <v>105000</v>
      </c>
      <c r="P86" s="2"/>
      <c r="Q86" s="2"/>
    </row>
    <row r="87" spans="1:17" ht="15">
      <c r="A87" s="2"/>
      <c r="B87" s="37">
        <v>43488</v>
      </c>
      <c r="C87" s="38" t="s">
        <v>49</v>
      </c>
      <c r="D87" s="689">
        <v>25000</v>
      </c>
      <c r="E87" s="676">
        <v>10000</v>
      </c>
      <c r="F87" s="664" t="str">
        <f ca="1">IFERROR(__xludf.DUMMYFUNCTION("IMPORTRANGE(""https://docs.google.com/spreadsheets/d/1Q9mWyBKdiJ84AlcLGwupeHa20ZZ3W_OhQcxDE7uXLlI/edit#gid=1622139751"",""預約時間(only for Sandy)!E151"")"),"#REF!")</f>
        <v>#REF!</v>
      </c>
      <c r="G87" s="690" t="e">
        <f t="shared" ca="1" si="30"/>
        <v>#VALUE!</v>
      </c>
      <c r="H87" s="717"/>
      <c r="I87" s="39">
        <v>7359</v>
      </c>
      <c r="J87" s="690">
        <f t="shared" si="21"/>
        <v>2641</v>
      </c>
      <c r="K87" s="676"/>
      <c r="L87" s="711" t="e">
        <f t="shared" ca="1" si="15"/>
        <v>#VALUE!</v>
      </c>
      <c r="M87" s="712">
        <f t="shared" si="11"/>
        <v>0.56068571428571423</v>
      </c>
      <c r="N87" s="701" t="e">
        <f t="shared" ca="1" si="16"/>
        <v>#VALUE!</v>
      </c>
      <c r="O87" s="693">
        <f t="shared" si="31"/>
        <v>105000</v>
      </c>
      <c r="P87" s="2"/>
      <c r="Q87" s="2"/>
    </row>
    <row r="88" spans="1:17" ht="15">
      <c r="A88" s="2"/>
      <c r="B88" s="37">
        <v>43489</v>
      </c>
      <c r="C88" s="38" t="s">
        <v>124</v>
      </c>
      <c r="D88" s="689">
        <v>25000</v>
      </c>
      <c r="E88" s="676">
        <v>10000</v>
      </c>
      <c r="F88" s="664" t="str">
        <f ca="1">IFERROR(__xludf.DUMMYFUNCTION("IMPORTRANGE(""https://docs.google.com/spreadsheets/d/1Q9mWyBKdiJ84AlcLGwupeHa20ZZ3W_OhQcxDE7uXLlI/edit#gid=1622139751"",""預約時間(only for Sandy)!E152"")"),"#REF!")</f>
        <v>#REF!</v>
      </c>
      <c r="G88" s="690" t="e">
        <f t="shared" ca="1" si="30"/>
        <v>#VALUE!</v>
      </c>
      <c r="H88" s="717"/>
      <c r="I88" s="39">
        <v>12777</v>
      </c>
      <c r="J88" s="690">
        <f t="shared" si="21"/>
        <v>-2777</v>
      </c>
      <c r="K88" s="676"/>
      <c r="L88" s="711" t="e">
        <f t="shared" ca="1" si="15"/>
        <v>#VALUE!</v>
      </c>
      <c r="M88" s="712">
        <f t="shared" si="11"/>
        <v>0.97348571428571429</v>
      </c>
      <c r="N88" s="701" t="e">
        <f t="shared" ca="1" si="16"/>
        <v>#VALUE!</v>
      </c>
      <c r="O88" s="693">
        <f t="shared" si="31"/>
        <v>105000</v>
      </c>
      <c r="P88" s="2"/>
      <c r="Q88" s="2"/>
    </row>
    <row r="89" spans="1:17" ht="15">
      <c r="A89" s="2"/>
      <c r="B89" s="37">
        <v>43490</v>
      </c>
      <c r="C89" s="38" t="s">
        <v>29</v>
      </c>
      <c r="D89" s="689">
        <v>25000</v>
      </c>
      <c r="E89" s="676">
        <v>10000</v>
      </c>
      <c r="F89" s="664" t="str">
        <f ca="1">IFERROR(__xludf.DUMMYFUNCTION("IMPORTRANGE(""https://docs.google.com/spreadsheets/d/1Q9mWyBKdiJ84AlcLGwupeHa20ZZ3W_OhQcxDE7uXLlI/edit#gid=1622139751"",""預約時間(only for Sandy)!E153"")"),"#REF!")</f>
        <v>#REF!</v>
      </c>
      <c r="G89" s="690" t="e">
        <f t="shared" ca="1" si="30"/>
        <v>#VALUE!</v>
      </c>
      <c r="H89" s="717"/>
      <c r="I89" s="39">
        <v>6233</v>
      </c>
      <c r="J89" s="690">
        <f t="shared" si="21"/>
        <v>3767</v>
      </c>
      <c r="K89" s="676"/>
      <c r="L89" s="711" t="e">
        <f t="shared" ca="1" si="15"/>
        <v>#VALUE!</v>
      </c>
      <c r="M89" s="712">
        <f t="shared" si="11"/>
        <v>0.47489523809523809</v>
      </c>
      <c r="N89" s="701" t="e">
        <f t="shared" ca="1" si="16"/>
        <v>#VALUE!</v>
      </c>
      <c r="O89" s="693">
        <f t="shared" si="31"/>
        <v>105000</v>
      </c>
      <c r="P89" s="2"/>
      <c r="Q89" s="2"/>
    </row>
    <row r="90" spans="1:17" ht="15">
      <c r="A90" s="2"/>
      <c r="B90" s="37">
        <v>43491</v>
      </c>
      <c r="C90" s="38" t="s">
        <v>33</v>
      </c>
      <c r="D90" s="689">
        <v>25000</v>
      </c>
      <c r="E90" s="676">
        <v>10000</v>
      </c>
      <c r="F90" s="664" t="str">
        <f ca="1">IFERROR(__xludf.DUMMYFUNCTION("IMPORTRANGE(""https://docs.google.com/spreadsheets/d/1Q9mWyBKdiJ84AlcLGwupeHa20ZZ3W_OhQcxDE7uXLlI/edit#gid=1622139751"",""預約時間(only for Sandy)!E154"")"),"#REF!")</f>
        <v>#REF!</v>
      </c>
      <c r="G90" s="690" t="e">
        <f t="shared" ca="1" si="30"/>
        <v>#VALUE!</v>
      </c>
      <c r="H90" s="717"/>
      <c r="I90" s="39">
        <v>5660</v>
      </c>
      <c r="J90" s="690">
        <f t="shared" si="21"/>
        <v>4340</v>
      </c>
      <c r="K90" s="676"/>
      <c r="L90" s="711" t="e">
        <f t="shared" ca="1" si="15"/>
        <v>#VALUE!</v>
      </c>
      <c r="M90" s="712">
        <f t="shared" si="11"/>
        <v>0.43123809523809525</v>
      </c>
      <c r="N90" s="701" t="e">
        <f t="shared" ca="1" si="16"/>
        <v>#VALUE!</v>
      </c>
      <c r="O90" s="693">
        <f t="shared" si="31"/>
        <v>105000</v>
      </c>
      <c r="P90" s="2"/>
      <c r="Q90" s="2"/>
    </row>
    <row r="91" spans="1:17" ht="14">
      <c r="A91" s="2"/>
      <c r="B91" s="37">
        <v>43492</v>
      </c>
      <c r="C91" s="38" t="s">
        <v>37</v>
      </c>
      <c r="D91" s="703" t="s">
        <v>23</v>
      </c>
      <c r="E91" s="704">
        <v>10000</v>
      </c>
      <c r="F91" s="705" t="str">
        <f ca="1">IFERROR(__xludf.DUMMYFUNCTION("IMPORTRANGE(""https://docs.google.com/spreadsheets/d/1Q9mWyBKdiJ84AlcLGwupeHa20ZZ3W_OhQcxDE7uXLlI/edit#gid=1622139751"",""預約時間(only for Sandy)!E155"")"),"#REF!")</f>
        <v>#REF!</v>
      </c>
      <c r="G91" s="122" t="s">
        <v>23</v>
      </c>
      <c r="H91" s="719"/>
      <c r="I91" s="46">
        <v>5936</v>
      </c>
      <c r="J91" s="122">
        <f t="shared" si="21"/>
        <v>4064</v>
      </c>
      <c r="K91" s="704"/>
      <c r="L91" s="715" t="e">
        <f t="shared" ca="1" si="15"/>
        <v>#VALUE!</v>
      </c>
      <c r="M91" s="716">
        <f t="shared" si="11"/>
        <v>0.59360000000000002</v>
      </c>
      <c r="N91" s="710" t="e">
        <f t="shared" ca="1" si="16"/>
        <v>#VALUE!</v>
      </c>
      <c r="O91" s="2">
        <f>E91*8</f>
        <v>80000</v>
      </c>
      <c r="P91" s="2"/>
      <c r="Q91" s="2"/>
    </row>
    <row r="92" spans="1:17" ht="15">
      <c r="A92" s="2"/>
      <c r="B92" s="50">
        <v>43493</v>
      </c>
      <c r="C92" s="51" t="s">
        <v>41</v>
      </c>
      <c r="D92" s="721">
        <v>25000</v>
      </c>
      <c r="E92" s="722">
        <v>10000</v>
      </c>
      <c r="F92" s="723" t="str">
        <f ca="1">IFERROR(__xludf.DUMMYFUNCTION("IMPORTRANGE(""https://docs.google.com/spreadsheets/d/1Q9mWyBKdiJ84AlcLGwupeHa20ZZ3W_OhQcxDE7uXLlI/edit#gid=1622139751"",""預約時間(only for Sandy)!E156"")"),"#REF!")</f>
        <v>#REF!</v>
      </c>
      <c r="G92" s="724" t="e">
        <f t="shared" ref="G92:G97" ca="1" si="32">D92-F92</f>
        <v>#VALUE!</v>
      </c>
      <c r="H92" s="725"/>
      <c r="I92" s="105">
        <v>5294</v>
      </c>
      <c r="J92" s="732">
        <f t="shared" si="21"/>
        <v>4706</v>
      </c>
      <c r="K92" s="722"/>
      <c r="L92" s="728" t="e">
        <f t="shared" ca="1" si="15"/>
        <v>#VALUE!</v>
      </c>
      <c r="M92" s="729">
        <f t="shared" si="11"/>
        <v>0.40335238095238096</v>
      </c>
      <c r="N92" s="718" t="e">
        <f t="shared" ca="1" si="16"/>
        <v>#VALUE!</v>
      </c>
      <c r="O92" s="693">
        <f t="shared" ref="O92:O97" si="33">D92+E92*8</f>
        <v>105000</v>
      </c>
      <c r="P92" s="2"/>
      <c r="Q92" s="2"/>
    </row>
    <row r="93" spans="1:17" ht="15">
      <c r="A93" s="2"/>
      <c r="B93" s="37">
        <v>43494</v>
      </c>
      <c r="C93" s="38" t="s">
        <v>123</v>
      </c>
      <c r="D93" s="689">
        <v>25000</v>
      </c>
      <c r="E93" s="676">
        <v>10000</v>
      </c>
      <c r="F93" s="664" t="str">
        <f ca="1">IFERROR(__xludf.DUMMYFUNCTION("IMPORTRANGE(""https://docs.google.com/spreadsheets/d/1Q9mWyBKdiJ84AlcLGwupeHa20ZZ3W_OhQcxDE7uXLlI/edit#gid=1622139751"",""預約時間(only for Sandy)!E157"")"),"#REF!")</f>
        <v>#REF!</v>
      </c>
      <c r="G93" s="690" t="e">
        <f t="shared" ca="1" si="32"/>
        <v>#VALUE!</v>
      </c>
      <c r="H93" s="717"/>
      <c r="I93" s="39">
        <v>5266</v>
      </c>
      <c r="J93" s="733">
        <f t="shared" si="21"/>
        <v>4734</v>
      </c>
      <c r="K93" s="676"/>
      <c r="L93" s="711" t="e">
        <f t="shared" ca="1" si="15"/>
        <v>#VALUE!</v>
      </c>
      <c r="M93" s="712">
        <f t="shared" si="11"/>
        <v>0.40121904761904764</v>
      </c>
      <c r="N93" s="701" t="e">
        <f t="shared" ca="1" si="16"/>
        <v>#VALUE!</v>
      </c>
      <c r="O93" s="693">
        <f t="shared" si="33"/>
        <v>105000</v>
      </c>
      <c r="P93" s="2"/>
      <c r="Q93" s="2"/>
    </row>
    <row r="94" spans="1:17" ht="15">
      <c r="A94" s="2"/>
      <c r="B94" s="37">
        <v>43495</v>
      </c>
      <c r="C94" s="38" t="s">
        <v>49</v>
      </c>
      <c r="D94" s="689">
        <v>25000</v>
      </c>
      <c r="E94" s="676">
        <v>10000</v>
      </c>
      <c r="F94" s="664" t="str">
        <f ca="1">IFERROR(__xludf.DUMMYFUNCTION("IMPORTRANGE(""https://docs.google.com/spreadsheets/d/1Q9mWyBKdiJ84AlcLGwupeHa20ZZ3W_OhQcxDE7uXLlI/edit#gid=1622139751"",""預約時間(only for Sandy)!E158"")"),"#REF!")</f>
        <v>#REF!</v>
      </c>
      <c r="G94" s="690" t="e">
        <f t="shared" ca="1" si="32"/>
        <v>#VALUE!</v>
      </c>
      <c r="H94" s="717"/>
      <c r="I94" s="39">
        <v>4996</v>
      </c>
      <c r="J94" s="733">
        <f t="shared" si="21"/>
        <v>5004</v>
      </c>
      <c r="K94" s="676"/>
      <c r="L94" s="711" t="e">
        <f t="shared" ca="1" si="15"/>
        <v>#VALUE!</v>
      </c>
      <c r="M94" s="712">
        <f t="shared" si="11"/>
        <v>0.38064761904761907</v>
      </c>
      <c r="N94" s="701" t="e">
        <f t="shared" ca="1" si="16"/>
        <v>#VALUE!</v>
      </c>
      <c r="O94" s="693">
        <f t="shared" si="33"/>
        <v>105000</v>
      </c>
      <c r="P94" s="2"/>
      <c r="Q94" s="2"/>
    </row>
    <row r="95" spans="1:17" ht="15">
      <c r="A95" s="2"/>
      <c r="B95" s="37">
        <v>43496</v>
      </c>
      <c r="C95" s="38" t="s">
        <v>124</v>
      </c>
      <c r="D95" s="689">
        <v>25000</v>
      </c>
      <c r="E95" s="676">
        <v>10000</v>
      </c>
      <c r="F95" s="664" t="str">
        <f ca="1">IFERROR(__xludf.DUMMYFUNCTION("IMPORTRANGE(""https://docs.google.com/spreadsheets/d/1Q9mWyBKdiJ84AlcLGwupeHa20ZZ3W_OhQcxDE7uXLlI/edit#gid=1622139751"",""預約時間(only for Sandy)!E159"")"),"#REF!")</f>
        <v>#REF!</v>
      </c>
      <c r="G95" s="690" t="e">
        <f t="shared" ca="1" si="32"/>
        <v>#VALUE!</v>
      </c>
      <c r="H95" s="717"/>
      <c r="I95" s="39">
        <v>4887</v>
      </c>
      <c r="J95" s="733">
        <f t="shared" si="21"/>
        <v>5113</v>
      </c>
      <c r="K95" s="676"/>
      <c r="L95" s="711" t="e">
        <f t="shared" ca="1" si="15"/>
        <v>#VALUE!</v>
      </c>
      <c r="M95" s="712">
        <f t="shared" si="11"/>
        <v>0.37234285714285714</v>
      </c>
      <c r="N95" s="701" t="e">
        <f t="shared" ca="1" si="16"/>
        <v>#VALUE!</v>
      </c>
      <c r="O95" s="693">
        <f t="shared" si="33"/>
        <v>105000</v>
      </c>
      <c r="P95" s="2"/>
      <c r="Q95" s="2"/>
    </row>
    <row r="96" spans="1:17" ht="15">
      <c r="A96" s="2"/>
      <c r="B96" s="37">
        <v>43497</v>
      </c>
      <c r="C96" s="38" t="s">
        <v>29</v>
      </c>
      <c r="D96" s="689">
        <v>25000</v>
      </c>
      <c r="E96" s="676">
        <v>10000</v>
      </c>
      <c r="F96" s="664" t="str">
        <f ca="1">IFERROR(__xludf.DUMMYFUNCTION("IMPORTRANGE(""https://docs.google.com/spreadsheets/d/1Q9mWyBKdiJ84AlcLGwupeHa20ZZ3W_OhQcxDE7uXLlI/edit#gid=1622139751"",""預約時間(only for Sandy)!E160"")"),"#REF!")</f>
        <v>#REF!</v>
      </c>
      <c r="G96" s="690" t="e">
        <f t="shared" ca="1" si="32"/>
        <v>#VALUE!</v>
      </c>
      <c r="H96" s="717"/>
      <c r="I96" s="734">
        <v>3721.54662754633</v>
      </c>
      <c r="J96" s="733">
        <f t="shared" si="21"/>
        <v>6278.4533724536705</v>
      </c>
      <c r="K96" s="676"/>
      <c r="L96" s="711" t="e">
        <f t="shared" ca="1" si="15"/>
        <v>#VALUE!</v>
      </c>
      <c r="M96" s="712">
        <f t="shared" si="11"/>
        <v>0.28354640971781564</v>
      </c>
      <c r="N96" s="701" t="e">
        <f t="shared" ca="1" si="16"/>
        <v>#VALUE!</v>
      </c>
      <c r="O96" s="693">
        <f t="shared" si="33"/>
        <v>105000</v>
      </c>
      <c r="P96" s="2"/>
      <c r="Q96" s="2"/>
    </row>
    <row r="97" spans="1:17" ht="15">
      <c r="A97" s="2"/>
      <c r="B97" s="37">
        <v>43498</v>
      </c>
      <c r="C97" s="38" t="s">
        <v>33</v>
      </c>
      <c r="D97" s="689">
        <v>25000</v>
      </c>
      <c r="E97" s="676">
        <v>10000</v>
      </c>
      <c r="F97" s="664" t="str">
        <f ca="1">IFERROR(__xludf.DUMMYFUNCTION("IMPORTRANGE(""https://docs.google.com/spreadsheets/d/1Q9mWyBKdiJ84AlcLGwupeHa20ZZ3W_OhQcxDE7uXLlI/edit#gid=1622139751"",""預約時間(only for Sandy)!E161"")"),"#REF!")</f>
        <v>#REF!</v>
      </c>
      <c r="G97" s="690" t="e">
        <f t="shared" ca="1" si="32"/>
        <v>#VALUE!</v>
      </c>
      <c r="H97" s="717"/>
      <c r="I97" s="734">
        <v>3910.1243019429871</v>
      </c>
      <c r="J97" s="733">
        <f t="shared" si="21"/>
        <v>6089.8756980570124</v>
      </c>
      <c r="K97" s="676"/>
      <c r="L97" s="711" t="e">
        <f t="shared" ca="1" si="15"/>
        <v>#VALUE!</v>
      </c>
      <c r="M97" s="712">
        <f t="shared" si="11"/>
        <v>0.29791423252898952</v>
      </c>
      <c r="N97" s="701" t="e">
        <f t="shared" ca="1" si="16"/>
        <v>#VALUE!</v>
      </c>
      <c r="O97" s="693">
        <f t="shared" si="33"/>
        <v>105000</v>
      </c>
      <c r="P97" s="2"/>
      <c r="Q97" s="2"/>
    </row>
    <row r="98" spans="1:17" ht="14">
      <c r="A98" s="2"/>
      <c r="B98" s="44">
        <v>43499</v>
      </c>
      <c r="C98" s="45" t="s">
        <v>37</v>
      </c>
      <c r="D98" s="703" t="s">
        <v>23</v>
      </c>
      <c r="E98" s="704">
        <v>10000</v>
      </c>
      <c r="F98" s="705" t="str">
        <f ca="1">IFERROR(__xludf.DUMMYFUNCTION("IMPORTRANGE(""https://docs.google.com/spreadsheets/d/1Q9mWyBKdiJ84AlcLGwupeHa20ZZ3W_OhQcxDE7uXLlI/edit#gid=1622139751"",""預約時間(only for Sandy)!E162"")"),"#REF!")</f>
        <v>#REF!</v>
      </c>
      <c r="G98" s="122" t="s">
        <v>23</v>
      </c>
      <c r="H98" s="719"/>
      <c r="I98" s="735">
        <v>4197.7642104593615</v>
      </c>
      <c r="J98" s="735">
        <f t="shared" si="21"/>
        <v>5802.2357895406385</v>
      </c>
      <c r="K98" s="704"/>
      <c r="L98" s="715" t="e">
        <f t="shared" ca="1" si="15"/>
        <v>#VALUE!</v>
      </c>
      <c r="M98" s="716">
        <f t="shared" si="11"/>
        <v>0.41977642104593615</v>
      </c>
      <c r="N98" s="710" t="e">
        <f t="shared" ca="1" si="16"/>
        <v>#VALUE!</v>
      </c>
      <c r="O98" s="2">
        <f>E98*8</f>
        <v>80000</v>
      </c>
      <c r="P98" s="2"/>
      <c r="Q98" s="2"/>
    </row>
    <row r="99" spans="1:17" ht="14">
      <c r="A99" s="2"/>
      <c r="B99" s="50">
        <v>43500</v>
      </c>
      <c r="C99" s="51" t="s">
        <v>41</v>
      </c>
      <c r="D99" s="721" t="s">
        <v>23</v>
      </c>
      <c r="E99" s="722"/>
      <c r="F99" s="664">
        <v>0</v>
      </c>
      <c r="G99" s="727"/>
      <c r="H99" s="725"/>
      <c r="I99" s="736">
        <v>3430.6414571719743</v>
      </c>
      <c r="J99" s="732"/>
      <c r="K99" s="722"/>
      <c r="L99" s="728"/>
      <c r="M99" s="729"/>
      <c r="N99" s="718"/>
      <c r="O99" s="2"/>
      <c r="P99" s="2"/>
      <c r="Q99" s="2"/>
    </row>
    <row r="100" spans="1:17" ht="14">
      <c r="A100" s="2"/>
      <c r="B100" s="37">
        <v>43501</v>
      </c>
      <c r="C100" s="38" t="s">
        <v>123</v>
      </c>
      <c r="D100" s="689" t="s">
        <v>23</v>
      </c>
      <c r="E100" s="676"/>
      <c r="F100" s="664">
        <v>0</v>
      </c>
      <c r="G100" s="118"/>
      <c r="H100" s="717"/>
      <c r="I100" s="734">
        <v>3548.3800975110998</v>
      </c>
      <c r="J100" s="733"/>
      <c r="K100" s="676"/>
      <c r="L100" s="711"/>
      <c r="M100" s="712"/>
      <c r="N100" s="701"/>
      <c r="O100" s="2"/>
      <c r="P100" s="2"/>
      <c r="Q100" s="2"/>
    </row>
    <row r="101" spans="1:17" ht="14">
      <c r="A101" s="2"/>
      <c r="B101" s="37">
        <v>43502</v>
      </c>
      <c r="C101" s="38" t="s">
        <v>49</v>
      </c>
      <c r="D101" s="689" t="s">
        <v>23</v>
      </c>
      <c r="E101" s="676"/>
      <c r="F101" s="664">
        <v>0</v>
      </c>
      <c r="G101" s="118"/>
      <c r="H101" s="717"/>
      <c r="I101" s="734">
        <v>3289.1895839866497</v>
      </c>
      <c r="J101" s="733"/>
      <c r="K101" s="676"/>
      <c r="L101" s="711"/>
      <c r="M101" s="712"/>
      <c r="N101" s="701"/>
      <c r="O101" s="2"/>
      <c r="P101" s="2"/>
      <c r="Q101" s="2"/>
    </row>
    <row r="102" spans="1:17" ht="14">
      <c r="A102" s="2"/>
      <c r="B102" s="37">
        <v>43503</v>
      </c>
      <c r="C102" s="38" t="s">
        <v>124</v>
      </c>
      <c r="D102" s="689" t="s">
        <v>23</v>
      </c>
      <c r="E102" s="676"/>
      <c r="F102" s="664">
        <v>410</v>
      </c>
      <c r="G102" s="118"/>
      <c r="H102" s="717"/>
      <c r="I102" s="734">
        <v>3902.4030252990624</v>
      </c>
      <c r="J102" s="733"/>
      <c r="K102" s="676"/>
      <c r="L102" s="711"/>
      <c r="M102" s="712"/>
      <c r="N102" s="701"/>
      <c r="O102" s="2"/>
      <c r="P102" s="2"/>
      <c r="Q102" s="2"/>
    </row>
    <row r="103" spans="1:17" ht="14">
      <c r="A103" s="2"/>
      <c r="B103" s="37">
        <v>43504</v>
      </c>
      <c r="C103" s="38" t="s">
        <v>29</v>
      </c>
      <c r="D103" s="689" t="s">
        <v>23</v>
      </c>
      <c r="E103" s="676"/>
      <c r="F103" s="664">
        <v>0</v>
      </c>
      <c r="G103" s="118"/>
      <c r="H103" s="717"/>
      <c r="I103" s="734">
        <v>3520.1462589415787</v>
      </c>
      <c r="J103" s="733"/>
      <c r="K103" s="676"/>
      <c r="L103" s="711"/>
      <c r="M103" s="712"/>
      <c r="N103" s="701"/>
      <c r="O103" s="2"/>
      <c r="P103" s="2"/>
      <c r="Q103" s="2"/>
    </row>
    <row r="104" spans="1:17" ht="14">
      <c r="A104" s="2"/>
      <c r="B104" s="37">
        <v>43505</v>
      </c>
      <c r="C104" s="38" t="s">
        <v>33</v>
      </c>
      <c r="D104" s="689" t="s">
        <v>23</v>
      </c>
      <c r="E104" s="676"/>
      <c r="F104" s="664">
        <v>0</v>
      </c>
      <c r="G104" s="118"/>
      <c r="H104" s="717"/>
      <c r="I104" s="734">
        <v>3375.3227388249379</v>
      </c>
      <c r="J104" s="733"/>
      <c r="K104" s="676"/>
      <c r="L104" s="737"/>
      <c r="M104" s="712"/>
      <c r="N104" s="701"/>
      <c r="O104" s="2"/>
      <c r="P104" s="2"/>
      <c r="Q104" s="2"/>
    </row>
    <row r="105" spans="1:17" ht="14">
      <c r="A105" s="2"/>
      <c r="B105" s="44">
        <v>43506</v>
      </c>
      <c r="C105" s="45" t="s">
        <v>37</v>
      </c>
      <c r="D105" s="703" t="s">
        <v>23</v>
      </c>
      <c r="E105" s="704"/>
      <c r="F105" s="664">
        <v>0</v>
      </c>
      <c r="G105" s="118"/>
      <c r="H105" s="719"/>
      <c r="I105" s="734">
        <v>3827.0003248932908</v>
      </c>
      <c r="J105" s="734"/>
      <c r="K105" s="704"/>
      <c r="L105" s="715"/>
      <c r="M105" s="716"/>
      <c r="N105" s="710"/>
      <c r="O105" s="2"/>
      <c r="P105" s="2"/>
      <c r="Q105" s="2"/>
    </row>
    <row r="106" spans="1:17" ht="14">
      <c r="A106" s="2"/>
      <c r="B106" s="68">
        <v>43507</v>
      </c>
      <c r="C106" s="51" t="s">
        <v>41</v>
      </c>
      <c r="D106" s="721">
        <v>25000</v>
      </c>
      <c r="E106" s="722">
        <v>10000</v>
      </c>
      <c r="F106" s="723" t="str">
        <f ca="1">IFERROR(__xludf.DUMMYFUNCTION("IMPORTRANGE(""https://docs.google.com/spreadsheets/d/1Q9mWyBKdiJ84AlcLGwupeHa20ZZ3W_OhQcxDE7uXLlI/edit#gid=1384952719"",""InboundSummary!F7"")"),"#REF!")</f>
        <v>#REF!</v>
      </c>
      <c r="G106" s="727" t="e">
        <f t="shared" ref="G106:G111" ca="1" si="34">D106-F106</f>
        <v>#VALUE!</v>
      </c>
      <c r="H106" s="725"/>
      <c r="I106" s="734">
        <v>5736.9644697213371</v>
      </c>
      <c r="J106" s="734">
        <f t="shared" ref="J106:J112" si="35">E106-I106</f>
        <v>4263.0355302786629</v>
      </c>
      <c r="K106" s="722"/>
      <c r="L106" s="728" t="e">
        <f t="shared" ref="L106:L126" ca="1" si="36">F106/O106</f>
        <v>#VALUE!</v>
      </c>
      <c r="M106" s="729">
        <f t="shared" ref="M106:M126" si="37">I106*8/O106</f>
        <v>0.43710205483591141</v>
      </c>
      <c r="N106" s="718" t="e">
        <f t="shared" ref="N106:N126" ca="1" si="38">SUM(L106:M106)</f>
        <v>#VALUE!</v>
      </c>
      <c r="O106" s="693">
        <f t="shared" ref="O106:O111" si="39">D106+E106*8</f>
        <v>105000</v>
      </c>
      <c r="P106" s="2"/>
      <c r="Q106" s="2"/>
    </row>
    <row r="107" spans="1:17" ht="14">
      <c r="A107" s="2"/>
      <c r="B107" s="73">
        <v>43508</v>
      </c>
      <c r="C107" s="38" t="s">
        <v>123</v>
      </c>
      <c r="D107" s="689">
        <v>25000</v>
      </c>
      <c r="E107" s="676">
        <v>10000</v>
      </c>
      <c r="F107" s="664" t="str">
        <f ca="1">IFERROR(__xludf.DUMMYFUNCTION("IMPORTRANGE(""https://docs.google.com/spreadsheets/d/1Q9mWyBKdiJ84AlcLGwupeHa20ZZ3W_OhQcxDE7uXLlI/edit#gid=1384952719"",""InboundSummary!F8"")"),"#REF!")</f>
        <v>#REF!</v>
      </c>
      <c r="G107" s="118" t="e">
        <f t="shared" ca="1" si="34"/>
        <v>#VALUE!</v>
      </c>
      <c r="H107" s="717"/>
      <c r="I107" s="734">
        <v>6571.9018722084465</v>
      </c>
      <c r="J107" s="734">
        <f t="shared" si="35"/>
        <v>3428.0981277915535</v>
      </c>
      <c r="K107" s="676"/>
      <c r="L107" s="711" t="e">
        <f t="shared" ca="1" si="36"/>
        <v>#VALUE!</v>
      </c>
      <c r="M107" s="712">
        <f t="shared" si="37"/>
        <v>0.50071633312064356</v>
      </c>
      <c r="N107" s="701" t="e">
        <f t="shared" ca="1" si="38"/>
        <v>#VALUE!</v>
      </c>
      <c r="O107" s="693">
        <f t="shared" si="39"/>
        <v>105000</v>
      </c>
      <c r="P107" s="2"/>
      <c r="Q107" s="2"/>
    </row>
    <row r="108" spans="1:17" ht="14">
      <c r="A108" s="2"/>
      <c r="B108" s="73">
        <v>43509</v>
      </c>
      <c r="C108" s="38" t="s">
        <v>49</v>
      </c>
      <c r="D108" s="689">
        <v>25000</v>
      </c>
      <c r="E108" s="676">
        <v>10000</v>
      </c>
      <c r="F108" s="664" t="str">
        <f ca="1">IFERROR(__xludf.DUMMYFUNCTION("IMPORTRANGE(""https://docs.google.com/spreadsheets/d/1Q9mWyBKdiJ84AlcLGwupeHa20ZZ3W_OhQcxDE7uXLlI/edit#gid=1384952719"",""InboundSummary!F9"")"),"#REF!")</f>
        <v>#REF!</v>
      </c>
      <c r="G108" s="118" t="e">
        <f t="shared" ca="1" si="34"/>
        <v>#VALUE!</v>
      </c>
      <c r="H108" s="717"/>
      <c r="I108" s="734">
        <v>4423.1417891817446</v>
      </c>
      <c r="J108" s="734">
        <f t="shared" si="35"/>
        <v>5576.8582108182554</v>
      </c>
      <c r="K108" s="676"/>
      <c r="L108" s="711" t="e">
        <f t="shared" ca="1" si="36"/>
        <v>#VALUE!</v>
      </c>
      <c r="M108" s="712">
        <f t="shared" si="37"/>
        <v>0.33700127917575196</v>
      </c>
      <c r="N108" s="701" t="e">
        <f t="shared" ca="1" si="38"/>
        <v>#VALUE!</v>
      </c>
      <c r="O108" s="693">
        <f t="shared" si="39"/>
        <v>105000</v>
      </c>
      <c r="P108" s="2"/>
      <c r="Q108" s="2"/>
    </row>
    <row r="109" spans="1:17" ht="14">
      <c r="A109" s="2"/>
      <c r="B109" s="73">
        <v>43510</v>
      </c>
      <c r="C109" s="38" t="s">
        <v>124</v>
      </c>
      <c r="D109" s="689">
        <v>0</v>
      </c>
      <c r="E109" s="676">
        <v>10000</v>
      </c>
      <c r="F109" s="664" t="str">
        <f ca="1">IFERROR(__xludf.DUMMYFUNCTION("IMPORTRANGE(""https://docs.google.com/spreadsheets/d/1Q9mWyBKdiJ84AlcLGwupeHa20ZZ3W_OhQcxDE7uXLlI/edit#gid=1384952719"",""InboundSummary!F10"")"),"#REF!")</f>
        <v>#REF!</v>
      </c>
      <c r="G109" s="118" t="e">
        <f t="shared" ca="1" si="34"/>
        <v>#VALUE!</v>
      </c>
      <c r="H109" s="717"/>
      <c r="I109" s="734">
        <v>6861.4750812529528</v>
      </c>
      <c r="J109" s="734">
        <f t="shared" si="35"/>
        <v>3138.5249187470472</v>
      </c>
      <c r="K109" s="676"/>
      <c r="L109" s="711" t="e">
        <f t="shared" ca="1" si="36"/>
        <v>#VALUE!</v>
      </c>
      <c r="M109" s="712">
        <f t="shared" si="37"/>
        <v>0.68614750812529524</v>
      </c>
      <c r="N109" s="701" t="e">
        <f t="shared" ca="1" si="38"/>
        <v>#VALUE!</v>
      </c>
      <c r="O109" s="693">
        <f t="shared" si="39"/>
        <v>80000</v>
      </c>
      <c r="P109" s="2"/>
      <c r="Q109" s="2"/>
    </row>
    <row r="110" spans="1:17" ht="14">
      <c r="A110" s="2"/>
      <c r="B110" s="73">
        <v>43511</v>
      </c>
      <c r="C110" s="38" t="s">
        <v>29</v>
      </c>
      <c r="D110" s="689">
        <v>25000</v>
      </c>
      <c r="E110" s="676">
        <v>10000</v>
      </c>
      <c r="F110" s="664" t="str">
        <f ca="1">IFERROR(__xludf.DUMMYFUNCTION("IMPORTRANGE(""https://docs.google.com/spreadsheets/d/1Q9mWyBKdiJ84AlcLGwupeHa20ZZ3W_OhQcxDE7uXLlI/edit#gid=1384952719"",""InboundSummary!F11"")"),"#REF!")</f>
        <v>#REF!</v>
      </c>
      <c r="G110" s="118" t="e">
        <f t="shared" ca="1" si="34"/>
        <v>#VALUE!</v>
      </c>
      <c r="H110" s="717"/>
      <c r="I110" s="734">
        <v>6762.701904814503</v>
      </c>
      <c r="J110" s="734">
        <f t="shared" si="35"/>
        <v>3237.298095185497</v>
      </c>
      <c r="K110" s="676"/>
      <c r="L110" s="711" t="e">
        <f t="shared" ca="1" si="36"/>
        <v>#VALUE!</v>
      </c>
      <c r="M110" s="712">
        <f t="shared" si="37"/>
        <v>0.51525347846205738</v>
      </c>
      <c r="N110" s="701" t="e">
        <f t="shared" ca="1" si="38"/>
        <v>#VALUE!</v>
      </c>
      <c r="O110" s="693">
        <f t="shared" si="39"/>
        <v>105000</v>
      </c>
      <c r="P110" s="2"/>
      <c r="Q110" s="2"/>
    </row>
    <row r="111" spans="1:17" ht="14">
      <c r="A111" s="2"/>
      <c r="B111" s="73">
        <v>43512</v>
      </c>
      <c r="C111" s="38" t="s">
        <v>33</v>
      </c>
      <c r="D111" s="689">
        <v>25000</v>
      </c>
      <c r="E111" s="676">
        <v>10000</v>
      </c>
      <c r="F111" s="664" t="str">
        <f ca="1">IFERROR(__xludf.DUMMYFUNCTION("IMPORTRANGE(""https://docs.google.com/spreadsheets/d/1Q9mWyBKdiJ84AlcLGwupeHa20ZZ3W_OhQcxDE7uXLlI/edit#gid=1384952719"",""InboundSummary!F12"")"),"#REF!")</f>
        <v>#REF!</v>
      </c>
      <c r="G111" s="118" t="e">
        <f t="shared" ca="1" si="34"/>
        <v>#VALUE!</v>
      </c>
      <c r="H111" s="717"/>
      <c r="I111" s="734">
        <v>5603.1284798247907</v>
      </c>
      <c r="J111" s="734">
        <f t="shared" si="35"/>
        <v>4396.8715201752093</v>
      </c>
      <c r="K111" s="676"/>
      <c r="L111" s="711" t="e">
        <f t="shared" ca="1" si="36"/>
        <v>#VALUE!</v>
      </c>
      <c r="M111" s="712">
        <f t="shared" si="37"/>
        <v>0.42690502703426975</v>
      </c>
      <c r="N111" s="701" t="e">
        <f t="shared" ca="1" si="38"/>
        <v>#VALUE!</v>
      </c>
      <c r="O111" s="693">
        <f t="shared" si="39"/>
        <v>105000</v>
      </c>
      <c r="P111" s="738"/>
      <c r="Q111" s="2"/>
    </row>
    <row r="112" spans="1:17" ht="14">
      <c r="A112" s="2"/>
      <c r="B112" s="73">
        <v>43513</v>
      </c>
      <c r="C112" s="38" t="s">
        <v>37</v>
      </c>
      <c r="D112" s="689" t="s">
        <v>23</v>
      </c>
      <c r="E112" s="676">
        <v>10000</v>
      </c>
      <c r="F112" s="664" t="str">
        <f ca="1">IFERROR(__xludf.DUMMYFUNCTION("IMPORTRANGE(""https://docs.google.com/spreadsheets/d/1Q9mWyBKdiJ84AlcLGwupeHa20ZZ3W_OhQcxDE7uXLlI/edit#gid=1384952719"",""InboundSummary!F13"")"),"#REF!")</f>
        <v>#REF!</v>
      </c>
      <c r="G112" s="118" t="s">
        <v>23</v>
      </c>
      <c r="H112" s="717"/>
      <c r="I112" s="734">
        <v>4141.5797257830809</v>
      </c>
      <c r="J112" s="734">
        <f t="shared" si="35"/>
        <v>5858.4202742169191</v>
      </c>
      <c r="K112" s="676"/>
      <c r="L112" s="711" t="e">
        <f t="shared" ca="1" si="36"/>
        <v>#VALUE!</v>
      </c>
      <c r="M112" s="712">
        <f t="shared" si="37"/>
        <v>0.41415797257830811</v>
      </c>
      <c r="N112" s="701" t="e">
        <f t="shared" ca="1" si="38"/>
        <v>#VALUE!</v>
      </c>
      <c r="O112" s="2">
        <f>E112*8</f>
        <v>80000</v>
      </c>
      <c r="P112" s="738"/>
      <c r="Q112" s="2"/>
    </row>
    <row r="113" spans="1:17" ht="13">
      <c r="A113" s="2"/>
      <c r="B113" s="739">
        <v>43514</v>
      </c>
      <c r="C113" s="740" t="s">
        <v>41</v>
      </c>
      <c r="D113" s="741">
        <v>25000</v>
      </c>
      <c r="E113" s="742">
        <v>8000</v>
      </c>
      <c r="F113" s="741">
        <v>0</v>
      </c>
      <c r="G113" s="743">
        <v>800</v>
      </c>
      <c r="H113" s="744" t="str">
        <f t="shared" ref="H113:H126" si="40">IFERROR(G113/F113,"-")</f>
        <v>-</v>
      </c>
      <c r="I113" s="745">
        <v>8470.2730448717957</v>
      </c>
      <c r="J113" s="745">
        <v>8854</v>
      </c>
      <c r="K113" s="746">
        <f t="shared" ref="K113:K126" si="41">IFERROR(J113/I113,"-")</f>
        <v>1.0453027845850289</v>
      </c>
      <c r="L113" s="747">
        <f t="shared" si="36"/>
        <v>0</v>
      </c>
      <c r="M113" s="748">
        <f t="shared" si="37"/>
        <v>0.76137285796600407</v>
      </c>
      <c r="N113" s="749">
        <f t="shared" si="38"/>
        <v>0.76137285796600407</v>
      </c>
      <c r="O113" s="693">
        <f t="shared" ref="O113:O118" si="42">D113+E113*8</f>
        <v>89000</v>
      </c>
      <c r="P113" s="750"/>
      <c r="Q113" s="2"/>
    </row>
    <row r="114" spans="1:17" ht="13">
      <c r="A114" s="2"/>
      <c r="B114" s="751">
        <v>43515</v>
      </c>
      <c r="C114" s="752" t="s">
        <v>123</v>
      </c>
      <c r="D114" s="753">
        <v>25000</v>
      </c>
      <c r="E114" s="754">
        <v>8000</v>
      </c>
      <c r="F114" s="753">
        <v>0</v>
      </c>
      <c r="G114" s="755">
        <v>701</v>
      </c>
      <c r="H114" s="756" t="str">
        <f t="shared" si="40"/>
        <v>-</v>
      </c>
      <c r="I114" s="757">
        <v>7560.0897147435899</v>
      </c>
      <c r="J114" s="757">
        <v>9024</v>
      </c>
      <c r="K114" s="758">
        <f t="shared" si="41"/>
        <v>1.1936366287296183</v>
      </c>
      <c r="L114" s="759">
        <f t="shared" si="36"/>
        <v>0</v>
      </c>
      <c r="M114" s="760">
        <f t="shared" si="37"/>
        <v>0.67955862604436768</v>
      </c>
      <c r="N114" s="761">
        <f t="shared" si="38"/>
        <v>0.67955862604436768</v>
      </c>
      <c r="O114" s="693">
        <f t="shared" si="42"/>
        <v>89000</v>
      </c>
      <c r="P114" s="750"/>
      <c r="Q114" s="2"/>
    </row>
    <row r="115" spans="1:17" ht="13">
      <c r="A115" s="2"/>
      <c r="B115" s="751">
        <v>43516</v>
      </c>
      <c r="C115" s="752" t="s">
        <v>49</v>
      </c>
      <c r="D115" s="753">
        <v>25000</v>
      </c>
      <c r="E115" s="754">
        <v>8000</v>
      </c>
      <c r="F115" s="753">
        <v>0</v>
      </c>
      <c r="G115" s="755">
        <v>43</v>
      </c>
      <c r="H115" s="756" t="str">
        <f t="shared" si="40"/>
        <v>-</v>
      </c>
      <c r="I115" s="757">
        <v>7513.6286794871812</v>
      </c>
      <c r="J115" s="757">
        <v>13690</v>
      </c>
      <c r="K115" s="758">
        <f t="shared" si="41"/>
        <v>1.8220224320340472</v>
      </c>
      <c r="L115" s="759">
        <f t="shared" si="36"/>
        <v>0</v>
      </c>
      <c r="M115" s="760">
        <f t="shared" si="37"/>
        <v>0.67538235321233087</v>
      </c>
      <c r="N115" s="761">
        <f t="shared" si="38"/>
        <v>0.67538235321233087</v>
      </c>
      <c r="O115" s="693">
        <f t="shared" si="42"/>
        <v>89000</v>
      </c>
      <c r="P115" s="750"/>
      <c r="Q115" s="2"/>
    </row>
    <row r="116" spans="1:17" ht="13">
      <c r="A116" s="2"/>
      <c r="B116" s="751">
        <v>43517</v>
      </c>
      <c r="C116" s="752" t="s">
        <v>124</v>
      </c>
      <c r="D116" s="753">
        <v>25000</v>
      </c>
      <c r="E116" s="754">
        <v>8000</v>
      </c>
      <c r="F116" s="753">
        <v>0</v>
      </c>
      <c r="G116" s="755">
        <v>1330</v>
      </c>
      <c r="H116" s="756" t="str">
        <f t="shared" si="40"/>
        <v>-</v>
      </c>
      <c r="I116" s="757">
        <v>5031.7270769230763</v>
      </c>
      <c r="J116" s="757">
        <v>4828</v>
      </c>
      <c r="K116" s="758">
        <f t="shared" si="41"/>
        <v>0.95951150096009252</v>
      </c>
      <c r="L116" s="759">
        <f t="shared" si="36"/>
        <v>0</v>
      </c>
      <c r="M116" s="760">
        <f t="shared" si="37"/>
        <v>0.45229007433016416</v>
      </c>
      <c r="N116" s="761">
        <f t="shared" si="38"/>
        <v>0.45229007433016416</v>
      </c>
      <c r="O116" s="693">
        <f t="shared" si="42"/>
        <v>89000</v>
      </c>
      <c r="P116" s="750"/>
      <c r="Q116" s="2"/>
    </row>
    <row r="117" spans="1:17" ht="13">
      <c r="A117" s="2"/>
      <c r="B117" s="751">
        <v>43518</v>
      </c>
      <c r="C117" s="752" t="s">
        <v>29</v>
      </c>
      <c r="D117" s="753">
        <v>25000</v>
      </c>
      <c r="E117" s="754">
        <v>8000</v>
      </c>
      <c r="F117" s="762">
        <v>28000</v>
      </c>
      <c r="G117" s="755">
        <v>22341</v>
      </c>
      <c r="H117" s="758">
        <f t="shared" si="40"/>
        <v>0.79789285714285718</v>
      </c>
      <c r="I117" s="757">
        <v>4857.688006410257</v>
      </c>
      <c r="J117" s="757">
        <v>4915</v>
      </c>
      <c r="K117" s="758">
        <f t="shared" si="41"/>
        <v>1.0117982039015503</v>
      </c>
      <c r="L117" s="759">
        <f t="shared" si="36"/>
        <v>0.3146067415730337</v>
      </c>
      <c r="M117" s="760">
        <f t="shared" si="37"/>
        <v>0.43664611293575345</v>
      </c>
      <c r="N117" s="761">
        <f t="shared" si="38"/>
        <v>0.75125285450878709</v>
      </c>
      <c r="O117" s="693">
        <f t="shared" si="42"/>
        <v>89000</v>
      </c>
      <c r="P117" s="750"/>
      <c r="Q117" s="2"/>
    </row>
    <row r="118" spans="1:17" ht="13">
      <c r="A118" s="2"/>
      <c r="B118" s="751">
        <v>43519</v>
      </c>
      <c r="C118" s="752" t="s">
        <v>33</v>
      </c>
      <c r="D118" s="753">
        <v>25000</v>
      </c>
      <c r="E118" s="754">
        <v>8000</v>
      </c>
      <c r="F118" s="762">
        <v>20000</v>
      </c>
      <c r="G118" s="755">
        <v>22440</v>
      </c>
      <c r="H118" s="758">
        <f t="shared" si="40"/>
        <v>1.1220000000000001</v>
      </c>
      <c r="I118" s="757">
        <v>5012.2504903846166</v>
      </c>
      <c r="J118" s="763"/>
      <c r="K118" s="758">
        <f t="shared" si="41"/>
        <v>0</v>
      </c>
      <c r="L118" s="759">
        <f t="shared" si="36"/>
        <v>0.2247191011235955</v>
      </c>
      <c r="M118" s="760">
        <f t="shared" si="37"/>
        <v>0.45053936992221272</v>
      </c>
      <c r="N118" s="761">
        <f t="shared" si="38"/>
        <v>0.67525847104580827</v>
      </c>
      <c r="O118" s="693">
        <f t="shared" si="42"/>
        <v>89000</v>
      </c>
      <c r="P118" s="2"/>
      <c r="Q118" s="2"/>
    </row>
    <row r="119" spans="1:17" ht="13">
      <c r="A119" s="2"/>
      <c r="B119" s="764">
        <v>43520</v>
      </c>
      <c r="C119" s="765" t="s">
        <v>37</v>
      </c>
      <c r="D119" s="766">
        <v>0</v>
      </c>
      <c r="E119" s="767">
        <v>8000</v>
      </c>
      <c r="F119" s="766">
        <v>0</v>
      </c>
      <c r="G119" s="768">
        <v>0</v>
      </c>
      <c r="H119" s="769" t="str">
        <f t="shared" si="40"/>
        <v>-</v>
      </c>
      <c r="I119" s="770">
        <v>5023.2535544871798</v>
      </c>
      <c r="J119" s="771"/>
      <c r="K119" s="772">
        <f t="shared" si="41"/>
        <v>0</v>
      </c>
      <c r="L119" s="773">
        <f t="shared" si="36"/>
        <v>0</v>
      </c>
      <c r="M119" s="774">
        <f t="shared" si="37"/>
        <v>0.62790669431089752</v>
      </c>
      <c r="N119" s="775">
        <f t="shared" si="38"/>
        <v>0.62790669431089752</v>
      </c>
      <c r="O119" s="2">
        <f>E119*8</f>
        <v>64000</v>
      </c>
      <c r="P119" s="2"/>
      <c r="Q119" s="2"/>
    </row>
    <row r="120" spans="1:17" ht="13">
      <c r="A120" s="2"/>
      <c r="B120" s="739">
        <v>43521</v>
      </c>
      <c r="C120" s="740" t="s">
        <v>41</v>
      </c>
      <c r="D120" s="741">
        <v>25000</v>
      </c>
      <c r="E120" s="742">
        <v>8000</v>
      </c>
      <c r="F120" s="741"/>
      <c r="G120" s="743"/>
      <c r="H120" s="744" t="str">
        <f t="shared" si="40"/>
        <v>-</v>
      </c>
      <c r="I120" s="745"/>
      <c r="J120" s="745"/>
      <c r="K120" s="746" t="str">
        <f t="shared" si="41"/>
        <v>-</v>
      </c>
      <c r="L120" s="747">
        <f t="shared" si="36"/>
        <v>0</v>
      </c>
      <c r="M120" s="748">
        <f t="shared" si="37"/>
        <v>0</v>
      </c>
      <c r="N120" s="749">
        <f t="shared" si="38"/>
        <v>0</v>
      </c>
      <c r="O120" s="693">
        <f t="shared" ref="O120:O125" si="43">D120+E120*8</f>
        <v>89000</v>
      </c>
      <c r="P120" s="2"/>
      <c r="Q120" s="2"/>
    </row>
    <row r="121" spans="1:17" ht="13">
      <c r="A121" s="2"/>
      <c r="B121" s="751">
        <v>43522</v>
      </c>
      <c r="C121" s="752" t="s">
        <v>123</v>
      </c>
      <c r="D121" s="753">
        <v>25000</v>
      </c>
      <c r="E121" s="754">
        <v>8000</v>
      </c>
      <c r="F121" s="753"/>
      <c r="G121" s="755"/>
      <c r="H121" s="756" t="str">
        <f t="shared" si="40"/>
        <v>-</v>
      </c>
      <c r="I121" s="757"/>
      <c r="J121" s="757"/>
      <c r="K121" s="758" t="str">
        <f t="shared" si="41"/>
        <v>-</v>
      </c>
      <c r="L121" s="759">
        <f t="shared" si="36"/>
        <v>0</v>
      </c>
      <c r="M121" s="760">
        <f t="shared" si="37"/>
        <v>0</v>
      </c>
      <c r="N121" s="761">
        <f t="shared" si="38"/>
        <v>0</v>
      </c>
      <c r="O121" s="693">
        <f t="shared" si="43"/>
        <v>89000</v>
      </c>
      <c r="P121" s="2"/>
      <c r="Q121" s="2"/>
    </row>
    <row r="122" spans="1:17" ht="13">
      <c r="A122" s="2"/>
      <c r="B122" s="751">
        <v>43523</v>
      </c>
      <c r="C122" s="752" t="s">
        <v>49</v>
      </c>
      <c r="D122" s="753">
        <v>25000</v>
      </c>
      <c r="E122" s="754">
        <v>8000</v>
      </c>
      <c r="F122" s="753"/>
      <c r="G122" s="755"/>
      <c r="H122" s="756" t="str">
        <f t="shared" si="40"/>
        <v>-</v>
      </c>
      <c r="I122" s="757"/>
      <c r="J122" s="757"/>
      <c r="K122" s="758" t="str">
        <f t="shared" si="41"/>
        <v>-</v>
      </c>
      <c r="L122" s="759">
        <f t="shared" si="36"/>
        <v>0</v>
      </c>
      <c r="M122" s="760">
        <f t="shared" si="37"/>
        <v>0</v>
      </c>
      <c r="N122" s="761">
        <f t="shared" si="38"/>
        <v>0</v>
      </c>
      <c r="O122" s="693">
        <f t="shared" si="43"/>
        <v>89000</v>
      </c>
      <c r="P122" s="2"/>
      <c r="Q122" s="2"/>
    </row>
    <row r="123" spans="1:17" ht="13">
      <c r="A123" s="2"/>
      <c r="B123" s="751">
        <v>43524</v>
      </c>
      <c r="C123" s="752" t="s">
        <v>124</v>
      </c>
      <c r="D123" s="753">
        <v>25000</v>
      </c>
      <c r="E123" s="754">
        <v>8000</v>
      </c>
      <c r="F123" s="753"/>
      <c r="G123" s="755"/>
      <c r="H123" s="756" t="str">
        <f t="shared" si="40"/>
        <v>-</v>
      </c>
      <c r="I123" s="757"/>
      <c r="J123" s="757"/>
      <c r="K123" s="758" t="str">
        <f t="shared" si="41"/>
        <v>-</v>
      </c>
      <c r="L123" s="759">
        <f t="shared" si="36"/>
        <v>0</v>
      </c>
      <c r="M123" s="760">
        <f t="shared" si="37"/>
        <v>0</v>
      </c>
      <c r="N123" s="761">
        <f t="shared" si="38"/>
        <v>0</v>
      </c>
      <c r="O123" s="693">
        <f t="shared" si="43"/>
        <v>89000</v>
      </c>
      <c r="P123" s="2"/>
      <c r="Q123" s="2"/>
    </row>
    <row r="124" spans="1:17" ht="13">
      <c r="A124" s="2"/>
      <c r="B124" s="751">
        <v>43525</v>
      </c>
      <c r="C124" s="752" t="s">
        <v>29</v>
      </c>
      <c r="D124" s="753">
        <v>25000</v>
      </c>
      <c r="E124" s="754">
        <v>8000</v>
      </c>
      <c r="F124" s="762"/>
      <c r="G124" s="755"/>
      <c r="H124" s="758" t="str">
        <f t="shared" si="40"/>
        <v>-</v>
      </c>
      <c r="I124" s="757"/>
      <c r="J124" s="757"/>
      <c r="K124" s="758" t="str">
        <f t="shared" si="41"/>
        <v>-</v>
      </c>
      <c r="L124" s="759">
        <f t="shared" si="36"/>
        <v>0</v>
      </c>
      <c r="M124" s="760">
        <f t="shared" si="37"/>
        <v>0</v>
      </c>
      <c r="N124" s="761">
        <f t="shared" si="38"/>
        <v>0</v>
      </c>
      <c r="O124" s="693">
        <f t="shared" si="43"/>
        <v>89000</v>
      </c>
      <c r="P124" s="2"/>
      <c r="Q124" s="2"/>
    </row>
    <row r="125" spans="1:17" ht="13">
      <c r="A125" s="2"/>
      <c r="B125" s="751">
        <v>43526</v>
      </c>
      <c r="C125" s="752" t="s">
        <v>33</v>
      </c>
      <c r="D125" s="753">
        <v>25000</v>
      </c>
      <c r="E125" s="754">
        <v>8000</v>
      </c>
      <c r="F125" s="762"/>
      <c r="G125" s="755"/>
      <c r="H125" s="758" t="str">
        <f t="shared" si="40"/>
        <v>-</v>
      </c>
      <c r="I125" s="757"/>
      <c r="J125" s="763"/>
      <c r="K125" s="758" t="str">
        <f t="shared" si="41"/>
        <v>-</v>
      </c>
      <c r="L125" s="759">
        <f t="shared" si="36"/>
        <v>0</v>
      </c>
      <c r="M125" s="760">
        <f t="shared" si="37"/>
        <v>0</v>
      </c>
      <c r="N125" s="761">
        <f t="shared" si="38"/>
        <v>0</v>
      </c>
      <c r="O125" s="693">
        <f t="shared" si="43"/>
        <v>89000</v>
      </c>
      <c r="P125" s="2"/>
      <c r="Q125" s="2"/>
    </row>
    <row r="126" spans="1:17" ht="13">
      <c r="A126" s="2"/>
      <c r="B126" s="764">
        <v>43527</v>
      </c>
      <c r="C126" s="765" t="s">
        <v>37</v>
      </c>
      <c r="D126" s="766">
        <v>0</v>
      </c>
      <c r="E126" s="767">
        <v>8000</v>
      </c>
      <c r="F126" s="766"/>
      <c r="G126" s="768"/>
      <c r="H126" s="769" t="str">
        <f t="shared" si="40"/>
        <v>-</v>
      </c>
      <c r="I126" s="770"/>
      <c r="J126" s="771"/>
      <c r="K126" s="772" t="str">
        <f t="shared" si="41"/>
        <v>-</v>
      </c>
      <c r="L126" s="773">
        <f t="shared" si="36"/>
        <v>0</v>
      </c>
      <c r="M126" s="774">
        <f t="shared" si="37"/>
        <v>0</v>
      </c>
      <c r="N126" s="775">
        <f t="shared" si="38"/>
        <v>0</v>
      </c>
      <c r="O126" s="2">
        <f>E126*8</f>
        <v>64000</v>
      </c>
      <c r="P126" s="2"/>
      <c r="Q126" s="2"/>
    </row>
    <row r="127" spans="1:17" ht="14">
      <c r="A127" s="2"/>
      <c r="B127" s="13" t="s">
        <v>557</v>
      </c>
      <c r="C127" s="2"/>
      <c r="D127" s="776"/>
      <c r="E127" s="776"/>
      <c r="F127" s="777"/>
      <c r="G127" s="778"/>
      <c r="H127" s="776"/>
      <c r="I127" s="776" t="s">
        <v>558</v>
      </c>
      <c r="J127" s="776"/>
      <c r="K127" s="776"/>
      <c r="L127" s="2"/>
      <c r="M127" s="2"/>
      <c r="N127" s="2"/>
      <c r="O127" s="2"/>
      <c r="P127" s="2"/>
      <c r="Q127" s="2"/>
    </row>
    <row r="128" spans="1:17" ht="14">
      <c r="A128" s="2"/>
      <c r="C128" s="2"/>
      <c r="D128" s="776"/>
      <c r="E128" s="776"/>
      <c r="F128" s="777"/>
      <c r="G128" s="778"/>
      <c r="H128" s="776"/>
      <c r="I128" s="776"/>
      <c r="J128" s="776"/>
      <c r="K128" s="776"/>
      <c r="L128" s="2"/>
      <c r="M128" s="2"/>
      <c r="N128" s="2"/>
      <c r="O128" s="2"/>
      <c r="P128" s="2"/>
      <c r="Q128" s="2"/>
    </row>
    <row r="129" spans="1:17" ht="14">
      <c r="A129" s="779"/>
      <c r="B129" s="779"/>
      <c r="C129" s="779"/>
      <c r="D129" s="780"/>
      <c r="E129" s="780"/>
      <c r="F129" s="781"/>
      <c r="G129" s="782"/>
      <c r="H129" s="776"/>
      <c r="I129" s="783"/>
      <c r="J129" s="783"/>
      <c r="K129" s="783"/>
      <c r="L129" s="783"/>
      <c r="M129" s="783"/>
      <c r="N129" s="783"/>
      <c r="O129" s="783"/>
      <c r="P129" s="2"/>
      <c r="Q129" s="2"/>
    </row>
    <row r="130" spans="1:17" ht="14">
      <c r="A130" s="2"/>
      <c r="B130" s="13"/>
      <c r="C130" s="2"/>
      <c r="D130" s="2"/>
      <c r="E130" s="2"/>
      <c r="G130" s="778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4">
      <c r="A131" s="2"/>
      <c r="B131" s="13"/>
      <c r="C131" s="2"/>
      <c r="D131" s="2"/>
      <c r="E131" s="2"/>
      <c r="F131" s="2"/>
      <c r="G131" s="778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4">
      <c r="A132" s="693"/>
      <c r="B132" s="693"/>
      <c r="C132" s="693"/>
      <c r="D132" s="693"/>
      <c r="E132" s="693"/>
      <c r="F132" s="693"/>
      <c r="G132" s="784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4">
      <c r="A133" s="625"/>
      <c r="B133" s="625"/>
      <c r="C133" s="625"/>
      <c r="D133" s="625"/>
      <c r="E133" s="625"/>
      <c r="F133" s="693"/>
      <c r="G133" s="784"/>
      <c r="H133" s="693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3">
      <c r="A134" s="625"/>
      <c r="B134" s="625"/>
      <c r="C134" s="693"/>
      <c r="D134" s="693"/>
      <c r="E134" s="693"/>
      <c r="F134" s="693"/>
      <c r="G134" s="693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3">
      <c r="A139" s="625"/>
      <c r="B139" s="625"/>
      <c r="C139" s="693"/>
      <c r="D139" s="625"/>
      <c r="E139" s="625"/>
      <c r="F139" s="625"/>
      <c r="G139" s="625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1:17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1:17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1:17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1:17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1:17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1:17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1:17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1:17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1:17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1:17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1:17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1:17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1:17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1:17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1:17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1:17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1:17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1:17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1:17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1:17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1:17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1:17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1:17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1:17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1:17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1:17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1:17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1:17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1:17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1:17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1:17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1:17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1:17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17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1:17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1:17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1:17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1:17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1:17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1:17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1:17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1:17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1:17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1:17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17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1:17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1:17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1:17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1:17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1:17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1:17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1:17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1:17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1:17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1:17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1:17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1:17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1:17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1:17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1:17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1:17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1:17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1:17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1:17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1:17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1:17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1:17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1:17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17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17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1:17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1:17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1:17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1:17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1:17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1:17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1:17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1:17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1:17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1:17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1:17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1:17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1:17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1:17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1:17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17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1:17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1:17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1:17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1:17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1:17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1:17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1:17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1:17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1:17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1:17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1:17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1:17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1:17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1:17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1:17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1:17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1:17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17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1:17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1:17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1:17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1:17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7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7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7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7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1:17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1:17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1:17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1:17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1:17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1:17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1:17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1:17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1:17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1:17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1:17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1:17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1:17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1:17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1:17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1:17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1:17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1:17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1:17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1:17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1:17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1:17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1:17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1:17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1:17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1:17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1:17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1:17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1:17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1:17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1:17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1:17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1:17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1:17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1:17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1:17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1:17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1:17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17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17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17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1:17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1:17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1:17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1:17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1:17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1:17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1:17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1:17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1:17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1:17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1:17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1:17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1:17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1:17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1:17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1:17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1:17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1:17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1:17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1:17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1:17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1:17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1:17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1:17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1:17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1:17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1:17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1:17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1:17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1:17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1:17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1:17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1:17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1:17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1:17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1:17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1:17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1:17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1:17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1:17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1:17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1:17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1:17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1:17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1:17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1:17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1:17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1:17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1:17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1:17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1:17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1:17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1:17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1:17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1:17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1:17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1:17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1:17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1:17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1:17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1:17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1:17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1:17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1:17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1:17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1:17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1:17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1:17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1:17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1:17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1:17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1:17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1:17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1:17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1:17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1:17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1:17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1:17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1:17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1:17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1:17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1:17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1:17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1:17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1:17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1:17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1:17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1:17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1:17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1:17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1:17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1:17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1:17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1:17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1:17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1:17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1:17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1:17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1:17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1:17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1:17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1:17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1:17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1:17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1:17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1:17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1:17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1:17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1:17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1:17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1:17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1:17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1:17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1:17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1:17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1:17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1:17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1:17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1:17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1:17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1:17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1:17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1:17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1:17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1:17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1:17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1:17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1:17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1:17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1:17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1:17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1:17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1:17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1:17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1:17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1:17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1:17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1:17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1:17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1:17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1:17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1:17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1:17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1:17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1:17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1:17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1:17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1:17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1:17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1:17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1:17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1:17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1:17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1:17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1:17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1:17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1:17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1:17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1:17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1:17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1:17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1:17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1:17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1:17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1:17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1:17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1:17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1:17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1:17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1:17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1:17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1:17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1:17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1:17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1:17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1:17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1:17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1:17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1:17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1:17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1:17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1:17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1:17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1:17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1:17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1:17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1:17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1:17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1:17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1:17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1:17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1:17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1:17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1:17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1:17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1:17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1:17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1:17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1:17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1:17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1:17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1:17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1:17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1:17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1:17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1:17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1:17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1:17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1:17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1:17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1:17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1:17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1:17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1:17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1:17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1:17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1:17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1:17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1:17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1:17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1:17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1:17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1:17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1:17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1:17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1:17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1:17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1:17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1:17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1:17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1:17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1:17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1:17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1:17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1:17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1:17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1:17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1:17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1:17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1:17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1:17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1:17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1:17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1:17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1:17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1:17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1:17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1:17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1:17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1:17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1:17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1:17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1:17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1:17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1:17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1:17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1:17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1:17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1:17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1:17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1:17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1:17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1:17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1:17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1:17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1:17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1:17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1:17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1:17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1:17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1:17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1:17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1:17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1:17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1:17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1:17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1:17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1:17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1:17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1:17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1:17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1:17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1:17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1:17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1:17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1:17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1:17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1:17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1:17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1:17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1:17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1:17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1:17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1:17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1:17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1:17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1:17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1:17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1:17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1:17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1:17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1:17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1:17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1:17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1:17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1:17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1:17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1:17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1:17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1:17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1:17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1:17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1:17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1:17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1:17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1:17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1:17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1:17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1:17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1:17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1:17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1:17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1:17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1:17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1:17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1:17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1:17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1:17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1:17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1:17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1:17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1:17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1:17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1:17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1:17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1:17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1:17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1:17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1:17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1:17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1:17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1:17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1:17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1:17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1:17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1:17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1:17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1:17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1:17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1:17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1:17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1:17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1:17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1:17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1:17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1:17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1:17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1:17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1:17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1:17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1:17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1:17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1:17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1:17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1:17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1:17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1:17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1:17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1:17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1:17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1:17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1:17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1:17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1:17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1:17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1:17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1:17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1:17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1:17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1:17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1:17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1:17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1:17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1:17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1:17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1:17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1:17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1:17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1:17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1:17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1:17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1:17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1:17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1:17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1:17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1:17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1:17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1:17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1:17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1:17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1:17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1:17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1:17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1:17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1:17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1:17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1:17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1:17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1:17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1:17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1:17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1:17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1:17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1:17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1:17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1:17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1:17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1:17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1:17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1:17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1:17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1:17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1:17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1:17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1:17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1:17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1:17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1:17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1:17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1:17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1:17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spans="1:17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spans="1:17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spans="1:17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spans="1:17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spans="1:17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spans="1:17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 spans="1:17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 spans="1:17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 spans="1:17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 spans="1:17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  <row r="1001" spans="1:17" ht="1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</row>
    <row r="1002" spans="1:17" ht="1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</row>
    <row r="1003" spans="1:17" ht="1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</row>
    <row r="1004" spans="1:17" ht="1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</row>
    <row r="1005" spans="1:17" ht="1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</row>
    <row r="1006" spans="1:17" ht="1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</row>
    <row r="1007" spans="1:17" ht="1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</row>
    <row r="1008" spans="1:17" ht="1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</row>
    <row r="1009" spans="1:17" ht="1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</row>
    <row r="1010" spans="1:17" ht="1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</row>
    <row r="1011" spans="1:17" ht="1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</row>
    <row r="1012" spans="1:17" ht="1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</row>
    <row r="1013" spans="1:17" ht="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</row>
    <row r="1014" spans="1:17" ht="1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</row>
    <row r="1015" spans="1:17" ht="1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</row>
    <row r="1016" spans="1:17" ht="1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</row>
    <row r="1017" spans="1:17" ht="1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</row>
    <row r="1018" spans="1:17" ht="1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</row>
    <row r="1019" spans="1:17" ht="1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</row>
    <row r="1020" spans="1:17" ht="1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</row>
    <row r="1021" spans="1:17" ht="1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</row>
    <row r="1022" spans="1:17" ht="1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</row>
    <row r="1023" spans="1:17" ht="1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</row>
    <row r="1024" spans="1:17" ht="1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</row>
    <row r="1025" spans="1:17" ht="1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</row>
    <row r="1026" spans="1:17" ht="1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</row>
    <row r="1027" spans="1:17" ht="1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</row>
    <row r="1028" spans="1:17" ht="1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</row>
    <row r="1029" spans="1:17" ht="13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</row>
    <row r="1030" spans="1:17" ht="13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</row>
    <row r="1031" spans="1:17" ht="13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</row>
    <row r="1032" spans="1:17" ht="13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</row>
    <row r="1033" spans="1:17" ht="1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</row>
    <row r="1034" spans="1:17" ht="13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</row>
    <row r="1035" spans="1:17" ht="13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</row>
    <row r="1036" spans="1:17" ht="13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</row>
    <row r="1037" spans="1:17" ht="13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</row>
    <row r="1038" spans="1:17" ht="13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</row>
    <row r="1039" spans="1:17" ht="13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</row>
    <row r="1040" spans="1:17" ht="13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</row>
    <row r="1041" spans="1:17" ht="13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</row>
    <row r="1042" spans="1:17" ht="13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</row>
    <row r="1043" spans="1:17" ht="1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</row>
    <row r="1044" spans="1:17" ht="13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</row>
    <row r="1045" spans="1:17" ht="13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</row>
    <row r="1046" spans="1:17" ht="13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</row>
    <row r="1047" spans="1:17" ht="13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</row>
    <row r="1048" spans="1:17" ht="13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</row>
    <row r="1049" spans="1:17" ht="13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</row>
    <row r="1050" spans="1:17" ht="13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</row>
    <row r="1051" spans="1:17" ht="13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</row>
    <row r="1052" spans="1:17" ht="13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</row>
    <row r="1053" spans="1:17" ht="1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</row>
    <row r="1054" spans="1:17" ht="13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</row>
    <row r="1055" spans="1:17" ht="13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</row>
    <row r="1056" spans="1:17" ht="13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</row>
    <row r="1057" spans="1:17" ht="13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</row>
    <row r="1058" spans="1:17" ht="13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</row>
    <row r="1059" spans="1:17" ht="13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</row>
    <row r="1060" spans="1:17" ht="13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</row>
    <row r="1061" spans="1:17" ht="13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</row>
    <row r="1062" spans="1:17" ht="13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</row>
    <row r="1063" spans="1:17" ht="1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</row>
    <row r="1064" spans="1:17" ht="13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</row>
    <row r="1065" spans="1:17" ht="13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</row>
    <row r="1066" spans="1:17" ht="13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</row>
    <row r="1067" spans="1:17" ht="13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</row>
    <row r="1068" spans="1:17" ht="13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</row>
    <row r="1069" spans="1:17" ht="1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</row>
    <row r="1070" spans="1:17" ht="1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</row>
    <row r="1071" spans="1:17" ht="13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</row>
    <row r="1072" spans="1:17" ht="13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</row>
    <row r="1073" spans="1:17" ht="1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</row>
    <row r="1074" spans="1:17" ht="13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</row>
    <row r="1075" spans="1:17" ht="13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</row>
    <row r="1076" spans="1:17" ht="13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</row>
    <row r="1077" spans="1:17" ht="13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</row>
    <row r="1078" spans="1:17" ht="13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</row>
    <row r="1079" spans="1:17" ht="13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</row>
    <row r="1080" spans="1:17" ht="13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</row>
    <row r="1081" spans="1:17" ht="13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</row>
    <row r="1082" spans="1:17" ht="13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</row>
    <row r="1083" spans="1:17" ht="1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</row>
    <row r="1084" spans="1:17" ht="13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</row>
    <row r="1085" spans="1:17" ht="13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</row>
    <row r="1086" spans="1:17" ht="13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</row>
    <row r="1087" spans="1:17" ht="13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</row>
    <row r="1088" spans="1:17" ht="13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</row>
    <row r="1089" spans="1:17" ht="13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</row>
    <row r="1090" spans="1:17" ht="13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</row>
    <row r="1091" spans="1:17" ht="13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</row>
    <row r="1092" spans="1:17" ht="13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</row>
    <row r="1093" spans="1:17" ht="1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</row>
    <row r="1094" spans="1:17" ht="13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</row>
    <row r="1095" spans="1:17" ht="13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</row>
    <row r="1096" spans="1:17" ht="13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</row>
  </sheetData>
  <mergeCells count="12">
    <mergeCell ref="F12:H12"/>
    <mergeCell ref="I12:K12"/>
    <mergeCell ref="L12:L13"/>
    <mergeCell ref="M12:M13"/>
    <mergeCell ref="B11:C11"/>
    <mergeCell ref="D11:E11"/>
    <mergeCell ref="F11:K11"/>
    <mergeCell ref="L11:N11"/>
    <mergeCell ref="B12:C13"/>
    <mergeCell ref="D12:D13"/>
    <mergeCell ref="E12:E13"/>
    <mergeCell ref="N12:N13"/>
  </mergeCells>
  <phoneticPr fontId="68" type="noConversion"/>
  <conditionalFormatting sqref="K36:K42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Y992"/>
  <sheetViews>
    <sheetView workbookViewId="0"/>
  </sheetViews>
  <sheetFormatPr baseColWidth="10" defaultColWidth="12.6640625" defaultRowHeight="15.75" customHeight="1"/>
  <cols>
    <col min="1" max="2" width="7" customWidth="1"/>
    <col min="3" max="8" width="7.6640625" customWidth="1"/>
    <col min="9" max="9" width="14.5" customWidth="1"/>
    <col min="10" max="10" width="26" customWidth="1"/>
    <col min="11" max="11" width="6.6640625" customWidth="1"/>
    <col min="12" max="12" width="4.6640625" customWidth="1"/>
    <col min="13" max="13" width="7.33203125" customWidth="1"/>
    <col min="14" max="14" width="24.33203125" customWidth="1"/>
    <col min="16" max="16" width="9" customWidth="1"/>
    <col min="17" max="17" width="5.1640625" customWidth="1"/>
    <col min="18" max="19" width="4.6640625" customWidth="1"/>
    <col min="20" max="21" width="7.6640625" customWidth="1"/>
    <col min="23" max="23" width="16.33203125" customWidth="1"/>
    <col min="24" max="24" width="9.1640625" customWidth="1"/>
    <col min="25" max="25" width="25.5" customWidth="1"/>
  </cols>
  <sheetData>
    <row r="1" spans="1:25">
      <c r="A1" s="1"/>
      <c r="B1" s="2"/>
      <c r="C1" s="3"/>
      <c r="D1" s="3"/>
      <c r="E1" s="3"/>
      <c r="F1" s="3"/>
      <c r="G1" s="3"/>
      <c r="H1" s="3"/>
      <c r="I1" s="2"/>
      <c r="J1" s="2"/>
      <c r="L1" s="4"/>
      <c r="M1" s="4" t="s">
        <v>5</v>
      </c>
      <c r="N1" s="4" t="s">
        <v>6</v>
      </c>
      <c r="R1" s="4"/>
      <c r="S1" s="4"/>
      <c r="X1" s="4"/>
    </row>
    <row r="2" spans="1:25" ht="15.75" customHeight="1">
      <c r="A2" s="10" t="s">
        <v>7</v>
      </c>
      <c r="B2" s="11"/>
      <c r="C2" s="12"/>
      <c r="D2" s="12"/>
      <c r="E2" s="12"/>
      <c r="F2" s="12"/>
      <c r="G2" s="12"/>
      <c r="H2" s="12"/>
      <c r="I2" s="2"/>
      <c r="J2" s="2"/>
      <c r="L2" s="13"/>
      <c r="M2" s="13" t="s">
        <v>8</v>
      </c>
      <c r="N2" s="13" t="s">
        <v>9</v>
      </c>
      <c r="O2" s="4">
        <v>8</v>
      </c>
      <c r="R2" s="789" t="s">
        <v>10</v>
      </c>
      <c r="S2" s="788"/>
      <c r="T2" s="793" t="s">
        <v>11</v>
      </c>
      <c r="U2" s="794"/>
      <c r="V2" s="14"/>
      <c r="W2" s="14"/>
      <c r="X2" s="795" t="s">
        <v>12</v>
      </c>
      <c r="Y2" s="797" t="s">
        <v>13</v>
      </c>
    </row>
    <row r="3" spans="1:25" ht="15.75" customHeight="1">
      <c r="A3" s="20"/>
      <c r="B3" s="21" t="s">
        <v>15</v>
      </c>
      <c r="C3" s="22"/>
      <c r="D3" s="22"/>
      <c r="E3" s="22"/>
      <c r="F3" s="22"/>
      <c r="G3" s="22"/>
      <c r="I3" s="2"/>
      <c r="J3" s="2"/>
      <c r="L3" s="4"/>
      <c r="M3" s="4"/>
      <c r="N3" s="4" t="s">
        <v>16</v>
      </c>
      <c r="O3" s="23">
        <f>SUM(E20:E50)/31</f>
        <v>79806.451612903227</v>
      </c>
      <c r="R3" s="790"/>
      <c r="S3" s="788"/>
      <c r="T3" s="792" t="s">
        <v>17</v>
      </c>
      <c r="U3" s="785" t="s">
        <v>18</v>
      </c>
      <c r="V3" s="787" t="s">
        <v>19</v>
      </c>
      <c r="W3" s="787" t="s">
        <v>20</v>
      </c>
      <c r="X3" s="796"/>
      <c r="Y3" s="798"/>
    </row>
    <row r="4" spans="1:25" ht="15.75" customHeight="1">
      <c r="A4" s="20"/>
      <c r="B4" s="30" t="s">
        <v>23</v>
      </c>
      <c r="C4" s="31" t="s">
        <v>24</v>
      </c>
      <c r="D4" s="22"/>
      <c r="E4" s="22"/>
      <c r="F4" s="22"/>
      <c r="G4" s="22"/>
      <c r="I4" s="2"/>
      <c r="J4" s="2"/>
      <c r="L4" s="4"/>
      <c r="M4" s="4"/>
      <c r="N4" s="4" t="s">
        <v>25</v>
      </c>
      <c r="O4" s="32">
        <v>300</v>
      </c>
      <c r="P4" s="4" t="s">
        <v>26</v>
      </c>
      <c r="R4" s="791"/>
      <c r="S4" s="786"/>
      <c r="T4" s="786"/>
      <c r="U4" s="786"/>
      <c r="V4" s="788"/>
      <c r="W4" s="788"/>
      <c r="X4" s="796"/>
      <c r="Y4" s="799"/>
    </row>
    <row r="5" spans="1:25" ht="15.75" customHeight="1">
      <c r="A5" s="20"/>
      <c r="B5" s="21" t="s">
        <v>8</v>
      </c>
      <c r="C5" s="22"/>
      <c r="D5" s="22"/>
      <c r="E5" s="22"/>
      <c r="F5" s="22"/>
      <c r="G5" s="22"/>
      <c r="I5" s="2"/>
      <c r="J5" s="2"/>
      <c r="L5" s="4"/>
      <c r="M5" s="4"/>
      <c r="N5" s="4" t="s">
        <v>28</v>
      </c>
      <c r="O5" s="32">
        <v>0</v>
      </c>
      <c r="P5" s="4" t="s">
        <v>26</v>
      </c>
      <c r="R5" s="37">
        <v>43525</v>
      </c>
      <c r="S5" s="38" t="s">
        <v>29</v>
      </c>
      <c r="T5" s="39">
        <f t="shared" ref="T5:T6" si="0">V5</f>
        <v>27845.161290322576</v>
      </c>
      <c r="U5" s="39">
        <f t="shared" ref="U5:U21" si="1">G20</f>
        <v>4500</v>
      </c>
      <c r="V5" s="23">
        <f t="shared" ref="V5:V35" si="2">$O$10-(U5*$O$2)</f>
        <v>27845.161290322576</v>
      </c>
      <c r="W5" t="s">
        <v>23</v>
      </c>
      <c r="X5" s="40">
        <f t="shared" ref="X5:X35" si="3">(T5+U5*$O$2)/$O$8</f>
        <v>240</v>
      </c>
      <c r="Y5" s="41"/>
    </row>
    <row r="6" spans="1:25" ht="15.75" customHeight="1">
      <c r="A6" s="20"/>
      <c r="B6" s="30" t="s">
        <v>23</v>
      </c>
      <c r="C6" s="31" t="s">
        <v>31</v>
      </c>
      <c r="D6" s="22"/>
      <c r="E6" s="22"/>
      <c r="F6" s="22"/>
      <c r="G6" s="22"/>
      <c r="I6" s="2"/>
      <c r="J6" s="2"/>
      <c r="L6" s="4"/>
      <c r="M6" s="4"/>
      <c r="N6" s="4" t="s">
        <v>32</v>
      </c>
      <c r="O6" s="43">
        <v>0.5</v>
      </c>
      <c r="P6" s="4" t="s">
        <v>26</v>
      </c>
      <c r="R6" s="37">
        <v>43526</v>
      </c>
      <c r="S6" s="38" t="s">
        <v>33</v>
      </c>
      <c r="T6" s="39">
        <f t="shared" si="0"/>
        <v>31845.161290322576</v>
      </c>
      <c r="U6" s="39">
        <f t="shared" si="1"/>
        <v>4000</v>
      </c>
      <c r="V6" s="23">
        <f t="shared" si="2"/>
        <v>31845.161290322576</v>
      </c>
      <c r="W6" t="s">
        <v>23</v>
      </c>
      <c r="X6" s="40">
        <f t="shared" si="3"/>
        <v>240</v>
      </c>
      <c r="Y6" s="41"/>
    </row>
    <row r="7" spans="1:25" ht="15.75" customHeight="1">
      <c r="A7" s="20"/>
      <c r="B7" s="30" t="s">
        <v>23</v>
      </c>
      <c r="C7" s="31" t="s">
        <v>35</v>
      </c>
      <c r="D7" s="22"/>
      <c r="E7" s="22"/>
      <c r="F7" s="22"/>
      <c r="G7" s="22"/>
      <c r="I7" s="2"/>
      <c r="J7" s="2"/>
      <c r="L7" s="4"/>
      <c r="M7" s="4"/>
      <c r="N7" s="4" t="s">
        <v>36</v>
      </c>
      <c r="O7" s="23">
        <f>O4+O5*O6</f>
        <v>300</v>
      </c>
      <c r="R7" s="44">
        <v>43527</v>
      </c>
      <c r="S7" s="45" t="s">
        <v>37</v>
      </c>
      <c r="T7" s="46">
        <v>0</v>
      </c>
      <c r="U7" s="46">
        <f t="shared" si="1"/>
        <v>4000</v>
      </c>
      <c r="V7" s="47">
        <f t="shared" si="2"/>
        <v>31845.161290322576</v>
      </c>
      <c r="W7" s="34" t="s">
        <v>561</v>
      </c>
      <c r="X7" s="48">
        <f t="shared" si="3"/>
        <v>120.29102667744544</v>
      </c>
      <c r="Y7" s="49"/>
    </row>
    <row r="8" spans="1:25" ht="15.75" customHeight="1">
      <c r="A8" s="20"/>
      <c r="B8" s="30" t="s">
        <v>23</v>
      </c>
      <c r="C8" s="31" t="s">
        <v>39</v>
      </c>
      <c r="D8" s="22"/>
      <c r="E8" s="22"/>
      <c r="F8" s="22"/>
      <c r="G8" s="22"/>
      <c r="I8" s="2"/>
      <c r="J8" s="2"/>
      <c r="L8" s="4"/>
      <c r="M8" s="4"/>
      <c r="N8" s="4" t="s">
        <v>40</v>
      </c>
      <c r="O8" s="23">
        <f>O3/O7</f>
        <v>266.02150537634407</v>
      </c>
      <c r="R8" s="50">
        <v>43528</v>
      </c>
      <c r="S8" s="51" t="s">
        <v>41</v>
      </c>
      <c r="T8" s="39">
        <v>2000</v>
      </c>
      <c r="U8" s="52">
        <f t="shared" si="1"/>
        <v>7500</v>
      </c>
      <c r="V8" s="23">
        <f t="shared" si="2"/>
        <v>3845.161290322576</v>
      </c>
      <c r="W8" t="s">
        <v>562</v>
      </c>
      <c r="X8" s="40">
        <f t="shared" si="3"/>
        <v>233.06386418755054</v>
      </c>
      <c r="Y8" s="53" t="s">
        <v>42</v>
      </c>
    </row>
    <row r="9" spans="1:25" ht="15.75" customHeight="1">
      <c r="A9" s="55"/>
      <c r="B9" s="56" t="s">
        <v>23</v>
      </c>
      <c r="C9" s="57" t="s">
        <v>44</v>
      </c>
      <c r="D9" s="58"/>
      <c r="E9" s="58"/>
      <c r="F9" s="58"/>
      <c r="G9" s="58"/>
      <c r="H9" s="58"/>
      <c r="I9" s="2"/>
      <c r="J9" s="2"/>
      <c r="K9" s="13"/>
      <c r="M9" s="4" t="s">
        <v>11</v>
      </c>
      <c r="N9" s="4" t="s">
        <v>45</v>
      </c>
      <c r="O9" s="23">
        <f>O7*(1-P9)</f>
        <v>240</v>
      </c>
      <c r="P9" s="65">
        <v>0.2</v>
      </c>
      <c r="R9" s="37">
        <v>43529</v>
      </c>
      <c r="S9" s="38" t="s">
        <v>46</v>
      </c>
      <c r="T9" s="39">
        <f t="shared" ref="T9:T13" si="4">V9</f>
        <v>15845.161290322576</v>
      </c>
      <c r="U9" s="39">
        <f t="shared" si="1"/>
        <v>6000</v>
      </c>
      <c r="V9" s="23">
        <f t="shared" si="2"/>
        <v>15845.161290322576</v>
      </c>
      <c r="W9" t="s">
        <v>23</v>
      </c>
      <c r="X9" s="40">
        <f t="shared" si="3"/>
        <v>240</v>
      </c>
      <c r="Y9" s="41"/>
    </row>
    <row r="10" spans="1:25">
      <c r="A10" s="54"/>
      <c r="B10" s="54"/>
      <c r="C10" s="3"/>
      <c r="D10" s="3"/>
      <c r="E10" s="3"/>
      <c r="F10" s="3"/>
      <c r="G10" s="3"/>
      <c r="H10" s="3"/>
      <c r="I10" s="2"/>
      <c r="J10" s="2"/>
      <c r="N10" s="4" t="s">
        <v>48</v>
      </c>
      <c r="O10" s="23">
        <f>O9*O8</f>
        <v>63845.161290322576</v>
      </c>
      <c r="R10" s="37">
        <v>43530</v>
      </c>
      <c r="S10" s="38" t="s">
        <v>49</v>
      </c>
      <c r="T10" s="39">
        <f t="shared" si="4"/>
        <v>19845.161290322576</v>
      </c>
      <c r="U10" s="39">
        <f t="shared" si="1"/>
        <v>5500</v>
      </c>
      <c r="V10" s="23">
        <f t="shared" si="2"/>
        <v>19845.161290322576</v>
      </c>
      <c r="W10" t="s">
        <v>23</v>
      </c>
      <c r="X10" s="40">
        <f t="shared" si="3"/>
        <v>240</v>
      </c>
      <c r="Y10" s="41"/>
    </row>
    <row r="11" spans="1:25">
      <c r="A11" s="54"/>
      <c r="B11" s="54"/>
      <c r="C11" s="3"/>
      <c r="D11" s="3"/>
      <c r="E11" s="3"/>
      <c r="F11" s="3"/>
      <c r="G11" s="3"/>
      <c r="H11" s="3"/>
      <c r="I11" s="2"/>
      <c r="J11" s="2"/>
      <c r="R11" s="37">
        <v>43531</v>
      </c>
      <c r="S11" s="38" t="s">
        <v>51</v>
      </c>
      <c r="T11" s="39">
        <f t="shared" si="4"/>
        <v>19845.161290322576</v>
      </c>
      <c r="U11" s="39">
        <f t="shared" si="1"/>
        <v>5500</v>
      </c>
      <c r="V11" s="23">
        <f t="shared" si="2"/>
        <v>19845.161290322576</v>
      </c>
      <c r="W11" t="s">
        <v>23</v>
      </c>
      <c r="X11" s="40">
        <f t="shared" si="3"/>
        <v>240</v>
      </c>
      <c r="Y11" s="41"/>
    </row>
    <row r="12" spans="1:25">
      <c r="A12" s="54"/>
      <c r="B12" s="54"/>
      <c r="C12" s="3"/>
      <c r="D12" s="3"/>
      <c r="E12" s="3"/>
      <c r="F12" s="3"/>
      <c r="G12" s="3"/>
      <c r="H12" s="3"/>
      <c r="I12" s="2"/>
      <c r="J12" s="2"/>
      <c r="L12" s="4"/>
      <c r="M12" s="4" t="s">
        <v>53</v>
      </c>
      <c r="N12" s="4" t="s">
        <v>54</v>
      </c>
      <c r="O12" s="4" t="s">
        <v>55</v>
      </c>
      <c r="R12" s="37">
        <v>43532</v>
      </c>
      <c r="S12" s="38" t="s">
        <v>29</v>
      </c>
      <c r="T12" s="39">
        <f t="shared" si="4"/>
        <v>27845.161290322576</v>
      </c>
      <c r="U12" s="39">
        <f t="shared" si="1"/>
        <v>4500</v>
      </c>
      <c r="V12" s="23">
        <f t="shared" si="2"/>
        <v>27845.161290322576</v>
      </c>
      <c r="W12" t="s">
        <v>23</v>
      </c>
      <c r="X12" s="40">
        <f t="shared" si="3"/>
        <v>240</v>
      </c>
      <c r="Y12" s="41"/>
    </row>
    <row r="13" spans="1:25">
      <c r="A13" s="54"/>
      <c r="B13" s="54"/>
      <c r="C13" s="3"/>
      <c r="D13" s="3"/>
      <c r="E13" s="3"/>
      <c r="F13" s="3"/>
      <c r="G13" s="3"/>
      <c r="H13" s="3"/>
      <c r="I13" s="2"/>
      <c r="J13" s="2"/>
      <c r="L13" s="4"/>
      <c r="M13" s="4"/>
      <c r="N13" s="4" t="s">
        <v>57</v>
      </c>
      <c r="O13" s="62">
        <f>12695/5135</f>
        <v>2.4722492697176239</v>
      </c>
      <c r="Q13" s="63"/>
      <c r="R13" s="37">
        <v>43533</v>
      </c>
      <c r="S13" s="38" t="s">
        <v>33</v>
      </c>
      <c r="T13" s="39">
        <f t="shared" si="4"/>
        <v>31845.161290322576</v>
      </c>
      <c r="U13" s="39">
        <f t="shared" si="1"/>
        <v>4000</v>
      </c>
      <c r="V13" s="23">
        <f t="shared" si="2"/>
        <v>31845.161290322576</v>
      </c>
      <c r="W13" t="s">
        <v>23</v>
      </c>
      <c r="X13" s="40">
        <f t="shared" si="3"/>
        <v>240</v>
      </c>
      <c r="Y13" s="41"/>
    </row>
    <row r="14" spans="1:25">
      <c r="A14" s="54"/>
      <c r="B14" s="54"/>
      <c r="C14" s="3"/>
      <c r="D14" s="3"/>
      <c r="E14" s="3"/>
      <c r="F14" s="3"/>
      <c r="G14" s="3"/>
      <c r="H14" s="3"/>
      <c r="I14" s="2"/>
      <c r="J14" s="2"/>
      <c r="L14" s="4"/>
      <c r="M14" s="4"/>
      <c r="N14" s="4" t="s">
        <v>58</v>
      </c>
      <c r="O14" s="4">
        <v>31</v>
      </c>
      <c r="Q14" s="65"/>
      <c r="R14" s="44">
        <v>43534</v>
      </c>
      <c r="S14" s="45" t="s">
        <v>37</v>
      </c>
      <c r="T14" s="46">
        <v>0</v>
      </c>
      <c r="U14" s="46">
        <f t="shared" si="1"/>
        <v>4000</v>
      </c>
      <c r="V14" s="47">
        <f t="shared" si="2"/>
        <v>31845.161290322576</v>
      </c>
      <c r="W14" s="34" t="s">
        <v>561</v>
      </c>
      <c r="X14" s="48">
        <f t="shared" si="3"/>
        <v>120.29102667744544</v>
      </c>
      <c r="Y14" s="66"/>
    </row>
    <row r="15" spans="1:25">
      <c r="A15" s="54"/>
      <c r="B15" s="54"/>
      <c r="C15" s="3"/>
      <c r="D15" s="3"/>
      <c r="E15" s="3"/>
      <c r="F15" s="3"/>
      <c r="G15" s="3"/>
      <c r="H15" s="3"/>
      <c r="I15" s="2"/>
      <c r="J15" s="2"/>
      <c r="L15" s="4"/>
      <c r="M15" s="4"/>
      <c r="N15" s="4" t="s">
        <v>59</v>
      </c>
      <c r="O15" s="23">
        <f>SUM(G20:G50)</f>
        <v>173600</v>
      </c>
      <c r="R15" s="68">
        <v>43535</v>
      </c>
      <c r="S15" s="51" t="s">
        <v>41</v>
      </c>
      <c r="T15" s="39">
        <v>2000</v>
      </c>
      <c r="U15" s="52">
        <f t="shared" si="1"/>
        <v>7500</v>
      </c>
      <c r="V15" s="23">
        <f t="shared" si="2"/>
        <v>3845.161290322576</v>
      </c>
      <c r="W15" t="s">
        <v>562</v>
      </c>
      <c r="X15" s="40">
        <f t="shared" si="3"/>
        <v>233.06386418755054</v>
      </c>
      <c r="Y15" s="69" t="s">
        <v>60</v>
      </c>
    </row>
    <row r="16" spans="1:25">
      <c r="A16" s="54"/>
      <c r="B16" s="54"/>
      <c r="C16" s="3"/>
      <c r="D16" s="3"/>
      <c r="E16" s="3"/>
      <c r="F16" s="3"/>
      <c r="G16" s="3"/>
      <c r="H16" s="3"/>
      <c r="I16" s="2"/>
      <c r="J16" s="2"/>
      <c r="N16" s="4" t="s">
        <v>62</v>
      </c>
      <c r="O16" s="23">
        <f>O15/O14</f>
        <v>5600</v>
      </c>
      <c r="R16" s="73">
        <v>43536</v>
      </c>
      <c r="S16" s="38" t="s">
        <v>46</v>
      </c>
      <c r="T16" s="39">
        <f t="shared" ref="T16:T20" si="5">V16</f>
        <v>15845.161290322576</v>
      </c>
      <c r="U16" s="39">
        <f t="shared" si="1"/>
        <v>6000</v>
      </c>
      <c r="V16" s="23">
        <f t="shared" si="2"/>
        <v>15845.161290322576</v>
      </c>
      <c r="W16" t="s">
        <v>23</v>
      </c>
      <c r="X16" s="40">
        <f t="shared" si="3"/>
        <v>240</v>
      </c>
      <c r="Y16" s="41"/>
    </row>
    <row r="17" spans="1:25" ht="15.75" customHeight="1">
      <c r="A17" s="803"/>
      <c r="B17" s="794"/>
      <c r="C17" s="804" t="s">
        <v>15</v>
      </c>
      <c r="D17" s="794"/>
      <c r="E17" s="805"/>
      <c r="F17" s="793" t="s">
        <v>11</v>
      </c>
      <c r="G17" s="794"/>
      <c r="H17" s="794"/>
      <c r="I17" s="75"/>
      <c r="J17" s="806" t="s">
        <v>13</v>
      </c>
      <c r="N17" s="76" t="s">
        <v>34</v>
      </c>
      <c r="O17" s="77">
        <f>O15*O13</f>
        <v>429182.47322297952</v>
      </c>
      <c r="R17" s="73">
        <v>43537</v>
      </c>
      <c r="S17" s="38" t="s">
        <v>49</v>
      </c>
      <c r="T17" s="39">
        <f t="shared" si="5"/>
        <v>19845.161290322576</v>
      </c>
      <c r="U17" s="39">
        <f t="shared" si="1"/>
        <v>5500</v>
      </c>
      <c r="V17" s="23">
        <f t="shared" si="2"/>
        <v>19845.161290322576</v>
      </c>
      <c r="W17" t="s">
        <v>23</v>
      </c>
      <c r="X17" s="40">
        <f t="shared" si="3"/>
        <v>240</v>
      </c>
      <c r="Y17" s="41"/>
    </row>
    <row r="18" spans="1:25">
      <c r="A18" s="789" t="s">
        <v>10</v>
      </c>
      <c r="B18" s="788"/>
      <c r="C18" s="800" t="s">
        <v>63</v>
      </c>
      <c r="D18" s="785" t="s">
        <v>64</v>
      </c>
      <c r="E18" s="807" t="s">
        <v>65</v>
      </c>
      <c r="F18" s="80" t="s">
        <v>3</v>
      </c>
      <c r="G18" s="785" t="s">
        <v>66</v>
      </c>
      <c r="H18" s="802"/>
      <c r="I18" s="808" t="s">
        <v>67</v>
      </c>
      <c r="J18" s="798"/>
      <c r="N18" s="76" t="s">
        <v>68</v>
      </c>
      <c r="O18" s="77">
        <f>SUM(T5:T35)</f>
        <v>445948.38709677383</v>
      </c>
      <c r="R18" s="73">
        <v>43538</v>
      </c>
      <c r="S18" s="38" t="s">
        <v>51</v>
      </c>
      <c r="T18" s="39">
        <f t="shared" si="5"/>
        <v>19845.161290322576</v>
      </c>
      <c r="U18" s="39">
        <f t="shared" si="1"/>
        <v>5500</v>
      </c>
      <c r="V18" s="23">
        <f t="shared" si="2"/>
        <v>19845.161290322576</v>
      </c>
      <c r="W18" t="s">
        <v>23</v>
      </c>
      <c r="X18" s="40">
        <f t="shared" si="3"/>
        <v>240</v>
      </c>
      <c r="Y18" s="41"/>
    </row>
    <row r="19" spans="1:25">
      <c r="A19" s="791"/>
      <c r="B19" s="786"/>
      <c r="C19" s="801"/>
      <c r="D19" s="786"/>
      <c r="E19" s="786"/>
      <c r="F19" s="84" t="s">
        <v>63</v>
      </c>
      <c r="G19" s="85" t="s">
        <v>18</v>
      </c>
      <c r="H19" s="86" t="s">
        <v>69</v>
      </c>
      <c r="I19" s="809"/>
      <c r="J19" s="798"/>
      <c r="N19" s="88" t="s">
        <v>70</v>
      </c>
      <c r="O19" s="89">
        <f>O18-O17</f>
        <v>16765.913873794314</v>
      </c>
      <c r="R19" s="73">
        <v>43539</v>
      </c>
      <c r="S19" s="38" t="s">
        <v>29</v>
      </c>
      <c r="T19" s="39">
        <f t="shared" si="5"/>
        <v>11845.161290322576</v>
      </c>
      <c r="U19" s="39">
        <f t="shared" si="1"/>
        <v>6500</v>
      </c>
      <c r="V19" s="23">
        <f t="shared" si="2"/>
        <v>11845.161290322576</v>
      </c>
      <c r="W19" t="s">
        <v>23</v>
      </c>
      <c r="X19" s="40">
        <f t="shared" si="3"/>
        <v>240</v>
      </c>
      <c r="Y19" s="53" t="s">
        <v>71</v>
      </c>
    </row>
    <row r="20" spans="1:25">
      <c r="A20" s="37">
        <v>43525</v>
      </c>
      <c r="B20" s="38" t="s">
        <v>29</v>
      </c>
      <c r="C20" s="91">
        <v>25000</v>
      </c>
      <c r="D20" s="91">
        <v>8000</v>
      </c>
      <c r="E20" s="39">
        <f t="shared" ref="E20:E50" si="6">C20+D20*$O$2</f>
        <v>89000</v>
      </c>
      <c r="F20" s="39">
        <f t="shared" ref="F20:F50" si="7">C20+H20*$O$2</f>
        <v>53000</v>
      </c>
      <c r="G20" s="92">
        <v>4500</v>
      </c>
      <c r="H20" s="39">
        <f t="shared" ref="H20:H50" si="8">D20-G20</f>
        <v>3500</v>
      </c>
      <c r="I20" s="39"/>
      <c r="J20" s="93"/>
      <c r="N20" s="88" t="s">
        <v>72</v>
      </c>
      <c r="O20" s="94">
        <f>O19/26</f>
        <v>644.8428412997813</v>
      </c>
      <c r="R20" s="73">
        <v>43540</v>
      </c>
      <c r="S20" s="38" t="s">
        <v>33</v>
      </c>
      <c r="T20" s="39">
        <f t="shared" si="5"/>
        <v>11845.161290322576</v>
      </c>
      <c r="U20" s="39">
        <f t="shared" si="1"/>
        <v>6500</v>
      </c>
      <c r="V20" s="23">
        <f t="shared" si="2"/>
        <v>11845.161290322576</v>
      </c>
      <c r="W20" t="s">
        <v>23</v>
      </c>
      <c r="X20" s="40">
        <f t="shared" si="3"/>
        <v>240</v>
      </c>
      <c r="Y20" s="53" t="s">
        <v>71</v>
      </c>
    </row>
    <row r="21" spans="1:25">
      <c r="A21" s="37">
        <v>43526</v>
      </c>
      <c r="B21" s="38" t="s">
        <v>33</v>
      </c>
      <c r="C21" s="91">
        <v>25000</v>
      </c>
      <c r="D21" s="91">
        <v>8000</v>
      </c>
      <c r="E21" s="39">
        <f t="shared" si="6"/>
        <v>89000</v>
      </c>
      <c r="F21" s="39">
        <f t="shared" si="7"/>
        <v>57000</v>
      </c>
      <c r="G21" s="92">
        <v>4000</v>
      </c>
      <c r="H21" s="39">
        <f t="shared" si="8"/>
        <v>4000</v>
      </c>
      <c r="I21" s="39"/>
      <c r="J21" s="93"/>
      <c r="R21" s="96">
        <v>43541</v>
      </c>
      <c r="S21" s="45" t="s">
        <v>37</v>
      </c>
      <c r="T21" s="46">
        <v>0</v>
      </c>
      <c r="U21" s="46">
        <f t="shared" si="1"/>
        <v>6500</v>
      </c>
      <c r="V21" s="47">
        <f t="shared" si="2"/>
        <v>11845.161290322576</v>
      </c>
      <c r="W21" s="34" t="s">
        <v>561</v>
      </c>
      <c r="X21" s="48">
        <f t="shared" si="3"/>
        <v>195.47291835084883</v>
      </c>
      <c r="Y21" s="98" t="s">
        <v>71</v>
      </c>
    </row>
    <row r="22" spans="1:25">
      <c r="A22" s="44">
        <v>43527</v>
      </c>
      <c r="B22" s="45" t="s">
        <v>37</v>
      </c>
      <c r="C22" s="99">
        <v>0</v>
      </c>
      <c r="D22" s="99">
        <v>4000</v>
      </c>
      <c r="E22" s="46">
        <f t="shared" si="6"/>
        <v>32000</v>
      </c>
      <c r="F22" s="46">
        <f t="shared" si="7"/>
        <v>0</v>
      </c>
      <c r="G22" s="100">
        <v>4000</v>
      </c>
      <c r="H22" s="46">
        <f t="shared" si="8"/>
        <v>0</v>
      </c>
      <c r="I22" s="46"/>
      <c r="J22" s="101"/>
      <c r="R22" s="68">
        <v>43542</v>
      </c>
      <c r="S22" s="51" t="s">
        <v>41</v>
      </c>
      <c r="T22" s="39">
        <v>0</v>
      </c>
      <c r="U22" s="52">
        <v>9500</v>
      </c>
      <c r="V22" s="23">
        <f t="shared" si="2"/>
        <v>-12154.838709677424</v>
      </c>
      <c r="W22" t="s">
        <v>574</v>
      </c>
      <c r="X22" s="40">
        <f t="shared" si="3"/>
        <v>285.69118835893295</v>
      </c>
      <c r="Y22" s="53" t="s">
        <v>73</v>
      </c>
    </row>
    <row r="23" spans="1:25">
      <c r="A23" s="50">
        <v>43528</v>
      </c>
      <c r="B23" s="51" t="s">
        <v>41</v>
      </c>
      <c r="C23" s="91">
        <v>25000</v>
      </c>
      <c r="D23" s="103">
        <v>8000</v>
      </c>
      <c r="E23" s="39">
        <f t="shared" si="6"/>
        <v>89000</v>
      </c>
      <c r="F23" s="39">
        <f t="shared" si="7"/>
        <v>29000</v>
      </c>
      <c r="G23" s="104">
        <v>7500</v>
      </c>
      <c r="H23" s="39">
        <f t="shared" si="8"/>
        <v>500</v>
      </c>
      <c r="I23" s="105"/>
      <c r="J23" s="106" t="s">
        <v>42</v>
      </c>
      <c r="R23" s="73">
        <v>43543</v>
      </c>
      <c r="S23" s="38" t="s">
        <v>46</v>
      </c>
      <c r="T23" s="39">
        <v>0</v>
      </c>
      <c r="U23" s="52">
        <v>6500</v>
      </c>
      <c r="V23" s="23">
        <f t="shared" si="2"/>
        <v>11845.161290322576</v>
      </c>
      <c r="W23" t="s">
        <v>575</v>
      </c>
      <c r="X23" s="40">
        <f t="shared" si="3"/>
        <v>195.47291835084883</v>
      </c>
      <c r="Y23" s="69" t="s">
        <v>74</v>
      </c>
    </row>
    <row r="24" spans="1:25">
      <c r="A24" s="37">
        <v>43529</v>
      </c>
      <c r="B24" s="38" t="s">
        <v>46</v>
      </c>
      <c r="C24" s="91">
        <v>25000</v>
      </c>
      <c r="D24" s="91">
        <v>8000</v>
      </c>
      <c r="E24" s="39">
        <f t="shared" si="6"/>
        <v>89000</v>
      </c>
      <c r="F24" s="39">
        <f t="shared" si="7"/>
        <v>41000</v>
      </c>
      <c r="G24" s="92">
        <v>6000</v>
      </c>
      <c r="H24" s="39">
        <f t="shared" si="8"/>
        <v>2000</v>
      </c>
      <c r="I24" s="39"/>
      <c r="J24" s="93"/>
      <c r="R24" s="73">
        <v>43544</v>
      </c>
      <c r="S24" s="38" t="s">
        <v>49</v>
      </c>
      <c r="T24" s="39">
        <f t="shared" ref="T24:T27" si="9">V24</f>
        <v>5445.161290322576</v>
      </c>
      <c r="U24" s="39">
        <f t="shared" ref="U24:U35" si="10">G39</f>
        <v>7300</v>
      </c>
      <c r="V24" s="23">
        <f t="shared" si="2"/>
        <v>5445.161290322576</v>
      </c>
      <c r="W24" t="s">
        <v>23</v>
      </c>
      <c r="X24" s="40">
        <f t="shared" si="3"/>
        <v>240</v>
      </c>
      <c r="Y24" s="53" t="s">
        <v>75</v>
      </c>
    </row>
    <row r="25" spans="1:25">
      <c r="A25" s="37">
        <v>43530</v>
      </c>
      <c r="B25" s="38" t="s">
        <v>49</v>
      </c>
      <c r="C25" s="91">
        <v>25000</v>
      </c>
      <c r="D25" s="91">
        <v>8000</v>
      </c>
      <c r="E25" s="39">
        <f t="shared" si="6"/>
        <v>89000</v>
      </c>
      <c r="F25" s="39">
        <f t="shared" si="7"/>
        <v>45000</v>
      </c>
      <c r="G25" s="92">
        <v>5500</v>
      </c>
      <c r="H25" s="39">
        <f t="shared" si="8"/>
        <v>2500</v>
      </c>
      <c r="I25" s="39"/>
      <c r="J25" s="93"/>
      <c r="R25" s="73">
        <v>43545</v>
      </c>
      <c r="S25" s="38" t="s">
        <v>51</v>
      </c>
      <c r="T25" s="39">
        <f t="shared" si="9"/>
        <v>5445.161290322576</v>
      </c>
      <c r="U25" s="39">
        <f t="shared" si="10"/>
        <v>7300</v>
      </c>
      <c r="V25" s="23">
        <f t="shared" si="2"/>
        <v>5445.161290322576</v>
      </c>
      <c r="W25" t="s">
        <v>23</v>
      </c>
      <c r="X25" s="40">
        <f t="shared" si="3"/>
        <v>240</v>
      </c>
      <c r="Y25" s="53" t="s">
        <v>75</v>
      </c>
    </row>
    <row r="26" spans="1:25">
      <c r="A26" s="37">
        <v>43531</v>
      </c>
      <c r="B26" s="38" t="s">
        <v>51</v>
      </c>
      <c r="C26" s="91">
        <v>25000</v>
      </c>
      <c r="D26" s="91">
        <v>8000</v>
      </c>
      <c r="E26" s="39">
        <f t="shared" si="6"/>
        <v>89000</v>
      </c>
      <c r="F26" s="39">
        <f t="shared" si="7"/>
        <v>45000</v>
      </c>
      <c r="G26" s="92">
        <v>5500</v>
      </c>
      <c r="H26" s="39">
        <f t="shared" si="8"/>
        <v>2500</v>
      </c>
      <c r="I26" s="39"/>
      <c r="J26" s="93"/>
      <c r="R26" s="73">
        <v>43546</v>
      </c>
      <c r="S26" s="38" t="s">
        <v>29</v>
      </c>
      <c r="T26" s="39">
        <f t="shared" si="9"/>
        <v>27845.161290322576</v>
      </c>
      <c r="U26" s="39">
        <f t="shared" si="10"/>
        <v>4500</v>
      </c>
      <c r="V26" s="23">
        <f t="shared" si="2"/>
        <v>27845.161290322576</v>
      </c>
      <c r="W26" t="s">
        <v>23</v>
      </c>
      <c r="X26" s="40">
        <f t="shared" si="3"/>
        <v>240</v>
      </c>
      <c r="Y26" s="41"/>
    </row>
    <row r="27" spans="1:25">
      <c r="A27" s="37">
        <v>43532</v>
      </c>
      <c r="B27" s="38" t="s">
        <v>29</v>
      </c>
      <c r="C27" s="91">
        <v>25000</v>
      </c>
      <c r="D27" s="91">
        <v>8000</v>
      </c>
      <c r="E27" s="39">
        <f t="shared" si="6"/>
        <v>89000</v>
      </c>
      <c r="F27" s="39">
        <f t="shared" si="7"/>
        <v>53000</v>
      </c>
      <c r="G27" s="92">
        <v>4500</v>
      </c>
      <c r="H27" s="39">
        <f t="shared" si="8"/>
        <v>3500</v>
      </c>
      <c r="I27" s="39"/>
      <c r="J27" s="93"/>
      <c r="R27" s="73">
        <v>43547</v>
      </c>
      <c r="S27" s="38" t="s">
        <v>33</v>
      </c>
      <c r="T27" s="39">
        <f t="shared" si="9"/>
        <v>31845.161290322576</v>
      </c>
      <c r="U27" s="39">
        <f t="shared" si="10"/>
        <v>4000</v>
      </c>
      <c r="V27" s="23">
        <f t="shared" si="2"/>
        <v>31845.161290322576</v>
      </c>
      <c r="W27" t="s">
        <v>23</v>
      </c>
      <c r="X27" s="40">
        <f t="shared" si="3"/>
        <v>240</v>
      </c>
      <c r="Y27" s="41"/>
    </row>
    <row r="28" spans="1:25">
      <c r="A28" s="37">
        <v>43533</v>
      </c>
      <c r="B28" s="38" t="s">
        <v>33</v>
      </c>
      <c r="C28" s="91">
        <v>25000</v>
      </c>
      <c r="D28" s="91">
        <v>8000</v>
      </c>
      <c r="E28" s="39">
        <f t="shared" si="6"/>
        <v>89000</v>
      </c>
      <c r="F28" s="39">
        <f t="shared" si="7"/>
        <v>57000</v>
      </c>
      <c r="G28" s="92">
        <v>4000</v>
      </c>
      <c r="H28" s="39">
        <f t="shared" si="8"/>
        <v>4000</v>
      </c>
      <c r="I28" s="39"/>
      <c r="J28" s="93"/>
      <c r="R28" s="96">
        <v>43548</v>
      </c>
      <c r="S28" s="45" t="s">
        <v>37</v>
      </c>
      <c r="T28" s="46">
        <v>0</v>
      </c>
      <c r="U28" s="46">
        <f t="shared" si="10"/>
        <v>4000</v>
      </c>
      <c r="V28" s="47">
        <f t="shared" si="2"/>
        <v>31845.161290322576</v>
      </c>
      <c r="W28" s="34" t="s">
        <v>561</v>
      </c>
      <c r="X28" s="48">
        <f t="shared" si="3"/>
        <v>120.29102667744544</v>
      </c>
      <c r="Y28" s="49"/>
    </row>
    <row r="29" spans="1:25">
      <c r="A29" s="44">
        <v>43534</v>
      </c>
      <c r="B29" s="45" t="s">
        <v>37</v>
      </c>
      <c r="C29" s="99">
        <v>0</v>
      </c>
      <c r="D29" s="99">
        <v>4000</v>
      </c>
      <c r="E29" s="46">
        <f t="shared" si="6"/>
        <v>32000</v>
      </c>
      <c r="F29" s="46">
        <f t="shared" si="7"/>
        <v>0</v>
      </c>
      <c r="G29" s="100">
        <v>4000</v>
      </c>
      <c r="H29" s="46">
        <f t="shared" si="8"/>
        <v>0</v>
      </c>
      <c r="I29" s="46"/>
      <c r="J29" s="108"/>
      <c r="R29" s="68">
        <v>43549</v>
      </c>
      <c r="S29" s="51" t="s">
        <v>41</v>
      </c>
      <c r="T29" s="39">
        <v>2000</v>
      </c>
      <c r="U29" s="52">
        <f t="shared" si="10"/>
        <v>7500</v>
      </c>
      <c r="V29" s="23">
        <f t="shared" si="2"/>
        <v>3845.161290322576</v>
      </c>
      <c r="W29" t="s">
        <v>562</v>
      </c>
      <c r="X29" s="40">
        <f t="shared" si="3"/>
        <v>233.06386418755054</v>
      </c>
      <c r="Y29" s="69" t="s">
        <v>60</v>
      </c>
    </row>
    <row r="30" spans="1:25">
      <c r="A30" s="68">
        <v>43535</v>
      </c>
      <c r="B30" s="51" t="s">
        <v>41</v>
      </c>
      <c r="C30" s="91">
        <v>25000</v>
      </c>
      <c r="D30" s="103">
        <v>8000</v>
      </c>
      <c r="E30" s="39">
        <f t="shared" si="6"/>
        <v>89000</v>
      </c>
      <c r="F30" s="39">
        <f t="shared" si="7"/>
        <v>29000</v>
      </c>
      <c r="G30" s="104">
        <v>7500</v>
      </c>
      <c r="H30" s="39">
        <f t="shared" si="8"/>
        <v>500</v>
      </c>
      <c r="I30" s="105"/>
      <c r="J30" s="106" t="s">
        <v>76</v>
      </c>
      <c r="R30" s="73">
        <v>43550</v>
      </c>
      <c r="S30" s="38" t="s">
        <v>46</v>
      </c>
      <c r="T30" s="39">
        <f t="shared" ref="T30:T33" si="11">V30</f>
        <v>15845.161290322576</v>
      </c>
      <c r="U30" s="39">
        <f t="shared" si="10"/>
        <v>6000</v>
      </c>
      <c r="V30" s="23">
        <f t="shared" si="2"/>
        <v>15845.161290322576</v>
      </c>
      <c r="W30" t="s">
        <v>23</v>
      </c>
      <c r="X30" s="40">
        <f t="shared" si="3"/>
        <v>240</v>
      </c>
      <c r="Y30" s="41"/>
    </row>
    <row r="31" spans="1:25">
      <c r="A31" s="73">
        <v>43536</v>
      </c>
      <c r="B31" s="38" t="s">
        <v>46</v>
      </c>
      <c r="C31" s="91">
        <v>25000</v>
      </c>
      <c r="D31" s="91">
        <v>8000</v>
      </c>
      <c r="E31" s="39">
        <f t="shared" si="6"/>
        <v>89000</v>
      </c>
      <c r="F31" s="39">
        <f t="shared" si="7"/>
        <v>41000</v>
      </c>
      <c r="G31" s="92">
        <v>6000</v>
      </c>
      <c r="H31" s="39">
        <f t="shared" si="8"/>
        <v>2000</v>
      </c>
      <c r="I31" s="39"/>
      <c r="J31" s="93"/>
      <c r="R31" s="73">
        <v>43551</v>
      </c>
      <c r="S31" s="38" t="s">
        <v>49</v>
      </c>
      <c r="T31" s="39">
        <f t="shared" si="11"/>
        <v>19845.161290322576</v>
      </c>
      <c r="U31" s="39">
        <f t="shared" si="10"/>
        <v>5500</v>
      </c>
      <c r="V31" s="23">
        <f t="shared" si="2"/>
        <v>19845.161290322576</v>
      </c>
      <c r="W31" t="s">
        <v>23</v>
      </c>
      <c r="X31" s="40">
        <f t="shared" si="3"/>
        <v>240</v>
      </c>
      <c r="Y31" s="41"/>
    </row>
    <row r="32" spans="1:25">
      <c r="A32" s="73">
        <v>43537</v>
      </c>
      <c r="B32" s="38" t="s">
        <v>49</v>
      </c>
      <c r="C32" s="91">
        <v>25000</v>
      </c>
      <c r="D32" s="91">
        <v>8000</v>
      </c>
      <c r="E32" s="39">
        <f t="shared" si="6"/>
        <v>89000</v>
      </c>
      <c r="F32" s="39">
        <f t="shared" si="7"/>
        <v>45000</v>
      </c>
      <c r="G32" s="92">
        <v>5500</v>
      </c>
      <c r="H32" s="39">
        <f t="shared" si="8"/>
        <v>2500</v>
      </c>
      <c r="I32" s="39"/>
      <c r="J32" s="93"/>
      <c r="R32" s="73">
        <v>43552</v>
      </c>
      <c r="S32" s="38" t="s">
        <v>51</v>
      </c>
      <c r="T32" s="39">
        <f t="shared" si="11"/>
        <v>19845.161290322576</v>
      </c>
      <c r="U32" s="39">
        <f t="shared" si="10"/>
        <v>5500</v>
      </c>
      <c r="V32" s="23">
        <f t="shared" si="2"/>
        <v>19845.161290322576</v>
      </c>
      <c r="W32" t="s">
        <v>23</v>
      </c>
      <c r="X32" s="40">
        <f t="shared" si="3"/>
        <v>240</v>
      </c>
      <c r="Y32" s="41"/>
    </row>
    <row r="33" spans="1:25">
      <c r="A33" s="73">
        <v>43538</v>
      </c>
      <c r="B33" s="38" t="s">
        <v>51</v>
      </c>
      <c r="C33" s="91">
        <v>25000</v>
      </c>
      <c r="D33" s="91">
        <v>8000</v>
      </c>
      <c r="E33" s="39">
        <f t="shared" si="6"/>
        <v>89000</v>
      </c>
      <c r="F33" s="39">
        <f t="shared" si="7"/>
        <v>45000</v>
      </c>
      <c r="G33" s="92">
        <v>5500</v>
      </c>
      <c r="H33" s="39">
        <f t="shared" si="8"/>
        <v>2500</v>
      </c>
      <c r="I33" s="39"/>
      <c r="J33" s="93"/>
      <c r="R33" s="73">
        <v>43553</v>
      </c>
      <c r="S33" s="38" t="s">
        <v>29</v>
      </c>
      <c r="T33" s="39">
        <f t="shared" si="11"/>
        <v>27845.161290322576</v>
      </c>
      <c r="U33" s="39">
        <f t="shared" si="10"/>
        <v>4500</v>
      </c>
      <c r="V33" s="23">
        <f t="shared" si="2"/>
        <v>27845.161290322576</v>
      </c>
      <c r="W33" t="s">
        <v>23</v>
      </c>
      <c r="X33" s="40">
        <f t="shared" si="3"/>
        <v>240</v>
      </c>
      <c r="Y33" s="41"/>
    </row>
    <row r="34" spans="1:25">
      <c r="A34" s="73">
        <v>43539</v>
      </c>
      <c r="B34" s="38" t="s">
        <v>29</v>
      </c>
      <c r="C34" s="91">
        <v>25000</v>
      </c>
      <c r="D34" s="91">
        <v>8000</v>
      </c>
      <c r="E34" s="39">
        <f t="shared" si="6"/>
        <v>89000</v>
      </c>
      <c r="F34" s="39">
        <f t="shared" si="7"/>
        <v>37000</v>
      </c>
      <c r="G34" s="92">
        <v>6500</v>
      </c>
      <c r="H34" s="39">
        <f t="shared" si="8"/>
        <v>1500</v>
      </c>
      <c r="I34" s="39"/>
      <c r="J34" s="106" t="s">
        <v>71</v>
      </c>
      <c r="R34" s="73">
        <v>43554</v>
      </c>
      <c r="S34" s="38" t="s">
        <v>33</v>
      </c>
      <c r="T34" s="39">
        <f>V34-U38</f>
        <v>31845.161290322576</v>
      </c>
      <c r="U34" s="39">
        <f t="shared" si="10"/>
        <v>4000</v>
      </c>
      <c r="V34" s="23">
        <f t="shared" si="2"/>
        <v>31845.161290322576</v>
      </c>
      <c r="W34" t="s">
        <v>23</v>
      </c>
      <c r="X34" s="40">
        <f t="shared" si="3"/>
        <v>240</v>
      </c>
      <c r="Y34" s="41"/>
    </row>
    <row r="35" spans="1:25">
      <c r="A35" s="73">
        <v>43540</v>
      </c>
      <c r="B35" s="38" t="s">
        <v>33</v>
      </c>
      <c r="C35" s="91">
        <v>25000</v>
      </c>
      <c r="D35" s="91">
        <v>8000</v>
      </c>
      <c r="E35" s="39">
        <f t="shared" si="6"/>
        <v>89000</v>
      </c>
      <c r="F35" s="39">
        <f t="shared" si="7"/>
        <v>37000</v>
      </c>
      <c r="G35" s="92">
        <v>6500</v>
      </c>
      <c r="H35" s="39">
        <f t="shared" si="8"/>
        <v>1500</v>
      </c>
      <c r="I35" s="39"/>
      <c r="J35" s="106" t="s">
        <v>71</v>
      </c>
      <c r="R35" s="96">
        <v>43555</v>
      </c>
      <c r="S35" s="45" t="s">
        <v>37</v>
      </c>
      <c r="T35" s="46">
        <v>0</v>
      </c>
      <c r="U35" s="46">
        <f t="shared" si="10"/>
        <v>4000</v>
      </c>
      <c r="V35" s="47">
        <f t="shared" si="2"/>
        <v>31845.161290322576</v>
      </c>
      <c r="W35" s="34" t="s">
        <v>561</v>
      </c>
      <c r="X35" s="48">
        <f t="shared" si="3"/>
        <v>120.29102667744544</v>
      </c>
      <c r="Y35" s="49"/>
    </row>
    <row r="36" spans="1:25">
      <c r="A36" s="96">
        <v>43541</v>
      </c>
      <c r="B36" s="45" t="s">
        <v>37</v>
      </c>
      <c r="C36" s="99">
        <v>0</v>
      </c>
      <c r="D36" s="99">
        <v>4000</v>
      </c>
      <c r="E36" s="46">
        <f t="shared" si="6"/>
        <v>32000</v>
      </c>
      <c r="F36" s="46">
        <f t="shared" si="7"/>
        <v>-20000</v>
      </c>
      <c r="G36" s="100">
        <v>6500</v>
      </c>
      <c r="H36" s="46">
        <f t="shared" si="8"/>
        <v>-2500</v>
      </c>
      <c r="I36" s="46"/>
      <c r="J36" s="111" t="s">
        <v>71</v>
      </c>
      <c r="R36" s="112"/>
      <c r="S36" s="113"/>
      <c r="T36" s="114">
        <f t="shared" ref="T36:U36" si="12">SUM(T5:T35)</f>
        <v>445948.38709677383</v>
      </c>
      <c r="U36" s="114">
        <f t="shared" si="12"/>
        <v>173600</v>
      </c>
    </row>
    <row r="37" spans="1:25">
      <c r="A37" s="68">
        <v>43542</v>
      </c>
      <c r="B37" s="51" t="s">
        <v>41</v>
      </c>
      <c r="C37" s="91">
        <v>25000</v>
      </c>
      <c r="D37" s="116">
        <v>8000</v>
      </c>
      <c r="E37" s="39">
        <f t="shared" si="6"/>
        <v>89000</v>
      </c>
      <c r="F37" s="39">
        <f t="shared" si="7"/>
        <v>13000</v>
      </c>
      <c r="G37" s="117">
        <v>9500</v>
      </c>
      <c r="H37" s="39">
        <f t="shared" si="8"/>
        <v>-1500</v>
      </c>
      <c r="I37" s="118"/>
      <c r="J37" s="106" t="s">
        <v>73</v>
      </c>
      <c r="T37">
        <f>T36/26</f>
        <v>17151.861042183609</v>
      </c>
    </row>
    <row r="38" spans="1:25">
      <c r="A38" s="73">
        <v>43543</v>
      </c>
      <c r="B38" s="38" t="s">
        <v>46</v>
      </c>
      <c r="C38" s="91">
        <v>25000</v>
      </c>
      <c r="D38" s="116">
        <v>8000</v>
      </c>
      <c r="E38" s="39">
        <f t="shared" si="6"/>
        <v>89000</v>
      </c>
      <c r="F38" s="39">
        <f t="shared" si="7"/>
        <v>37000</v>
      </c>
      <c r="G38" s="117">
        <v>6500</v>
      </c>
      <c r="H38" s="39">
        <f t="shared" si="8"/>
        <v>1500</v>
      </c>
      <c r="I38" s="118"/>
      <c r="J38" s="106" t="s">
        <v>77</v>
      </c>
      <c r="N38" s="4" t="s">
        <v>78</v>
      </c>
    </row>
    <row r="39" spans="1:25">
      <c r="A39" s="73">
        <v>43544</v>
      </c>
      <c r="B39" s="38" t="s">
        <v>49</v>
      </c>
      <c r="C39" s="91">
        <v>25000</v>
      </c>
      <c r="D39" s="116">
        <v>8000</v>
      </c>
      <c r="E39" s="39">
        <f t="shared" si="6"/>
        <v>89000</v>
      </c>
      <c r="F39" s="39">
        <f t="shared" si="7"/>
        <v>30600</v>
      </c>
      <c r="G39" s="117">
        <v>7300</v>
      </c>
      <c r="H39" s="39">
        <f t="shared" si="8"/>
        <v>700</v>
      </c>
      <c r="I39" s="118"/>
      <c r="J39" s="106" t="s">
        <v>75</v>
      </c>
      <c r="N39" s="4" t="s">
        <v>79</v>
      </c>
    </row>
    <row r="40" spans="1:25">
      <c r="A40" s="73">
        <v>43545</v>
      </c>
      <c r="B40" s="38" t="s">
        <v>51</v>
      </c>
      <c r="C40" s="91">
        <v>25000</v>
      </c>
      <c r="D40" s="116">
        <v>8000</v>
      </c>
      <c r="E40" s="39">
        <f t="shared" si="6"/>
        <v>89000</v>
      </c>
      <c r="F40" s="39">
        <f t="shared" si="7"/>
        <v>30600</v>
      </c>
      <c r="G40" s="117">
        <v>7300</v>
      </c>
      <c r="H40" s="39">
        <f t="shared" si="8"/>
        <v>700</v>
      </c>
      <c r="I40" s="118"/>
      <c r="J40" s="106" t="s">
        <v>75</v>
      </c>
      <c r="N40" s="119" t="s">
        <v>80</v>
      </c>
    </row>
    <row r="41" spans="1:25">
      <c r="A41" s="73">
        <v>43546</v>
      </c>
      <c r="B41" s="38" t="s">
        <v>29</v>
      </c>
      <c r="C41" s="91">
        <v>25000</v>
      </c>
      <c r="D41" s="116">
        <v>8000</v>
      </c>
      <c r="E41" s="39">
        <f t="shared" si="6"/>
        <v>89000</v>
      </c>
      <c r="F41" s="39">
        <f t="shared" si="7"/>
        <v>53000</v>
      </c>
      <c r="G41" s="120">
        <v>4500</v>
      </c>
      <c r="H41" s="39">
        <f t="shared" si="8"/>
        <v>3500</v>
      </c>
      <c r="I41" s="118"/>
      <c r="J41" s="93"/>
    </row>
    <row r="42" spans="1:25">
      <c r="A42" s="73">
        <v>43547</v>
      </c>
      <c r="B42" s="38" t="s">
        <v>33</v>
      </c>
      <c r="C42" s="91">
        <v>25000</v>
      </c>
      <c r="D42" s="116">
        <v>8000</v>
      </c>
      <c r="E42" s="39">
        <f t="shared" si="6"/>
        <v>89000</v>
      </c>
      <c r="F42" s="39">
        <f t="shared" si="7"/>
        <v>57000</v>
      </c>
      <c r="G42" s="120">
        <v>4000</v>
      </c>
      <c r="H42" s="39">
        <f t="shared" si="8"/>
        <v>4000</v>
      </c>
      <c r="I42" s="118"/>
      <c r="J42" s="93"/>
    </row>
    <row r="43" spans="1:25">
      <c r="A43" s="96">
        <v>43548</v>
      </c>
      <c r="B43" s="45" t="s">
        <v>37</v>
      </c>
      <c r="C43" s="99">
        <v>0</v>
      </c>
      <c r="D43" s="99">
        <v>4000</v>
      </c>
      <c r="E43" s="46">
        <f t="shared" si="6"/>
        <v>32000</v>
      </c>
      <c r="F43" s="46">
        <f t="shared" si="7"/>
        <v>0</v>
      </c>
      <c r="G43" s="121">
        <v>4000</v>
      </c>
      <c r="H43" s="46">
        <f t="shared" si="8"/>
        <v>0</v>
      </c>
      <c r="I43" s="122"/>
      <c r="J43" s="101"/>
    </row>
    <row r="44" spans="1:25">
      <c r="A44" s="68">
        <v>43549</v>
      </c>
      <c r="B44" s="51" t="s">
        <v>41</v>
      </c>
      <c r="C44" s="91">
        <v>25000</v>
      </c>
      <c r="D44" s="116">
        <v>8000</v>
      </c>
      <c r="E44" s="39">
        <f t="shared" si="6"/>
        <v>89000</v>
      </c>
      <c r="F44" s="39">
        <f t="shared" si="7"/>
        <v>29000</v>
      </c>
      <c r="G44" s="117">
        <v>7500</v>
      </c>
      <c r="H44" s="39">
        <f t="shared" si="8"/>
        <v>500</v>
      </c>
      <c r="I44" s="118"/>
      <c r="J44" s="106" t="s">
        <v>76</v>
      </c>
    </row>
    <row r="45" spans="1:25">
      <c r="A45" s="73">
        <v>43550</v>
      </c>
      <c r="B45" s="38" t="s">
        <v>46</v>
      </c>
      <c r="C45" s="91">
        <v>25000</v>
      </c>
      <c r="D45" s="116">
        <v>8000</v>
      </c>
      <c r="E45" s="39">
        <f t="shared" si="6"/>
        <v>89000</v>
      </c>
      <c r="F45" s="39">
        <f t="shared" si="7"/>
        <v>41000</v>
      </c>
      <c r="G45" s="120">
        <v>6000</v>
      </c>
      <c r="H45" s="39">
        <f t="shared" si="8"/>
        <v>2000</v>
      </c>
      <c r="I45" s="118"/>
      <c r="J45" s="93"/>
      <c r="N45" s="4" t="s">
        <v>559</v>
      </c>
    </row>
    <row r="46" spans="1:25">
      <c r="A46" s="73">
        <v>43551</v>
      </c>
      <c r="B46" s="38" t="s">
        <v>49</v>
      </c>
      <c r="C46" s="91">
        <v>25000</v>
      </c>
      <c r="D46" s="116">
        <v>8000</v>
      </c>
      <c r="E46" s="39">
        <f t="shared" si="6"/>
        <v>89000</v>
      </c>
      <c r="F46" s="39">
        <f t="shared" si="7"/>
        <v>45000</v>
      </c>
      <c r="G46" s="120">
        <v>5500</v>
      </c>
      <c r="H46" s="39">
        <f t="shared" si="8"/>
        <v>2500</v>
      </c>
      <c r="I46" s="118"/>
      <c r="J46" s="93"/>
      <c r="N46" s="4" t="s">
        <v>560</v>
      </c>
    </row>
    <row r="47" spans="1:25">
      <c r="A47" s="73">
        <v>43552</v>
      </c>
      <c r="B47" s="38" t="s">
        <v>51</v>
      </c>
      <c r="C47" s="91">
        <v>25000</v>
      </c>
      <c r="D47" s="116">
        <v>8000</v>
      </c>
      <c r="E47" s="39">
        <f t="shared" si="6"/>
        <v>89000</v>
      </c>
      <c r="F47" s="39">
        <f t="shared" si="7"/>
        <v>45000</v>
      </c>
      <c r="G47" s="120">
        <v>5500</v>
      </c>
      <c r="H47" s="39">
        <f t="shared" si="8"/>
        <v>2500</v>
      </c>
      <c r="J47" s="93"/>
    </row>
    <row r="48" spans="1:25">
      <c r="A48" s="73">
        <v>43553</v>
      </c>
      <c r="B48" s="38" t="s">
        <v>29</v>
      </c>
      <c r="C48" s="91">
        <v>25000</v>
      </c>
      <c r="D48" s="116">
        <v>8000</v>
      </c>
      <c r="E48" s="39">
        <f t="shared" si="6"/>
        <v>89000</v>
      </c>
      <c r="F48" s="39">
        <f t="shared" si="7"/>
        <v>53000</v>
      </c>
      <c r="G48" s="120">
        <v>4500</v>
      </c>
      <c r="H48" s="39">
        <f t="shared" si="8"/>
        <v>3500</v>
      </c>
      <c r="I48" s="2"/>
      <c r="J48" s="93"/>
    </row>
    <row r="49" spans="1:15">
      <c r="A49" s="73">
        <v>43554</v>
      </c>
      <c r="B49" s="38" t="s">
        <v>33</v>
      </c>
      <c r="C49" s="91">
        <v>25000</v>
      </c>
      <c r="D49" s="116">
        <v>8000</v>
      </c>
      <c r="E49" s="39">
        <f t="shared" si="6"/>
        <v>89000</v>
      </c>
      <c r="F49" s="39">
        <f t="shared" si="7"/>
        <v>57000</v>
      </c>
      <c r="G49" s="120">
        <v>4000</v>
      </c>
      <c r="H49" s="39">
        <f t="shared" si="8"/>
        <v>4000</v>
      </c>
      <c r="I49" s="2"/>
      <c r="J49" s="93"/>
    </row>
    <row r="50" spans="1:15">
      <c r="A50" s="96">
        <v>43555</v>
      </c>
      <c r="B50" s="45" t="s">
        <v>37</v>
      </c>
      <c r="C50" s="99">
        <v>0</v>
      </c>
      <c r="D50" s="99">
        <v>4000</v>
      </c>
      <c r="E50" s="46">
        <f t="shared" si="6"/>
        <v>32000</v>
      </c>
      <c r="F50" s="46">
        <f t="shared" si="7"/>
        <v>0</v>
      </c>
      <c r="G50" s="121">
        <v>4000</v>
      </c>
      <c r="H50" s="46">
        <f t="shared" si="8"/>
        <v>0</v>
      </c>
      <c r="I50" s="122"/>
      <c r="J50" s="101"/>
    </row>
    <row r="51" spans="1:15" ht="13">
      <c r="A51" s="2"/>
      <c r="B51" s="2"/>
      <c r="C51" s="2"/>
      <c r="D51" s="2"/>
      <c r="E51" s="2"/>
      <c r="F51" s="2"/>
      <c r="G51" s="2"/>
      <c r="H51" s="2"/>
      <c r="I51" s="2"/>
    </row>
    <row r="52" spans="1:15" ht="13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5" ht="13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5" ht="13">
      <c r="A54" s="2"/>
      <c r="B54" s="2"/>
      <c r="C54" s="2"/>
      <c r="D54" s="2"/>
      <c r="E54" s="2"/>
      <c r="F54" s="2"/>
      <c r="G54" s="2"/>
      <c r="H54" s="2"/>
      <c r="I54" s="2"/>
      <c r="J54" s="13" t="s">
        <v>81</v>
      </c>
      <c r="L54" s="112" t="s">
        <v>82</v>
      </c>
      <c r="O54" s="113"/>
    </row>
    <row r="55" spans="1:15" ht="13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5" ht="13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5" ht="13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5" ht="13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5" ht="13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5" ht="13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5" ht="13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5" ht="13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5" ht="1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5" ht="13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3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3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3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3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3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3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3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3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3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3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3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3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3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3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3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3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3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3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3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3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3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3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3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3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3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3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3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3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3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3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3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3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3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3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3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3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3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3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3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3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3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3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3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3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3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3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3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3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3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3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3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3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3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3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3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3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3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3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3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3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3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3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3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3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3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3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3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3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3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3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3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3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3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3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3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3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3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3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3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3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3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3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3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3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3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3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3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3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3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3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3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3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3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3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3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3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3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3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3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3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3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3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3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3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3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3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3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3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3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3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3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3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3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3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3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3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3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3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3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3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3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3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3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3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3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3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3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3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3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3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3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3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3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3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3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3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3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3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3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3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3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3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3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3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3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3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3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3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3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3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3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3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3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3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3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3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3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3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3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3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3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3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3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3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3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3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3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3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3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3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3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3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3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3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3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3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3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3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3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3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3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3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3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3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3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3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3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3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3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3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3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3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3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3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3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3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3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3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3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3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3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3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3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3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3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3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3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3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3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3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">
      <c r="A992" s="2"/>
      <c r="B992" s="2"/>
      <c r="C992" s="2"/>
      <c r="D992" s="2"/>
      <c r="E992" s="2"/>
      <c r="F992" s="2"/>
      <c r="G992" s="2"/>
      <c r="H992" s="2"/>
      <c r="I992" s="2"/>
      <c r="J992" s="2"/>
    </row>
  </sheetData>
  <mergeCells count="18">
    <mergeCell ref="A17:B17"/>
    <mergeCell ref="C17:E17"/>
    <mergeCell ref="F17:H17"/>
    <mergeCell ref="A18:B19"/>
    <mergeCell ref="C18:C19"/>
    <mergeCell ref="G18:H18"/>
    <mergeCell ref="D18:D19"/>
    <mergeCell ref="E18:E19"/>
    <mergeCell ref="J17:J19"/>
    <mergeCell ref="I18:I19"/>
    <mergeCell ref="T3:T4"/>
    <mergeCell ref="R2:S4"/>
    <mergeCell ref="T2:U2"/>
    <mergeCell ref="X2:X4"/>
    <mergeCell ref="Y2:Y4"/>
    <mergeCell ref="U3:U4"/>
    <mergeCell ref="V3:V4"/>
    <mergeCell ref="W3:W4"/>
  </mergeCells>
  <phoneticPr fontId="68" type="noConversion"/>
  <conditionalFormatting sqref="X5:X35">
    <cfRule type="cellIs" dxfId="0" priority="1" operator="greaterThan">
      <formula>240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R1007"/>
  <sheetViews>
    <sheetView workbookViewId="0"/>
  </sheetViews>
  <sheetFormatPr baseColWidth="10" defaultColWidth="12.6640625" defaultRowHeight="15.75" customHeight="1"/>
  <cols>
    <col min="1" max="2" width="7" customWidth="1"/>
    <col min="3" max="8" width="7.6640625" customWidth="1"/>
    <col min="9" max="9" width="14.5" customWidth="1"/>
    <col min="10" max="10" width="26" customWidth="1"/>
    <col min="11" max="11" width="6.6640625" customWidth="1"/>
    <col min="12" max="12" width="4.6640625" customWidth="1"/>
    <col min="13" max="13" width="7.33203125" customWidth="1"/>
    <col min="14" max="14" width="24.33203125" customWidth="1"/>
    <col min="16" max="16" width="9" customWidth="1"/>
    <col min="17" max="17" width="5.1640625" customWidth="1"/>
    <col min="18" max="19" width="4.6640625" customWidth="1"/>
    <col min="20" max="21" width="7.6640625" customWidth="1"/>
    <col min="23" max="23" width="16.33203125" customWidth="1"/>
    <col min="24" max="24" width="9.1640625" customWidth="1"/>
    <col min="25" max="25" width="25.5" customWidth="1"/>
    <col min="26" max="26" width="3.83203125" customWidth="1"/>
    <col min="27" max="28" width="7.33203125" customWidth="1"/>
    <col min="29" max="29" width="24.33203125" customWidth="1"/>
    <col min="31" max="31" width="9" customWidth="1"/>
    <col min="32" max="32" width="9.1640625" customWidth="1"/>
    <col min="33" max="34" width="4.6640625" customWidth="1"/>
    <col min="35" max="36" width="7.6640625" customWidth="1"/>
    <col min="38" max="38" width="16.33203125" customWidth="1"/>
    <col min="39" max="41" width="9.1640625" customWidth="1"/>
    <col min="42" max="42" width="25.5" customWidth="1"/>
    <col min="43" max="44" width="12.83203125" customWidth="1"/>
  </cols>
  <sheetData>
    <row r="1" spans="1:44" ht="15.75" customHeight="1">
      <c r="A1" s="1"/>
      <c r="B1" s="2"/>
      <c r="C1" s="3"/>
      <c r="D1" s="3"/>
      <c r="E1" s="3"/>
      <c r="F1" s="3"/>
      <c r="G1" s="3"/>
      <c r="H1" s="3"/>
      <c r="I1" s="2"/>
      <c r="J1" s="2"/>
      <c r="L1" s="4"/>
      <c r="M1" s="5" t="s">
        <v>0</v>
      </c>
      <c r="N1" s="5"/>
      <c r="R1" s="4"/>
      <c r="S1" s="4"/>
      <c r="X1" s="4"/>
      <c r="AB1" s="5" t="s">
        <v>83</v>
      </c>
      <c r="AC1" s="5"/>
      <c r="AG1" s="4"/>
      <c r="AH1" s="4"/>
      <c r="AM1" s="4"/>
      <c r="AN1" s="4"/>
      <c r="AO1" s="4"/>
      <c r="AP1" s="6" t="s">
        <v>2</v>
      </c>
      <c r="AQ1" s="7"/>
      <c r="AR1" s="8"/>
    </row>
    <row r="2" spans="1:44">
      <c r="A2" s="1"/>
      <c r="B2" s="2"/>
      <c r="C2" s="3"/>
      <c r="D2" s="3"/>
      <c r="E2" s="3"/>
      <c r="F2" s="3"/>
      <c r="G2" s="3"/>
      <c r="H2" s="3"/>
      <c r="I2" s="2"/>
      <c r="J2" s="2"/>
      <c r="L2" s="4"/>
      <c r="M2" s="4" t="s">
        <v>5</v>
      </c>
      <c r="N2" s="4" t="s">
        <v>6</v>
      </c>
      <c r="R2" s="4"/>
      <c r="S2" s="4"/>
      <c r="X2" s="4"/>
      <c r="AG2" s="4"/>
      <c r="AH2" s="4"/>
      <c r="AM2" s="4"/>
      <c r="AN2" s="4"/>
      <c r="AO2" s="4"/>
      <c r="AQ2" s="9"/>
      <c r="AR2" s="9"/>
    </row>
    <row r="3" spans="1:44" ht="15.75" customHeight="1">
      <c r="A3" s="10" t="s">
        <v>7</v>
      </c>
      <c r="B3" s="11"/>
      <c r="C3" s="12"/>
      <c r="D3" s="12"/>
      <c r="E3" s="12"/>
      <c r="F3" s="12"/>
      <c r="G3" s="12"/>
      <c r="H3" s="12"/>
      <c r="I3" s="2"/>
      <c r="J3" s="2"/>
      <c r="L3" s="13"/>
      <c r="M3" s="13" t="s">
        <v>8</v>
      </c>
      <c r="N3" s="13" t="s">
        <v>9</v>
      </c>
      <c r="O3" s="4">
        <v>8</v>
      </c>
      <c r="R3" s="789" t="s">
        <v>10</v>
      </c>
      <c r="S3" s="788"/>
      <c r="T3" s="793" t="s">
        <v>11</v>
      </c>
      <c r="U3" s="794"/>
      <c r="V3" s="14"/>
      <c r="W3" s="14"/>
      <c r="X3" s="795" t="s">
        <v>12</v>
      </c>
      <c r="Y3" s="797" t="s">
        <v>13</v>
      </c>
      <c r="Z3" s="15"/>
      <c r="AC3" s="16" t="s">
        <v>14</v>
      </c>
      <c r="AD3" s="17">
        <v>26</v>
      </c>
      <c r="AE3" s="18"/>
      <c r="AG3" s="789" t="s">
        <v>10</v>
      </c>
      <c r="AH3" s="788"/>
      <c r="AI3" s="793" t="s">
        <v>11</v>
      </c>
      <c r="AJ3" s="794"/>
      <c r="AK3" s="14"/>
      <c r="AL3" s="14"/>
      <c r="AM3" s="26"/>
      <c r="AN3" s="26"/>
      <c r="AO3" s="795" t="s">
        <v>12</v>
      </c>
      <c r="AP3" s="797" t="s">
        <v>13</v>
      </c>
      <c r="AQ3" s="19"/>
      <c r="AR3" s="19"/>
    </row>
    <row r="4" spans="1:44" ht="15.75" customHeight="1">
      <c r="A4" s="20"/>
      <c r="B4" s="21" t="s">
        <v>15</v>
      </c>
      <c r="C4" s="22"/>
      <c r="D4" s="22"/>
      <c r="E4" s="22"/>
      <c r="F4" s="22"/>
      <c r="G4" s="22"/>
      <c r="I4" s="2"/>
      <c r="J4" s="2"/>
      <c r="L4" s="4"/>
      <c r="M4" s="4"/>
      <c r="N4" s="4" t="s">
        <v>16</v>
      </c>
      <c r="O4" s="23">
        <f>SUM(E21:E51)/31</f>
        <v>79806.451612903227</v>
      </c>
      <c r="R4" s="790"/>
      <c r="S4" s="788"/>
      <c r="T4" s="792" t="s">
        <v>17</v>
      </c>
      <c r="U4" s="785" t="s">
        <v>18</v>
      </c>
      <c r="V4" s="787" t="s">
        <v>19</v>
      </c>
      <c r="W4" s="787" t="s">
        <v>20</v>
      </c>
      <c r="X4" s="796"/>
      <c r="Y4" s="798"/>
      <c r="Z4" s="15"/>
      <c r="AC4" s="28" t="s">
        <v>21</v>
      </c>
      <c r="AD4" s="4">
        <v>5</v>
      </c>
      <c r="AE4" s="29" t="s">
        <v>22</v>
      </c>
      <c r="AG4" s="790"/>
      <c r="AH4" s="788"/>
      <c r="AI4" s="792" t="s">
        <v>17</v>
      </c>
      <c r="AJ4" s="785" t="s">
        <v>18</v>
      </c>
      <c r="AK4" s="787" t="s">
        <v>19</v>
      </c>
      <c r="AL4" s="787" t="s">
        <v>20</v>
      </c>
      <c r="AM4" s="26"/>
      <c r="AN4" s="26"/>
      <c r="AO4" s="796"/>
      <c r="AP4" s="798"/>
      <c r="AQ4" s="123"/>
    </row>
    <row r="5" spans="1:44" ht="15.75" customHeight="1">
      <c r="A5" s="20"/>
      <c r="B5" s="30" t="s">
        <v>23</v>
      </c>
      <c r="C5" s="31" t="s">
        <v>24</v>
      </c>
      <c r="D5" s="22"/>
      <c r="E5" s="22"/>
      <c r="F5" s="22"/>
      <c r="G5" s="22"/>
      <c r="I5" s="2"/>
      <c r="J5" s="2"/>
      <c r="L5" s="4"/>
      <c r="M5" s="4"/>
      <c r="N5" s="4" t="s">
        <v>25</v>
      </c>
      <c r="O5" s="32">
        <v>300</v>
      </c>
      <c r="P5" s="4" t="s">
        <v>26</v>
      </c>
      <c r="R5" s="791"/>
      <c r="S5" s="786"/>
      <c r="T5" s="786"/>
      <c r="U5" s="786"/>
      <c r="V5" s="788"/>
      <c r="W5" s="788"/>
      <c r="X5" s="796"/>
      <c r="Y5" s="799"/>
      <c r="Z5" s="15"/>
      <c r="AC5" s="28" t="s">
        <v>27</v>
      </c>
      <c r="AD5" s="35">
        <v>5040</v>
      </c>
      <c r="AE5" s="36" t="e">
        <f>AE6/(AD3+AD4)</f>
        <v>#REF!</v>
      </c>
      <c r="AG5" s="791"/>
      <c r="AH5" s="786"/>
      <c r="AI5" s="786"/>
      <c r="AJ5" s="786"/>
      <c r="AK5" s="788"/>
      <c r="AL5" s="788"/>
      <c r="AM5" s="26"/>
      <c r="AN5" s="26"/>
      <c r="AO5" s="796"/>
      <c r="AP5" s="799"/>
      <c r="AQ5" s="124"/>
      <c r="AR5" s="19"/>
    </row>
    <row r="6" spans="1:44" ht="15.75" customHeight="1">
      <c r="A6" s="20"/>
      <c r="B6" s="21" t="s">
        <v>8</v>
      </c>
      <c r="C6" s="22"/>
      <c r="D6" s="22"/>
      <c r="E6" s="22"/>
      <c r="F6" s="22"/>
      <c r="G6" s="22"/>
      <c r="I6" s="2"/>
      <c r="J6" s="2"/>
      <c r="L6" s="4"/>
      <c r="M6" s="4"/>
      <c r="N6" s="4" t="s">
        <v>28</v>
      </c>
      <c r="O6" s="32">
        <v>0</v>
      </c>
      <c r="P6" s="4" t="s">
        <v>26</v>
      </c>
      <c r="R6" s="37">
        <v>43525</v>
      </c>
      <c r="S6" s="38" t="s">
        <v>29</v>
      </c>
      <c r="T6" s="39">
        <f t="shared" ref="T6:T7" si="0">V6</f>
        <v>27845.161290322576</v>
      </c>
      <c r="U6" s="39">
        <f t="shared" ref="U6:U22" si="1">G21</f>
        <v>4500</v>
      </c>
      <c r="V6" s="23">
        <f t="shared" ref="V6:V36" si="2">$O$11-(U6*$O$3)</f>
        <v>27845.161290322576</v>
      </c>
      <c r="W6" t="s">
        <v>23</v>
      </c>
      <c r="X6" s="40">
        <f t="shared" ref="X6:X36" si="3">(T6+U6*$O$3)/$O$9</f>
        <v>240</v>
      </c>
      <c r="Y6" s="41"/>
      <c r="Z6" s="15"/>
      <c r="AC6" s="28" t="s">
        <v>30</v>
      </c>
      <c r="AD6" s="23">
        <f>AD5*(AD3+AD4)</f>
        <v>156240</v>
      </c>
      <c r="AE6" s="42" t="e">
        <f>AJ37</f>
        <v>#REF!</v>
      </c>
      <c r="AG6" s="37">
        <v>43525</v>
      </c>
      <c r="AH6" s="38" t="s">
        <v>29</v>
      </c>
      <c r="AI6" s="39" t="str">
        <f t="shared" ref="AI6:AI7" si="4">AK6</f>
        <v>#REF!</v>
      </c>
      <c r="AJ6" s="39" t="e">
        <f t="shared" ref="AJ6:AJ36" si="5">U6/$AD$12</f>
        <v>#REF!</v>
      </c>
      <c r="AK6" s="39" t="s">
        <v>567</v>
      </c>
      <c r="AL6" t="s">
        <v>567</v>
      </c>
      <c r="AM6" s="125"/>
      <c r="AN6" s="125"/>
      <c r="AO6" s="40" t="e">
        <f t="shared" ref="AO6:AO36" si="6">(AI6+AJ6*$AD$19)/$AD$10</f>
        <v>#VALUE!</v>
      </c>
      <c r="AP6" s="41"/>
      <c r="AQ6" s="19"/>
      <c r="AR6" s="19"/>
    </row>
    <row r="7" spans="1:44" ht="15.75" customHeight="1">
      <c r="A7" s="20"/>
      <c r="B7" s="30" t="s">
        <v>23</v>
      </c>
      <c r="C7" s="31" t="s">
        <v>31</v>
      </c>
      <c r="D7" s="22"/>
      <c r="E7" s="22"/>
      <c r="F7" s="22"/>
      <c r="G7" s="22"/>
      <c r="I7" s="2"/>
      <c r="J7" s="2"/>
      <c r="L7" s="4"/>
      <c r="M7" s="4"/>
      <c r="N7" s="4" t="s">
        <v>32</v>
      </c>
      <c r="O7" s="43">
        <v>0.5</v>
      </c>
      <c r="P7" s="4" t="s">
        <v>26</v>
      </c>
      <c r="R7" s="37">
        <v>43526</v>
      </c>
      <c r="S7" s="38" t="s">
        <v>33</v>
      </c>
      <c r="T7" s="39">
        <f t="shared" si="0"/>
        <v>31845.161290322576</v>
      </c>
      <c r="U7" s="39">
        <f t="shared" si="1"/>
        <v>4000</v>
      </c>
      <c r="V7" s="23">
        <f t="shared" si="2"/>
        <v>31845.161290322576</v>
      </c>
      <c r="W7" t="s">
        <v>23</v>
      </c>
      <c r="X7" s="40">
        <f t="shared" si="3"/>
        <v>240</v>
      </c>
      <c r="Y7" s="41"/>
      <c r="Z7" s="15"/>
      <c r="AC7" s="28" t="s">
        <v>34</v>
      </c>
      <c r="AD7" s="23">
        <f>AD6*AD30</f>
        <v>386264.22590068157</v>
      </c>
      <c r="AE7" s="42" t="e">
        <f>AI37</f>
        <v>#VALUE!</v>
      </c>
      <c r="AF7" t="e">
        <f>AD7-AE7</f>
        <v>#VALUE!</v>
      </c>
      <c r="AG7" s="37">
        <v>43526</v>
      </c>
      <c r="AH7" s="38" t="s">
        <v>33</v>
      </c>
      <c r="AI7" s="39" t="str">
        <f t="shared" si="4"/>
        <v>#REF!</v>
      </c>
      <c r="AJ7" s="39" t="e">
        <f t="shared" si="5"/>
        <v>#REF!</v>
      </c>
      <c r="AK7" s="39" t="s">
        <v>567</v>
      </c>
      <c r="AL7" t="s">
        <v>567</v>
      </c>
      <c r="AM7" s="125"/>
      <c r="AN7" s="125"/>
      <c r="AO7" s="40" t="e">
        <f t="shared" si="6"/>
        <v>#VALUE!</v>
      </c>
      <c r="AP7" s="41"/>
      <c r="AQ7" s="19"/>
      <c r="AR7" s="19"/>
    </row>
    <row r="8" spans="1:44" ht="15.75" customHeight="1">
      <c r="A8" s="20"/>
      <c r="B8" s="30" t="s">
        <v>23</v>
      </c>
      <c r="C8" s="31" t="s">
        <v>35</v>
      </c>
      <c r="D8" s="22"/>
      <c r="E8" s="22"/>
      <c r="F8" s="22"/>
      <c r="G8" s="22"/>
      <c r="I8" s="2"/>
      <c r="J8" s="2"/>
      <c r="L8" s="4"/>
      <c r="M8" s="4"/>
      <c r="N8" s="4" t="s">
        <v>36</v>
      </c>
      <c r="O8" s="23">
        <f>O5+O6*O7</f>
        <v>300</v>
      </c>
      <c r="R8" s="44">
        <v>43527</v>
      </c>
      <c r="S8" s="45" t="s">
        <v>37</v>
      </c>
      <c r="T8" s="46">
        <v>0</v>
      </c>
      <c r="U8" s="46">
        <f t="shared" si="1"/>
        <v>4000</v>
      </c>
      <c r="V8" s="47">
        <f t="shared" si="2"/>
        <v>31845.161290322576</v>
      </c>
      <c r="W8" s="34" t="s">
        <v>561</v>
      </c>
      <c r="X8" s="48">
        <f t="shared" si="3"/>
        <v>120.29102667744544</v>
      </c>
      <c r="Y8" s="49"/>
      <c r="Z8" s="15"/>
      <c r="AC8" s="28" t="s">
        <v>38</v>
      </c>
      <c r="AD8" t="e">
        <f>AD7+AD6*AD19</f>
        <v>#REF!</v>
      </c>
      <c r="AE8" s="27"/>
      <c r="AG8" s="44">
        <v>43527</v>
      </c>
      <c r="AH8" s="45" t="s">
        <v>37</v>
      </c>
      <c r="AI8" s="46">
        <v>0</v>
      </c>
      <c r="AJ8" s="46" t="e">
        <f t="shared" si="5"/>
        <v>#REF!</v>
      </c>
      <c r="AK8" s="46" t="s">
        <v>567</v>
      </c>
      <c r="AL8" s="34" t="s">
        <v>561</v>
      </c>
      <c r="AM8" s="125"/>
      <c r="AN8" s="125"/>
      <c r="AO8" s="40" t="e">
        <f t="shared" si="6"/>
        <v>#REF!</v>
      </c>
      <c r="AP8" s="49"/>
      <c r="AQ8" s="19"/>
      <c r="AR8" s="19"/>
    </row>
    <row r="9" spans="1:44" ht="15.75" customHeight="1">
      <c r="A9" s="20"/>
      <c r="B9" s="30" t="s">
        <v>23</v>
      </c>
      <c r="C9" s="31" t="s">
        <v>39</v>
      </c>
      <c r="D9" s="22"/>
      <c r="E9" s="22"/>
      <c r="F9" s="22"/>
      <c r="G9" s="22"/>
      <c r="I9" s="2"/>
      <c r="J9" s="2"/>
      <c r="L9" s="4"/>
      <c r="M9" s="4"/>
      <c r="N9" s="4" t="s">
        <v>40</v>
      </c>
      <c r="O9" s="23">
        <f>O4/O8</f>
        <v>266.02150537634407</v>
      </c>
      <c r="R9" s="50">
        <v>43528</v>
      </c>
      <c r="S9" s="51" t="s">
        <v>41</v>
      </c>
      <c r="T9" s="39">
        <v>2000</v>
      </c>
      <c r="U9" s="52">
        <f t="shared" si="1"/>
        <v>7500</v>
      </c>
      <c r="V9" s="23">
        <f t="shared" si="2"/>
        <v>3845.161290322576</v>
      </c>
      <c r="W9" t="s">
        <v>562</v>
      </c>
      <c r="X9" s="40">
        <f t="shared" si="3"/>
        <v>233.06386418755054</v>
      </c>
      <c r="Y9" s="53" t="s">
        <v>42</v>
      </c>
      <c r="Z9" s="54"/>
      <c r="AC9" s="28" t="s">
        <v>43</v>
      </c>
      <c r="AD9" s="23" t="e">
        <f>AD8/(AD3+AD4/2)</f>
        <v>#REF!</v>
      </c>
      <c r="AE9" s="27"/>
      <c r="AF9" s="4" t="s">
        <v>84</v>
      </c>
      <c r="AG9" s="50">
        <v>43528</v>
      </c>
      <c r="AH9" s="51" t="s">
        <v>41</v>
      </c>
      <c r="AI9" s="39">
        <v>2000</v>
      </c>
      <c r="AJ9" s="39" t="e">
        <f t="shared" si="5"/>
        <v>#REF!</v>
      </c>
      <c r="AK9" s="39" t="s">
        <v>567</v>
      </c>
      <c r="AL9" t="s">
        <v>567</v>
      </c>
      <c r="AM9" s="125"/>
      <c r="AN9" s="125"/>
      <c r="AO9" s="40" t="e">
        <f t="shared" si="6"/>
        <v>#REF!</v>
      </c>
      <c r="AP9" s="53" t="s">
        <v>42</v>
      </c>
      <c r="AQ9" s="19"/>
      <c r="AR9" s="19"/>
    </row>
    <row r="10" spans="1:44" ht="15.75" customHeight="1">
      <c r="A10" s="55"/>
      <c r="B10" s="56" t="s">
        <v>23</v>
      </c>
      <c r="C10" s="57" t="s">
        <v>44</v>
      </c>
      <c r="D10" s="58"/>
      <c r="E10" s="58"/>
      <c r="F10" s="58"/>
      <c r="G10" s="58"/>
      <c r="H10" s="58"/>
      <c r="I10" s="2"/>
      <c r="J10" s="2"/>
      <c r="K10" s="13"/>
      <c r="M10" s="4" t="s">
        <v>11</v>
      </c>
      <c r="N10" s="4" t="s">
        <v>45</v>
      </c>
      <c r="O10" s="23">
        <f>O8*P10</f>
        <v>240</v>
      </c>
      <c r="P10" s="59">
        <v>0.8</v>
      </c>
      <c r="R10" s="37">
        <v>43529</v>
      </c>
      <c r="S10" s="38" t="s">
        <v>46</v>
      </c>
      <c r="T10" s="39">
        <f t="shared" ref="T10:T14" si="7">V10</f>
        <v>15845.161290322576</v>
      </c>
      <c r="U10" s="39">
        <f t="shared" si="1"/>
        <v>6000</v>
      </c>
      <c r="V10" s="23">
        <f t="shared" si="2"/>
        <v>15845.161290322576</v>
      </c>
      <c r="W10" t="s">
        <v>23</v>
      </c>
      <c r="X10" s="40">
        <f t="shared" si="3"/>
        <v>240</v>
      </c>
      <c r="Y10" s="41"/>
      <c r="Z10" s="15"/>
      <c r="AC10" s="28" t="s">
        <v>47</v>
      </c>
      <c r="AD10" s="126" t="e">
        <f>'[1]WH labor'!AF16</f>
        <v>#REF!</v>
      </c>
      <c r="AE10" s="27"/>
      <c r="AF10" s="4">
        <v>21</v>
      </c>
      <c r="AG10" s="37">
        <v>43529</v>
      </c>
      <c r="AH10" s="38" t="s">
        <v>46</v>
      </c>
      <c r="AI10" s="39" t="str">
        <f t="shared" ref="AI10:AI14" si="8">AK10</f>
        <v>#REF!</v>
      </c>
      <c r="AJ10" s="39" t="e">
        <f t="shared" si="5"/>
        <v>#REF!</v>
      </c>
      <c r="AK10" s="39" t="s">
        <v>567</v>
      </c>
      <c r="AL10" t="s">
        <v>567</v>
      </c>
      <c r="AM10" s="125"/>
      <c r="AN10" s="125"/>
      <c r="AO10" s="40" t="e">
        <f t="shared" si="6"/>
        <v>#VALUE!</v>
      </c>
      <c r="AP10" s="41"/>
      <c r="AQ10" s="19"/>
      <c r="AR10" s="19"/>
    </row>
    <row r="11" spans="1:44">
      <c r="A11" s="54"/>
      <c r="B11" s="54"/>
      <c r="C11" s="3"/>
      <c r="D11" s="3"/>
      <c r="E11" s="3"/>
      <c r="F11" s="3"/>
      <c r="G11" s="3"/>
      <c r="H11" s="3"/>
      <c r="I11" s="2"/>
      <c r="J11" s="2"/>
      <c r="N11" s="4" t="s">
        <v>48</v>
      </c>
      <c r="O11" s="23">
        <f>O10*O9</f>
        <v>63845.161290322576</v>
      </c>
      <c r="R11" s="37">
        <v>43530</v>
      </c>
      <c r="S11" s="38" t="s">
        <v>49</v>
      </c>
      <c r="T11" s="39">
        <f t="shared" si="7"/>
        <v>19845.161290322576</v>
      </c>
      <c r="U11" s="39">
        <f t="shared" si="1"/>
        <v>5500</v>
      </c>
      <c r="V11" s="23">
        <f t="shared" si="2"/>
        <v>19845.161290322576</v>
      </c>
      <c r="W11" t="s">
        <v>23</v>
      </c>
      <c r="X11" s="40">
        <f t="shared" si="3"/>
        <v>240</v>
      </c>
      <c r="Y11" s="41"/>
      <c r="Z11" s="15"/>
      <c r="AC11" s="28" t="s">
        <v>50</v>
      </c>
      <c r="AD11" s="60" t="e">
        <f>AD9/AD19</f>
        <v>#REF!</v>
      </c>
      <c r="AE11" s="27"/>
      <c r="AF11" t="e">
        <f>AF7/AF10</f>
        <v>#VALUE!</v>
      </c>
      <c r="AG11" s="37">
        <v>43530</v>
      </c>
      <c r="AH11" s="38" t="s">
        <v>49</v>
      </c>
      <c r="AI11" s="39" t="str">
        <f t="shared" si="8"/>
        <v>#REF!</v>
      </c>
      <c r="AJ11" s="39" t="e">
        <f t="shared" si="5"/>
        <v>#REF!</v>
      </c>
      <c r="AK11" s="39" t="s">
        <v>567</v>
      </c>
      <c r="AL11" t="s">
        <v>567</v>
      </c>
      <c r="AM11" s="125"/>
      <c r="AN11" s="125"/>
      <c r="AO11" s="40" t="e">
        <f t="shared" si="6"/>
        <v>#VALUE!</v>
      </c>
      <c r="AP11" s="41"/>
      <c r="AQ11" s="19"/>
      <c r="AR11" s="19"/>
    </row>
    <row r="12" spans="1:44">
      <c r="A12" s="54"/>
      <c r="B12" s="54"/>
      <c r="C12" s="3"/>
      <c r="D12" s="3"/>
      <c r="E12" s="3"/>
      <c r="F12" s="3"/>
      <c r="G12" s="3"/>
      <c r="H12" s="3"/>
      <c r="I12" s="2"/>
      <c r="J12" s="2"/>
      <c r="R12" s="37">
        <v>43531</v>
      </c>
      <c r="S12" s="38" t="s">
        <v>51</v>
      </c>
      <c r="T12" s="39">
        <f t="shared" si="7"/>
        <v>19845.161290322576</v>
      </c>
      <c r="U12" s="39">
        <f t="shared" si="1"/>
        <v>5500</v>
      </c>
      <c r="V12" s="23">
        <f t="shared" si="2"/>
        <v>19845.161290322576</v>
      </c>
      <c r="W12" t="s">
        <v>23</v>
      </c>
      <c r="X12" s="40">
        <f t="shared" si="3"/>
        <v>240</v>
      </c>
      <c r="Y12" s="41"/>
      <c r="Z12" s="15"/>
      <c r="AC12" s="28" t="s">
        <v>52</v>
      </c>
      <c r="AD12" s="61" t="e">
        <f>AD11/U23</f>
        <v>#REF!</v>
      </c>
      <c r="AE12" s="27"/>
      <c r="AF12" s="4" t="s">
        <v>85</v>
      </c>
      <c r="AG12" s="37">
        <v>43531</v>
      </c>
      <c r="AH12" s="38" t="s">
        <v>51</v>
      </c>
      <c r="AI12" s="39" t="str">
        <f t="shared" si="8"/>
        <v>#REF!</v>
      </c>
      <c r="AJ12" s="39" t="e">
        <f t="shared" si="5"/>
        <v>#REF!</v>
      </c>
      <c r="AK12" s="39" t="s">
        <v>567</v>
      </c>
      <c r="AL12" t="s">
        <v>567</v>
      </c>
      <c r="AM12" s="125"/>
      <c r="AN12" s="125"/>
      <c r="AO12" s="40" t="e">
        <f t="shared" si="6"/>
        <v>#VALUE!</v>
      </c>
      <c r="AP12" s="41"/>
      <c r="AQ12" s="19"/>
      <c r="AR12" s="19"/>
    </row>
    <row r="13" spans="1:44">
      <c r="A13" s="54"/>
      <c r="B13" s="54"/>
      <c r="C13" s="3"/>
      <c r="D13" s="3"/>
      <c r="E13" s="3"/>
      <c r="F13" s="3"/>
      <c r="G13" s="3"/>
      <c r="H13" s="3"/>
      <c r="I13" s="2"/>
      <c r="J13" s="2"/>
      <c r="L13" s="4"/>
      <c r="M13" s="4" t="s">
        <v>53</v>
      </c>
      <c r="N13" s="4" t="s">
        <v>54</v>
      </c>
      <c r="O13" s="4" t="s">
        <v>55</v>
      </c>
      <c r="R13" s="37">
        <v>43532</v>
      </c>
      <c r="S13" s="38" t="s">
        <v>29</v>
      </c>
      <c r="T13" s="39">
        <f t="shared" si="7"/>
        <v>27845.161290322576</v>
      </c>
      <c r="U13" s="39">
        <f t="shared" si="1"/>
        <v>4500</v>
      </c>
      <c r="V13" s="23">
        <f t="shared" si="2"/>
        <v>27845.161290322576</v>
      </c>
      <c r="W13" t="s">
        <v>23</v>
      </c>
      <c r="X13" s="40">
        <f t="shared" si="3"/>
        <v>240</v>
      </c>
      <c r="Y13" s="41"/>
      <c r="Z13" s="15"/>
      <c r="AC13" s="28" t="s">
        <v>56</v>
      </c>
      <c r="AD13" s="61">
        <f>AD7/T37</f>
        <v>0.86616352267882424</v>
      </c>
      <c r="AE13" s="27"/>
      <c r="AF13" t="e">
        <f>AF11/AD10</f>
        <v>#VALUE!</v>
      </c>
      <c r="AG13" s="37">
        <v>43532</v>
      </c>
      <c r="AH13" s="38" t="s">
        <v>29</v>
      </c>
      <c r="AI13" s="39" t="str">
        <f t="shared" si="8"/>
        <v>#REF!</v>
      </c>
      <c r="AJ13" s="39" t="e">
        <f t="shared" si="5"/>
        <v>#REF!</v>
      </c>
      <c r="AK13" s="39" t="s">
        <v>567</v>
      </c>
      <c r="AL13" t="s">
        <v>567</v>
      </c>
      <c r="AM13" s="125"/>
      <c r="AN13" s="125"/>
      <c r="AO13" s="40" t="e">
        <f t="shared" si="6"/>
        <v>#VALUE!</v>
      </c>
      <c r="AP13" s="41"/>
      <c r="AQ13" s="19"/>
      <c r="AR13" s="19"/>
    </row>
    <row r="14" spans="1:44">
      <c r="A14" s="54"/>
      <c r="B14" s="54"/>
      <c r="C14" s="3"/>
      <c r="D14" s="3"/>
      <c r="E14" s="3"/>
      <c r="F14" s="3"/>
      <c r="G14" s="3"/>
      <c r="H14" s="3"/>
      <c r="I14" s="2"/>
      <c r="J14" s="2"/>
      <c r="L14" s="4"/>
      <c r="M14" s="4"/>
      <c r="N14" s="4" t="s">
        <v>57</v>
      </c>
      <c r="O14" s="62">
        <f>12695/5135</f>
        <v>2.4722492697176239</v>
      </c>
      <c r="Q14" s="63"/>
      <c r="R14" s="37">
        <v>43533</v>
      </c>
      <c r="S14" s="38" t="s">
        <v>33</v>
      </c>
      <c r="T14" s="39">
        <f t="shared" si="7"/>
        <v>31845.161290322576</v>
      </c>
      <c r="U14" s="39">
        <f t="shared" si="1"/>
        <v>4000</v>
      </c>
      <c r="V14" s="23">
        <f t="shared" si="2"/>
        <v>31845.161290322576</v>
      </c>
      <c r="W14" t="s">
        <v>23</v>
      </c>
      <c r="X14" s="40">
        <f t="shared" si="3"/>
        <v>240</v>
      </c>
      <c r="Y14" s="41"/>
      <c r="Z14" s="15"/>
      <c r="AC14" s="28" t="s">
        <v>86</v>
      </c>
      <c r="AD14" s="127" t="e">
        <f>'[1]WH labor'!AX3</f>
        <v>#REF!</v>
      </c>
      <c r="AE14" s="27"/>
      <c r="AF14" s="63"/>
      <c r="AG14" s="37">
        <v>43533</v>
      </c>
      <c r="AH14" s="38" t="s">
        <v>33</v>
      </c>
      <c r="AI14" s="39" t="str">
        <f t="shared" si="8"/>
        <v>#REF!</v>
      </c>
      <c r="AJ14" s="39" t="e">
        <f t="shared" si="5"/>
        <v>#REF!</v>
      </c>
      <c r="AK14" s="39" t="s">
        <v>567</v>
      </c>
      <c r="AL14" t="s">
        <v>567</v>
      </c>
      <c r="AM14" s="125"/>
      <c r="AN14" s="125"/>
      <c r="AO14" s="40" t="e">
        <f t="shared" si="6"/>
        <v>#VALUE!</v>
      </c>
      <c r="AP14" s="41"/>
      <c r="AQ14" s="19"/>
      <c r="AR14" s="19"/>
    </row>
    <row r="15" spans="1:44">
      <c r="A15" s="54"/>
      <c r="B15" s="54"/>
      <c r="C15" s="3"/>
      <c r="D15" s="3"/>
      <c r="E15" s="3"/>
      <c r="F15" s="3"/>
      <c r="G15" s="3"/>
      <c r="H15" s="3"/>
      <c r="I15" s="2"/>
      <c r="J15" s="2"/>
      <c r="L15" s="4"/>
      <c r="M15" s="4"/>
      <c r="N15" s="4" t="s">
        <v>58</v>
      </c>
      <c r="O15" s="4">
        <v>31</v>
      </c>
      <c r="Q15" s="65"/>
      <c r="R15" s="44">
        <v>43534</v>
      </c>
      <c r="S15" s="45" t="s">
        <v>37</v>
      </c>
      <c r="T15" s="46">
        <v>0</v>
      </c>
      <c r="U15" s="46">
        <f t="shared" si="1"/>
        <v>4000</v>
      </c>
      <c r="V15" s="47">
        <f t="shared" si="2"/>
        <v>31845.161290322576</v>
      </c>
      <c r="W15" s="34" t="s">
        <v>561</v>
      </c>
      <c r="X15" s="48">
        <f t="shared" si="3"/>
        <v>120.29102667744544</v>
      </c>
      <c r="Y15" s="66"/>
      <c r="Z15" s="67"/>
      <c r="AC15" s="128" t="s">
        <v>87</v>
      </c>
      <c r="AD15" s="129">
        <v>266</v>
      </c>
      <c r="AE15" s="27"/>
      <c r="AF15" s="65"/>
      <c r="AG15" s="44">
        <v>43534</v>
      </c>
      <c r="AH15" s="45" t="s">
        <v>37</v>
      </c>
      <c r="AI15" s="46">
        <v>0</v>
      </c>
      <c r="AJ15" s="46" t="e">
        <f t="shared" si="5"/>
        <v>#REF!</v>
      </c>
      <c r="AK15" s="46" t="s">
        <v>567</v>
      </c>
      <c r="AL15" s="34" t="s">
        <v>561</v>
      </c>
      <c r="AM15" s="125"/>
      <c r="AN15" s="125"/>
      <c r="AO15" s="40" t="e">
        <f t="shared" si="6"/>
        <v>#REF!</v>
      </c>
      <c r="AP15" s="66"/>
      <c r="AQ15" s="19"/>
      <c r="AR15" s="19"/>
    </row>
    <row r="16" spans="1:44">
      <c r="A16" s="54"/>
      <c r="B16" s="54"/>
      <c r="C16" s="3"/>
      <c r="D16" s="3"/>
      <c r="E16" s="3"/>
      <c r="F16" s="3"/>
      <c r="G16" s="3"/>
      <c r="H16" s="3"/>
      <c r="I16" s="2"/>
      <c r="J16" s="2"/>
      <c r="L16" s="4"/>
      <c r="M16" s="4"/>
      <c r="N16" s="4" t="s">
        <v>59</v>
      </c>
      <c r="O16" s="23">
        <f>SUM(G21:G51)</f>
        <v>173600</v>
      </c>
      <c r="R16" s="68">
        <v>43535</v>
      </c>
      <c r="S16" s="51" t="s">
        <v>41</v>
      </c>
      <c r="T16" s="39">
        <v>2000</v>
      </c>
      <c r="U16" s="52">
        <f t="shared" si="1"/>
        <v>7500</v>
      </c>
      <c r="V16" s="23">
        <f t="shared" si="2"/>
        <v>3845.161290322576</v>
      </c>
      <c r="W16" t="s">
        <v>562</v>
      </c>
      <c r="X16" s="40">
        <f t="shared" si="3"/>
        <v>233.06386418755054</v>
      </c>
      <c r="Y16" s="69" t="s">
        <v>60</v>
      </c>
      <c r="Z16" s="70"/>
      <c r="AC16" s="71" t="s">
        <v>61</v>
      </c>
      <c r="AD16" s="47" t="e">
        <f>MAX(AO6:AO36)</f>
        <v>#VALUE!</v>
      </c>
      <c r="AE16" s="72" t="e">
        <f>AD16/AD14</f>
        <v>#VALUE!</v>
      </c>
      <c r="AG16" s="68">
        <v>43535</v>
      </c>
      <c r="AH16" s="51" t="s">
        <v>41</v>
      </c>
      <c r="AI16" s="39">
        <v>2000</v>
      </c>
      <c r="AJ16" s="39" t="e">
        <f t="shared" si="5"/>
        <v>#REF!</v>
      </c>
      <c r="AK16" s="39" t="s">
        <v>567</v>
      </c>
      <c r="AL16" t="s">
        <v>567</v>
      </c>
      <c r="AM16" s="125"/>
      <c r="AN16" s="125"/>
      <c r="AO16" s="40" t="e">
        <f t="shared" si="6"/>
        <v>#REF!</v>
      </c>
      <c r="AP16" s="69" t="s">
        <v>60</v>
      </c>
      <c r="AQ16" s="19"/>
      <c r="AR16" s="19"/>
    </row>
    <row r="17" spans="1:44">
      <c r="A17" s="54"/>
      <c r="B17" s="54"/>
      <c r="C17" s="3"/>
      <c r="D17" s="3"/>
      <c r="E17" s="3"/>
      <c r="F17" s="3"/>
      <c r="G17" s="3"/>
      <c r="H17" s="3"/>
      <c r="I17" s="2"/>
      <c r="J17" s="2"/>
      <c r="N17" s="4" t="s">
        <v>62</v>
      </c>
      <c r="O17" s="60">
        <f>O16/O15</f>
        <v>5600</v>
      </c>
      <c r="R17" s="73">
        <v>43536</v>
      </c>
      <c r="S17" s="38" t="s">
        <v>46</v>
      </c>
      <c r="T17" s="39">
        <f t="shared" ref="T17:T21" si="9">V17</f>
        <v>15845.161290322576</v>
      </c>
      <c r="U17" s="39">
        <f t="shared" si="1"/>
        <v>6000</v>
      </c>
      <c r="V17" s="23">
        <f t="shared" si="2"/>
        <v>15845.161290322576</v>
      </c>
      <c r="W17" t="s">
        <v>23</v>
      </c>
      <c r="X17" s="40">
        <f t="shared" si="3"/>
        <v>240</v>
      </c>
      <c r="Y17" s="41"/>
      <c r="Z17" s="15"/>
      <c r="AG17" s="73">
        <v>43536</v>
      </c>
      <c r="AH17" s="38" t="s">
        <v>46</v>
      </c>
      <c r="AI17" s="39" t="str">
        <f t="shared" ref="AI17:AI21" si="10">AK17</f>
        <v>#REF!</v>
      </c>
      <c r="AJ17" s="39" t="e">
        <f t="shared" si="5"/>
        <v>#REF!</v>
      </c>
      <c r="AK17" s="39" t="s">
        <v>567</v>
      </c>
      <c r="AL17" t="s">
        <v>567</v>
      </c>
      <c r="AM17" s="125"/>
      <c r="AN17" s="125"/>
      <c r="AO17" s="40" t="e">
        <f t="shared" si="6"/>
        <v>#VALUE!</v>
      </c>
      <c r="AP17" s="41"/>
      <c r="AQ17" s="19"/>
      <c r="AR17" s="19"/>
    </row>
    <row r="18" spans="1:44" ht="15.75" customHeight="1">
      <c r="A18" s="803"/>
      <c r="B18" s="794"/>
      <c r="C18" s="804" t="s">
        <v>15</v>
      </c>
      <c r="D18" s="794"/>
      <c r="E18" s="805"/>
      <c r="F18" s="793" t="s">
        <v>11</v>
      </c>
      <c r="G18" s="794"/>
      <c r="H18" s="794"/>
      <c r="I18" s="75"/>
      <c r="J18" s="806" t="s">
        <v>13</v>
      </c>
      <c r="N18" s="76" t="s">
        <v>34</v>
      </c>
      <c r="O18" s="77">
        <f>O16*O14</f>
        <v>429182.47322297952</v>
      </c>
      <c r="R18" s="73">
        <v>43537</v>
      </c>
      <c r="S18" s="38" t="s">
        <v>49</v>
      </c>
      <c r="T18" s="39">
        <f t="shared" si="9"/>
        <v>19845.161290322576</v>
      </c>
      <c r="U18" s="39">
        <f t="shared" si="1"/>
        <v>5500</v>
      </c>
      <c r="V18" s="23">
        <f t="shared" si="2"/>
        <v>19845.161290322576</v>
      </c>
      <c r="W18" t="s">
        <v>23</v>
      </c>
      <c r="X18" s="40">
        <f t="shared" si="3"/>
        <v>240</v>
      </c>
      <c r="Y18" s="41"/>
      <c r="Z18" s="15"/>
      <c r="AA18" s="78"/>
      <c r="AB18" s="78" t="s">
        <v>5</v>
      </c>
      <c r="AC18" s="78" t="s">
        <v>6</v>
      </c>
      <c r="AD18" s="79"/>
      <c r="AE18" s="79"/>
      <c r="AG18" s="73">
        <v>43537</v>
      </c>
      <c r="AH18" s="38" t="s">
        <v>49</v>
      </c>
      <c r="AI18" s="39" t="str">
        <f t="shared" si="10"/>
        <v>#REF!</v>
      </c>
      <c r="AJ18" s="39" t="e">
        <f t="shared" si="5"/>
        <v>#REF!</v>
      </c>
      <c r="AK18" s="39" t="s">
        <v>567</v>
      </c>
      <c r="AL18" t="s">
        <v>567</v>
      </c>
      <c r="AM18" s="125"/>
      <c r="AN18" s="125"/>
      <c r="AO18" s="40" t="e">
        <f t="shared" si="6"/>
        <v>#VALUE!</v>
      </c>
      <c r="AP18" s="41"/>
      <c r="AQ18" s="19"/>
      <c r="AR18" s="19"/>
    </row>
    <row r="19" spans="1:44">
      <c r="A19" s="789" t="s">
        <v>10</v>
      </c>
      <c r="B19" s="788"/>
      <c r="C19" s="800" t="s">
        <v>63</v>
      </c>
      <c r="D19" s="785" t="s">
        <v>64</v>
      </c>
      <c r="E19" s="807" t="s">
        <v>65</v>
      </c>
      <c r="F19" s="80" t="s">
        <v>3</v>
      </c>
      <c r="G19" s="785" t="s">
        <v>66</v>
      </c>
      <c r="H19" s="802"/>
      <c r="I19" s="808" t="s">
        <v>67</v>
      </c>
      <c r="J19" s="798"/>
      <c r="N19" s="76" t="s">
        <v>68</v>
      </c>
      <c r="O19" s="77">
        <f>SUM(T6:T36)</f>
        <v>445948.38709677383</v>
      </c>
      <c r="R19" s="73">
        <v>43538</v>
      </c>
      <c r="S19" s="38" t="s">
        <v>51</v>
      </c>
      <c r="T19" s="39">
        <f t="shared" si="9"/>
        <v>19845.161290322576</v>
      </c>
      <c r="U19" s="39">
        <f t="shared" si="1"/>
        <v>5500</v>
      </c>
      <c r="V19" s="23">
        <f t="shared" si="2"/>
        <v>19845.161290322576</v>
      </c>
      <c r="W19" t="s">
        <v>23</v>
      </c>
      <c r="X19" s="40">
        <f t="shared" si="3"/>
        <v>240</v>
      </c>
      <c r="Y19" s="41"/>
      <c r="Z19" s="15"/>
      <c r="AA19" s="83"/>
      <c r="AB19" s="83" t="s">
        <v>8</v>
      </c>
      <c r="AC19" s="83" t="s">
        <v>9</v>
      </c>
      <c r="AD19" s="130" t="e">
        <f>'[1]WH labor'!AF17</f>
        <v>#REF!</v>
      </c>
      <c r="AE19" s="79"/>
      <c r="AG19" s="73">
        <v>43538</v>
      </c>
      <c r="AH19" s="38" t="s">
        <v>51</v>
      </c>
      <c r="AI19" s="39" t="str">
        <f t="shared" si="10"/>
        <v>#REF!</v>
      </c>
      <c r="AJ19" s="39" t="e">
        <f t="shared" si="5"/>
        <v>#REF!</v>
      </c>
      <c r="AK19" s="39" t="s">
        <v>567</v>
      </c>
      <c r="AL19" t="s">
        <v>567</v>
      </c>
      <c r="AM19" s="125"/>
      <c r="AN19" s="125"/>
      <c r="AO19" s="40" t="e">
        <f t="shared" si="6"/>
        <v>#VALUE!</v>
      </c>
      <c r="AP19" s="41"/>
      <c r="AQ19" s="19"/>
      <c r="AR19" s="19"/>
    </row>
    <row r="20" spans="1:44">
      <c r="A20" s="791"/>
      <c r="B20" s="786"/>
      <c r="C20" s="801"/>
      <c r="D20" s="786"/>
      <c r="E20" s="786"/>
      <c r="F20" s="84" t="s">
        <v>63</v>
      </c>
      <c r="G20" s="85" t="s">
        <v>18</v>
      </c>
      <c r="H20" s="86" t="s">
        <v>69</v>
      </c>
      <c r="I20" s="809"/>
      <c r="J20" s="798"/>
      <c r="N20" s="88" t="s">
        <v>70</v>
      </c>
      <c r="O20" s="89">
        <f>O19-O18</f>
        <v>16765.913873794314</v>
      </c>
      <c r="R20" s="73">
        <v>43539</v>
      </c>
      <c r="S20" s="38" t="s">
        <v>29</v>
      </c>
      <c r="T20" s="39">
        <f t="shared" si="9"/>
        <v>11845.161290322576</v>
      </c>
      <c r="U20" s="39">
        <f t="shared" si="1"/>
        <v>6500</v>
      </c>
      <c r="V20" s="23">
        <f t="shared" si="2"/>
        <v>11845.161290322576</v>
      </c>
      <c r="W20" t="s">
        <v>23</v>
      </c>
      <c r="X20" s="40">
        <f t="shared" si="3"/>
        <v>240</v>
      </c>
      <c r="Y20" s="53" t="s">
        <v>71</v>
      </c>
      <c r="Z20" s="54"/>
      <c r="AA20" s="78"/>
      <c r="AB20" s="78"/>
      <c r="AC20" s="78" t="s">
        <v>16</v>
      </c>
      <c r="AD20" s="90">
        <f>SUM(E21:E51)/31</f>
        <v>79806.451612903227</v>
      </c>
      <c r="AE20" s="79"/>
      <c r="AG20" s="73">
        <v>43539</v>
      </c>
      <c r="AH20" s="38" t="s">
        <v>29</v>
      </c>
      <c r="AI20" s="39" t="str">
        <f t="shared" si="10"/>
        <v>#REF!</v>
      </c>
      <c r="AJ20" s="39" t="e">
        <f t="shared" si="5"/>
        <v>#REF!</v>
      </c>
      <c r="AK20" s="39" t="s">
        <v>567</v>
      </c>
      <c r="AL20" t="s">
        <v>567</v>
      </c>
      <c r="AM20" s="125"/>
      <c r="AN20" s="125"/>
      <c r="AO20" s="40" t="e">
        <f t="shared" si="6"/>
        <v>#VALUE!</v>
      </c>
      <c r="AP20" s="53" t="s">
        <v>71</v>
      </c>
      <c r="AQ20" s="19"/>
      <c r="AR20" s="19"/>
    </row>
    <row r="21" spans="1:44">
      <c r="A21" s="37">
        <v>43525</v>
      </c>
      <c r="B21" s="38" t="s">
        <v>29</v>
      </c>
      <c r="C21" s="91">
        <v>25000</v>
      </c>
      <c r="D21" s="91">
        <v>8000</v>
      </c>
      <c r="E21" s="39">
        <f t="shared" ref="E21:E51" si="11">C21+D21*$O$3</f>
        <v>89000</v>
      </c>
      <c r="F21" s="39">
        <f t="shared" ref="F21:F51" si="12">C21+H21*$O$3</f>
        <v>53000</v>
      </c>
      <c r="G21" s="92">
        <v>4500</v>
      </c>
      <c r="H21" s="39">
        <f t="shared" ref="H21:H51" si="13">D21-G21</f>
        <v>3500</v>
      </c>
      <c r="I21" s="39"/>
      <c r="J21" s="93"/>
      <c r="N21" s="88" t="s">
        <v>72</v>
      </c>
      <c r="O21" s="94">
        <f>O20/26</f>
        <v>644.8428412997813</v>
      </c>
      <c r="R21" s="73">
        <v>43540</v>
      </c>
      <c r="S21" s="38" t="s">
        <v>33</v>
      </c>
      <c r="T21" s="39">
        <f t="shared" si="9"/>
        <v>11845.161290322576</v>
      </c>
      <c r="U21" s="39">
        <f t="shared" si="1"/>
        <v>6500</v>
      </c>
      <c r="V21" s="23">
        <f t="shared" si="2"/>
        <v>11845.161290322576</v>
      </c>
      <c r="W21" t="s">
        <v>23</v>
      </c>
      <c r="X21" s="40">
        <f t="shared" si="3"/>
        <v>240</v>
      </c>
      <c r="Y21" s="53" t="s">
        <v>71</v>
      </c>
      <c r="Z21" s="54"/>
      <c r="AA21" s="78"/>
      <c r="AB21" s="78"/>
      <c r="AC21" s="78" t="s">
        <v>25</v>
      </c>
      <c r="AD21" s="95">
        <v>300</v>
      </c>
      <c r="AE21" s="78" t="s">
        <v>26</v>
      </c>
      <c r="AG21" s="73">
        <v>43540</v>
      </c>
      <c r="AH21" s="38" t="s">
        <v>33</v>
      </c>
      <c r="AI21" s="39" t="str">
        <f t="shared" si="10"/>
        <v>#REF!</v>
      </c>
      <c r="AJ21" s="39" t="e">
        <f t="shared" si="5"/>
        <v>#REF!</v>
      </c>
      <c r="AK21" s="39" t="s">
        <v>567</v>
      </c>
      <c r="AL21" t="s">
        <v>567</v>
      </c>
      <c r="AM21" s="125"/>
      <c r="AN21" s="125"/>
      <c r="AO21" s="40" t="e">
        <f t="shared" si="6"/>
        <v>#VALUE!</v>
      </c>
      <c r="AP21" s="53" t="s">
        <v>71</v>
      </c>
      <c r="AQ21" s="19"/>
      <c r="AR21" s="19"/>
    </row>
    <row r="22" spans="1:44">
      <c r="A22" s="37">
        <v>43526</v>
      </c>
      <c r="B22" s="38" t="s">
        <v>33</v>
      </c>
      <c r="C22" s="91">
        <v>25000</v>
      </c>
      <c r="D22" s="91">
        <v>8000</v>
      </c>
      <c r="E22" s="39">
        <f t="shared" si="11"/>
        <v>89000</v>
      </c>
      <c r="F22" s="39">
        <f t="shared" si="12"/>
        <v>57000</v>
      </c>
      <c r="G22" s="92">
        <v>4000</v>
      </c>
      <c r="H22" s="39">
        <f t="shared" si="13"/>
        <v>4000</v>
      </c>
      <c r="I22" s="39"/>
      <c r="J22" s="93"/>
      <c r="R22" s="96">
        <v>43541</v>
      </c>
      <c r="S22" s="45" t="s">
        <v>37</v>
      </c>
      <c r="T22" s="46">
        <v>0</v>
      </c>
      <c r="U22" s="46">
        <f t="shared" si="1"/>
        <v>6500</v>
      </c>
      <c r="V22" s="47">
        <f t="shared" si="2"/>
        <v>11845.161290322576</v>
      </c>
      <c r="W22" s="34" t="s">
        <v>561</v>
      </c>
      <c r="X22" s="48">
        <f t="shared" si="3"/>
        <v>195.47291835084883</v>
      </c>
      <c r="Y22" s="98" t="s">
        <v>71</v>
      </c>
      <c r="Z22" s="54"/>
      <c r="AA22" s="78"/>
      <c r="AB22" s="78"/>
      <c r="AC22" s="78" t="s">
        <v>28</v>
      </c>
      <c r="AD22" s="95">
        <v>0</v>
      </c>
      <c r="AE22" s="78" t="s">
        <v>26</v>
      </c>
      <c r="AG22" s="96">
        <v>43541</v>
      </c>
      <c r="AH22" s="45" t="s">
        <v>37</v>
      </c>
      <c r="AI22" s="46">
        <v>0</v>
      </c>
      <c r="AJ22" s="46" t="e">
        <f t="shared" si="5"/>
        <v>#REF!</v>
      </c>
      <c r="AK22" s="46" t="s">
        <v>567</v>
      </c>
      <c r="AL22" s="34" t="s">
        <v>561</v>
      </c>
      <c r="AM22" s="125"/>
      <c r="AN22" s="125"/>
      <c r="AO22" s="40" t="e">
        <f t="shared" si="6"/>
        <v>#REF!</v>
      </c>
      <c r="AP22" s="98" t="s">
        <v>71</v>
      </c>
      <c r="AQ22" s="19"/>
      <c r="AR22" s="19"/>
    </row>
    <row r="23" spans="1:44">
      <c r="A23" s="44">
        <v>43527</v>
      </c>
      <c r="B23" s="45" t="s">
        <v>37</v>
      </c>
      <c r="C23" s="99">
        <v>0</v>
      </c>
      <c r="D23" s="99">
        <v>4000</v>
      </c>
      <c r="E23" s="46">
        <f t="shared" si="11"/>
        <v>32000</v>
      </c>
      <c r="F23" s="46">
        <f t="shared" si="12"/>
        <v>0</v>
      </c>
      <c r="G23" s="100">
        <v>4000</v>
      </c>
      <c r="H23" s="46">
        <f t="shared" si="13"/>
        <v>0</v>
      </c>
      <c r="I23" s="46"/>
      <c r="J23" s="101"/>
      <c r="R23" s="68">
        <v>43542</v>
      </c>
      <c r="S23" s="51" t="s">
        <v>41</v>
      </c>
      <c r="T23" s="39">
        <v>0</v>
      </c>
      <c r="U23" s="52">
        <v>8000</v>
      </c>
      <c r="V23" s="23">
        <f t="shared" si="2"/>
        <v>-154.83870967742405</v>
      </c>
      <c r="W23" t="s">
        <v>564</v>
      </c>
      <c r="X23" s="40">
        <f t="shared" si="3"/>
        <v>240.58205335489089</v>
      </c>
      <c r="Y23" s="53" t="s">
        <v>73</v>
      </c>
      <c r="Z23" s="54"/>
      <c r="AA23" s="78"/>
      <c r="AB23" s="78"/>
      <c r="AC23" s="78" t="s">
        <v>32</v>
      </c>
      <c r="AD23" s="102">
        <v>0.5</v>
      </c>
      <c r="AE23" s="78" t="s">
        <v>26</v>
      </c>
      <c r="AG23" s="68">
        <v>43542</v>
      </c>
      <c r="AH23" s="51" t="s">
        <v>41</v>
      </c>
      <c r="AI23" s="39">
        <v>0</v>
      </c>
      <c r="AJ23" s="39" t="e">
        <f t="shared" si="5"/>
        <v>#REF!</v>
      </c>
      <c r="AK23" s="39" t="s">
        <v>567</v>
      </c>
      <c r="AL23" t="s">
        <v>567</v>
      </c>
      <c r="AM23" s="125"/>
      <c r="AN23" s="125"/>
      <c r="AO23" s="40" t="e">
        <f t="shared" si="6"/>
        <v>#REF!</v>
      </c>
      <c r="AP23" s="53" t="s">
        <v>73</v>
      </c>
      <c r="AQ23" s="19"/>
      <c r="AR23" s="19"/>
    </row>
    <row r="24" spans="1:44">
      <c r="A24" s="50">
        <v>43528</v>
      </c>
      <c r="B24" s="51" t="s">
        <v>41</v>
      </c>
      <c r="C24" s="91">
        <v>25000</v>
      </c>
      <c r="D24" s="103">
        <v>8000</v>
      </c>
      <c r="E24" s="39">
        <f t="shared" si="11"/>
        <v>89000</v>
      </c>
      <c r="F24" s="39">
        <f t="shared" si="12"/>
        <v>29000</v>
      </c>
      <c r="G24" s="104">
        <v>7500</v>
      </c>
      <c r="H24" s="39">
        <f t="shared" si="13"/>
        <v>500</v>
      </c>
      <c r="I24" s="105"/>
      <c r="J24" s="106" t="s">
        <v>42</v>
      </c>
      <c r="R24" s="73">
        <v>43543</v>
      </c>
      <c r="S24" s="38" t="s">
        <v>46</v>
      </c>
      <c r="T24" s="39">
        <v>0</v>
      </c>
      <c r="U24" s="52">
        <v>7500</v>
      </c>
      <c r="V24" s="23">
        <f t="shared" si="2"/>
        <v>3845.161290322576</v>
      </c>
      <c r="W24" t="s">
        <v>565</v>
      </c>
      <c r="X24" s="40">
        <f t="shared" si="3"/>
        <v>225.54567502021021</v>
      </c>
      <c r="Y24" s="69" t="s">
        <v>74</v>
      </c>
      <c r="Z24" s="70"/>
      <c r="AA24" s="78"/>
      <c r="AB24" s="78"/>
      <c r="AC24" s="78" t="s">
        <v>36</v>
      </c>
      <c r="AD24" s="90">
        <f>AD21+AD22*AD23</f>
        <v>300</v>
      </c>
      <c r="AE24" s="79"/>
      <c r="AG24" s="73">
        <v>43543</v>
      </c>
      <c r="AH24" s="38" t="s">
        <v>46</v>
      </c>
      <c r="AI24" s="39">
        <v>0</v>
      </c>
      <c r="AJ24" s="39" t="e">
        <f t="shared" si="5"/>
        <v>#REF!</v>
      </c>
      <c r="AK24" s="39" t="s">
        <v>567</v>
      </c>
      <c r="AL24" t="s">
        <v>567</v>
      </c>
      <c r="AM24" s="125"/>
      <c r="AN24" s="125"/>
      <c r="AO24" s="40" t="e">
        <f t="shared" si="6"/>
        <v>#REF!</v>
      </c>
      <c r="AP24" s="69" t="s">
        <v>74</v>
      </c>
      <c r="AQ24" s="19"/>
      <c r="AR24" s="19"/>
    </row>
    <row r="25" spans="1:44">
      <c r="A25" s="37">
        <v>43529</v>
      </c>
      <c r="B25" s="38" t="s">
        <v>46</v>
      </c>
      <c r="C25" s="91">
        <v>25000</v>
      </c>
      <c r="D25" s="91">
        <v>8000</v>
      </c>
      <c r="E25" s="39">
        <f t="shared" si="11"/>
        <v>89000</v>
      </c>
      <c r="F25" s="39">
        <f t="shared" si="12"/>
        <v>41000</v>
      </c>
      <c r="G25" s="92">
        <v>6000</v>
      </c>
      <c r="H25" s="39">
        <f t="shared" si="13"/>
        <v>2000</v>
      </c>
      <c r="I25" s="39"/>
      <c r="J25" s="93"/>
      <c r="R25" s="73">
        <v>43544</v>
      </c>
      <c r="S25" s="38" t="s">
        <v>49</v>
      </c>
      <c r="T25" s="39">
        <f t="shared" ref="T25:T28" si="14">V25</f>
        <v>5445.161290322576</v>
      </c>
      <c r="U25" s="39">
        <f t="shared" ref="U25:U36" si="15">G40</f>
        <v>7300</v>
      </c>
      <c r="V25" s="23">
        <f t="shared" si="2"/>
        <v>5445.161290322576</v>
      </c>
      <c r="W25" t="s">
        <v>23</v>
      </c>
      <c r="X25" s="40">
        <f t="shared" si="3"/>
        <v>240</v>
      </c>
      <c r="Y25" s="53" t="s">
        <v>75</v>
      </c>
      <c r="Z25" s="54"/>
      <c r="AA25" s="78"/>
      <c r="AB25" s="78"/>
      <c r="AC25" s="78" t="s">
        <v>40</v>
      </c>
      <c r="AD25" s="90">
        <f>AD20/AD24</f>
        <v>266.02150537634407</v>
      </c>
      <c r="AE25" s="79"/>
      <c r="AG25" s="73">
        <v>43544</v>
      </c>
      <c r="AH25" s="38" t="s">
        <v>49</v>
      </c>
      <c r="AI25" s="39" t="str">
        <f t="shared" ref="AI25:AI28" si="16">AK25</f>
        <v>#REF!</v>
      </c>
      <c r="AJ25" s="39" t="e">
        <f t="shared" si="5"/>
        <v>#REF!</v>
      </c>
      <c r="AK25" s="39" t="s">
        <v>567</v>
      </c>
      <c r="AL25" t="s">
        <v>567</v>
      </c>
      <c r="AM25" s="125"/>
      <c r="AN25" s="125"/>
      <c r="AO25" s="40" t="e">
        <f t="shared" si="6"/>
        <v>#VALUE!</v>
      </c>
      <c r="AP25" s="53" t="s">
        <v>75</v>
      </c>
      <c r="AQ25" s="19"/>
      <c r="AR25" s="19"/>
    </row>
    <row r="26" spans="1:44">
      <c r="A26" s="37">
        <v>43530</v>
      </c>
      <c r="B26" s="38" t="s">
        <v>49</v>
      </c>
      <c r="C26" s="91">
        <v>25000</v>
      </c>
      <c r="D26" s="91">
        <v>8000</v>
      </c>
      <c r="E26" s="39">
        <f t="shared" si="11"/>
        <v>89000</v>
      </c>
      <c r="F26" s="39">
        <f t="shared" si="12"/>
        <v>45000</v>
      </c>
      <c r="G26" s="92">
        <v>5500</v>
      </c>
      <c r="H26" s="39">
        <f t="shared" si="13"/>
        <v>2500</v>
      </c>
      <c r="I26" s="39"/>
      <c r="J26" s="93"/>
      <c r="R26" s="73">
        <v>43545</v>
      </c>
      <c r="S26" s="38" t="s">
        <v>51</v>
      </c>
      <c r="T26" s="39">
        <f t="shared" si="14"/>
        <v>5445.161290322576</v>
      </c>
      <c r="U26" s="39">
        <f t="shared" si="15"/>
        <v>7300</v>
      </c>
      <c r="V26" s="23">
        <f t="shared" si="2"/>
        <v>5445.161290322576</v>
      </c>
      <c r="W26" t="s">
        <v>23</v>
      </c>
      <c r="X26" s="40">
        <f t="shared" si="3"/>
        <v>240</v>
      </c>
      <c r="Y26" s="53" t="s">
        <v>75</v>
      </c>
      <c r="Z26" s="54"/>
      <c r="AA26" s="78"/>
      <c r="AB26" s="78" t="s">
        <v>11</v>
      </c>
      <c r="AC26" s="78" t="s">
        <v>45</v>
      </c>
      <c r="AD26" s="90">
        <f>AD24*(1-AE26)</f>
        <v>180</v>
      </c>
      <c r="AE26" s="107">
        <v>0.4</v>
      </c>
      <c r="AG26" s="73">
        <v>43545</v>
      </c>
      <c r="AH26" s="38" t="s">
        <v>51</v>
      </c>
      <c r="AI26" s="39" t="str">
        <f t="shared" si="16"/>
        <v>#REF!</v>
      </c>
      <c r="AJ26" s="39" t="e">
        <f t="shared" si="5"/>
        <v>#REF!</v>
      </c>
      <c r="AK26" s="39" t="s">
        <v>567</v>
      </c>
      <c r="AL26" t="s">
        <v>567</v>
      </c>
      <c r="AM26" s="125"/>
      <c r="AN26" s="125"/>
      <c r="AO26" s="40" t="e">
        <f t="shared" si="6"/>
        <v>#VALUE!</v>
      </c>
      <c r="AP26" s="53" t="s">
        <v>75</v>
      </c>
      <c r="AQ26" s="19"/>
      <c r="AR26" s="19"/>
    </row>
    <row r="27" spans="1:44">
      <c r="A27" s="37">
        <v>43531</v>
      </c>
      <c r="B27" s="38" t="s">
        <v>51</v>
      </c>
      <c r="C27" s="91">
        <v>25000</v>
      </c>
      <c r="D27" s="91">
        <v>8000</v>
      </c>
      <c r="E27" s="39">
        <f t="shared" si="11"/>
        <v>89000</v>
      </c>
      <c r="F27" s="39">
        <f t="shared" si="12"/>
        <v>45000</v>
      </c>
      <c r="G27" s="92">
        <v>5500</v>
      </c>
      <c r="H27" s="39">
        <f t="shared" si="13"/>
        <v>2500</v>
      </c>
      <c r="I27" s="39"/>
      <c r="J27" s="93"/>
      <c r="R27" s="73">
        <v>43546</v>
      </c>
      <c r="S27" s="38" t="s">
        <v>29</v>
      </c>
      <c r="T27" s="39">
        <f t="shared" si="14"/>
        <v>27845.161290322576</v>
      </c>
      <c r="U27" s="39">
        <f t="shared" si="15"/>
        <v>4500</v>
      </c>
      <c r="V27" s="23">
        <f t="shared" si="2"/>
        <v>27845.161290322576</v>
      </c>
      <c r="W27" t="s">
        <v>23</v>
      </c>
      <c r="X27" s="40">
        <f t="shared" si="3"/>
        <v>240</v>
      </c>
      <c r="Y27" s="41"/>
      <c r="Z27" s="15"/>
      <c r="AA27" s="79"/>
      <c r="AB27" s="79"/>
      <c r="AC27" s="78" t="s">
        <v>48</v>
      </c>
      <c r="AD27" s="79"/>
      <c r="AE27" s="79"/>
      <c r="AG27" s="73">
        <v>43546</v>
      </c>
      <c r="AH27" s="38" t="s">
        <v>29</v>
      </c>
      <c r="AI27" s="39" t="str">
        <f t="shared" si="16"/>
        <v>#REF!</v>
      </c>
      <c r="AJ27" s="39" t="e">
        <f t="shared" si="5"/>
        <v>#REF!</v>
      </c>
      <c r="AK27" s="39" t="s">
        <v>567</v>
      </c>
      <c r="AL27" t="s">
        <v>567</v>
      </c>
      <c r="AM27" s="125"/>
      <c r="AN27" s="125"/>
      <c r="AO27" s="40" t="e">
        <f t="shared" si="6"/>
        <v>#VALUE!</v>
      </c>
      <c r="AP27" s="41"/>
      <c r="AQ27" s="19"/>
      <c r="AR27" s="19"/>
    </row>
    <row r="28" spans="1:44">
      <c r="A28" s="37">
        <v>43532</v>
      </c>
      <c r="B28" s="38" t="s">
        <v>29</v>
      </c>
      <c r="C28" s="91">
        <v>25000</v>
      </c>
      <c r="D28" s="91">
        <v>8000</v>
      </c>
      <c r="E28" s="39">
        <f t="shared" si="11"/>
        <v>89000</v>
      </c>
      <c r="F28" s="39">
        <f t="shared" si="12"/>
        <v>53000</v>
      </c>
      <c r="G28" s="92">
        <v>4500</v>
      </c>
      <c r="H28" s="39">
        <f t="shared" si="13"/>
        <v>3500</v>
      </c>
      <c r="I28" s="39"/>
      <c r="J28" s="93"/>
      <c r="R28" s="73">
        <v>43547</v>
      </c>
      <c r="S28" s="38" t="s">
        <v>33</v>
      </c>
      <c r="T28" s="39">
        <f t="shared" si="14"/>
        <v>31845.161290322576</v>
      </c>
      <c r="U28" s="39">
        <f t="shared" si="15"/>
        <v>4000</v>
      </c>
      <c r="V28" s="23">
        <f t="shared" si="2"/>
        <v>31845.161290322576</v>
      </c>
      <c r="W28" t="s">
        <v>23</v>
      </c>
      <c r="X28" s="40">
        <f t="shared" si="3"/>
        <v>240</v>
      </c>
      <c r="Y28" s="41"/>
      <c r="Z28" s="15"/>
      <c r="AA28" s="79"/>
      <c r="AB28" s="79"/>
      <c r="AC28" s="79"/>
      <c r="AE28" s="79"/>
      <c r="AG28" s="73">
        <v>43547</v>
      </c>
      <c r="AH28" s="38" t="s">
        <v>33</v>
      </c>
      <c r="AI28" s="39" t="str">
        <f t="shared" si="16"/>
        <v>#REF!</v>
      </c>
      <c r="AJ28" s="39" t="e">
        <f t="shared" si="5"/>
        <v>#REF!</v>
      </c>
      <c r="AK28" s="39" t="s">
        <v>567</v>
      </c>
      <c r="AL28" t="s">
        <v>567</v>
      </c>
      <c r="AM28" s="125"/>
      <c r="AN28" s="125"/>
      <c r="AO28" s="40" t="e">
        <f t="shared" si="6"/>
        <v>#VALUE!</v>
      </c>
      <c r="AP28" s="41"/>
      <c r="AQ28" s="19"/>
      <c r="AR28" s="19"/>
    </row>
    <row r="29" spans="1:44">
      <c r="A29" s="37">
        <v>43533</v>
      </c>
      <c r="B29" s="38" t="s">
        <v>33</v>
      </c>
      <c r="C29" s="91">
        <v>25000</v>
      </c>
      <c r="D29" s="91">
        <v>8000</v>
      </c>
      <c r="E29" s="39">
        <f t="shared" si="11"/>
        <v>89000</v>
      </c>
      <c r="F29" s="39">
        <f t="shared" si="12"/>
        <v>57000</v>
      </c>
      <c r="G29" s="92">
        <v>4000</v>
      </c>
      <c r="H29" s="39">
        <f t="shared" si="13"/>
        <v>4000</v>
      </c>
      <c r="I29" s="39"/>
      <c r="J29" s="93"/>
      <c r="R29" s="96">
        <v>43548</v>
      </c>
      <c r="S29" s="45" t="s">
        <v>37</v>
      </c>
      <c r="T29" s="46">
        <v>0</v>
      </c>
      <c r="U29" s="46">
        <f t="shared" si="15"/>
        <v>4000</v>
      </c>
      <c r="V29" s="47">
        <f t="shared" si="2"/>
        <v>31845.161290322576</v>
      </c>
      <c r="W29" s="34" t="s">
        <v>561</v>
      </c>
      <c r="X29" s="48">
        <f t="shared" si="3"/>
        <v>120.29102667744544</v>
      </c>
      <c r="Y29" s="49"/>
      <c r="Z29" s="15"/>
      <c r="AA29" s="78"/>
      <c r="AB29" s="78" t="s">
        <v>53</v>
      </c>
      <c r="AC29" s="78" t="s">
        <v>54</v>
      </c>
      <c r="AD29" s="78" t="s">
        <v>55</v>
      </c>
      <c r="AE29" s="79"/>
      <c r="AG29" s="96">
        <v>43548</v>
      </c>
      <c r="AH29" s="45" t="s">
        <v>37</v>
      </c>
      <c r="AI29" s="46">
        <v>0</v>
      </c>
      <c r="AJ29" s="46" t="e">
        <f t="shared" si="5"/>
        <v>#REF!</v>
      </c>
      <c r="AK29" s="46" t="s">
        <v>567</v>
      </c>
      <c r="AL29" s="34" t="s">
        <v>561</v>
      </c>
      <c r="AM29" s="125"/>
      <c r="AN29" s="125"/>
      <c r="AO29" s="40" t="e">
        <f t="shared" si="6"/>
        <v>#REF!</v>
      </c>
      <c r="AP29" s="49"/>
      <c r="AQ29" s="19"/>
      <c r="AR29" s="19"/>
    </row>
    <row r="30" spans="1:44">
      <c r="A30" s="44">
        <v>43534</v>
      </c>
      <c r="B30" s="45" t="s">
        <v>37</v>
      </c>
      <c r="C30" s="99">
        <v>0</v>
      </c>
      <c r="D30" s="99">
        <v>4000</v>
      </c>
      <c r="E30" s="46">
        <f t="shared" si="11"/>
        <v>32000</v>
      </c>
      <c r="F30" s="46">
        <f t="shared" si="12"/>
        <v>0</v>
      </c>
      <c r="G30" s="100">
        <v>4000</v>
      </c>
      <c r="H30" s="46">
        <f t="shared" si="13"/>
        <v>0</v>
      </c>
      <c r="I30" s="46"/>
      <c r="J30" s="108"/>
      <c r="R30" s="68">
        <v>43549</v>
      </c>
      <c r="S30" s="51" t="s">
        <v>41</v>
      </c>
      <c r="T30" s="39">
        <v>2000</v>
      </c>
      <c r="U30" s="52">
        <f t="shared" si="15"/>
        <v>7500</v>
      </c>
      <c r="V30" s="23">
        <f t="shared" si="2"/>
        <v>3845.161290322576</v>
      </c>
      <c r="W30" t="s">
        <v>562</v>
      </c>
      <c r="X30" s="40">
        <f t="shared" si="3"/>
        <v>233.06386418755054</v>
      </c>
      <c r="Y30" s="69" t="s">
        <v>60</v>
      </c>
      <c r="Z30" s="70"/>
      <c r="AA30" s="78"/>
      <c r="AB30" s="78"/>
      <c r="AC30" s="78" t="s">
        <v>57</v>
      </c>
      <c r="AD30" s="102">
        <f>12695/5135</f>
        <v>2.4722492697176239</v>
      </c>
      <c r="AE30" s="79"/>
      <c r="AG30" s="68">
        <v>43549</v>
      </c>
      <c r="AH30" s="51" t="s">
        <v>41</v>
      </c>
      <c r="AI30" s="39">
        <v>2000</v>
      </c>
      <c r="AJ30" s="39" t="e">
        <f t="shared" si="5"/>
        <v>#REF!</v>
      </c>
      <c r="AK30" s="39" t="s">
        <v>567</v>
      </c>
      <c r="AL30" t="s">
        <v>567</v>
      </c>
      <c r="AM30" s="125"/>
      <c r="AN30" s="125"/>
      <c r="AO30" s="40" t="e">
        <f t="shared" si="6"/>
        <v>#REF!</v>
      </c>
      <c r="AP30" s="69" t="s">
        <v>60</v>
      </c>
      <c r="AQ30" s="19"/>
      <c r="AR30" s="19"/>
    </row>
    <row r="31" spans="1:44">
      <c r="A31" s="68">
        <v>43535</v>
      </c>
      <c r="B31" s="51" t="s">
        <v>41</v>
      </c>
      <c r="C31" s="91">
        <v>25000</v>
      </c>
      <c r="D31" s="103">
        <v>8000</v>
      </c>
      <c r="E31" s="39">
        <f t="shared" si="11"/>
        <v>89000</v>
      </c>
      <c r="F31" s="39">
        <f t="shared" si="12"/>
        <v>29000</v>
      </c>
      <c r="G31" s="104">
        <v>7500</v>
      </c>
      <c r="H31" s="39">
        <f t="shared" si="13"/>
        <v>500</v>
      </c>
      <c r="I31" s="105"/>
      <c r="J31" s="106" t="s">
        <v>76</v>
      </c>
      <c r="R31" s="73">
        <v>43550</v>
      </c>
      <c r="S31" s="38" t="s">
        <v>46</v>
      </c>
      <c r="T31" s="39">
        <f t="shared" ref="T31:T34" si="17">V31</f>
        <v>15845.161290322576</v>
      </c>
      <c r="U31" s="39">
        <f t="shared" si="15"/>
        <v>6000</v>
      </c>
      <c r="V31" s="23">
        <f t="shared" si="2"/>
        <v>15845.161290322576</v>
      </c>
      <c r="W31" t="s">
        <v>23</v>
      </c>
      <c r="X31" s="40">
        <f t="shared" si="3"/>
        <v>240</v>
      </c>
      <c r="Y31" s="41"/>
      <c r="Z31" s="15"/>
      <c r="AA31" s="78"/>
      <c r="AB31" s="78"/>
      <c r="AC31" s="78" t="s">
        <v>58</v>
      </c>
      <c r="AD31" s="78">
        <v>31</v>
      </c>
      <c r="AE31" s="79"/>
      <c r="AG31" s="73">
        <v>43550</v>
      </c>
      <c r="AH31" s="38" t="s">
        <v>46</v>
      </c>
      <c r="AI31" s="39" t="str">
        <f t="shared" ref="AI31:AI34" si="18">AK31</f>
        <v>#REF!</v>
      </c>
      <c r="AJ31" s="39" t="e">
        <f t="shared" si="5"/>
        <v>#REF!</v>
      </c>
      <c r="AK31" s="39" t="s">
        <v>567</v>
      </c>
      <c r="AL31" t="s">
        <v>567</v>
      </c>
      <c r="AM31" s="125"/>
      <c r="AN31" s="125"/>
      <c r="AO31" s="40" t="e">
        <f t="shared" si="6"/>
        <v>#VALUE!</v>
      </c>
      <c r="AP31" s="41"/>
      <c r="AQ31" s="19"/>
      <c r="AR31" s="19"/>
    </row>
    <row r="32" spans="1:44">
      <c r="A32" s="73">
        <v>43536</v>
      </c>
      <c r="B32" s="38" t="s">
        <v>46</v>
      </c>
      <c r="C32" s="91">
        <v>25000</v>
      </c>
      <c r="D32" s="91">
        <v>8000</v>
      </c>
      <c r="E32" s="39">
        <f t="shared" si="11"/>
        <v>89000</v>
      </c>
      <c r="F32" s="39">
        <f t="shared" si="12"/>
        <v>41000</v>
      </c>
      <c r="G32" s="92">
        <v>6000</v>
      </c>
      <c r="H32" s="39">
        <f t="shared" si="13"/>
        <v>2000</v>
      </c>
      <c r="I32" s="39"/>
      <c r="J32" s="93"/>
      <c r="R32" s="73">
        <v>43551</v>
      </c>
      <c r="S32" s="38" t="s">
        <v>49</v>
      </c>
      <c r="T32" s="39">
        <f t="shared" si="17"/>
        <v>19845.161290322576</v>
      </c>
      <c r="U32" s="39">
        <f t="shared" si="15"/>
        <v>5500</v>
      </c>
      <c r="V32" s="23">
        <f t="shared" si="2"/>
        <v>19845.161290322576</v>
      </c>
      <c r="W32" t="s">
        <v>23</v>
      </c>
      <c r="X32" s="40">
        <f t="shared" si="3"/>
        <v>240</v>
      </c>
      <c r="Y32" s="41"/>
      <c r="Z32" s="15"/>
      <c r="AA32" s="78"/>
      <c r="AB32" s="78"/>
      <c r="AC32" s="78" t="s">
        <v>59</v>
      </c>
      <c r="AD32" s="90">
        <f>SUM(G21:G51)</f>
        <v>173600</v>
      </c>
      <c r="AE32" s="79"/>
      <c r="AG32" s="73">
        <v>43551</v>
      </c>
      <c r="AH32" s="38" t="s">
        <v>49</v>
      </c>
      <c r="AI32" s="39" t="str">
        <f t="shared" si="18"/>
        <v>#REF!</v>
      </c>
      <c r="AJ32" s="39" t="e">
        <f t="shared" si="5"/>
        <v>#REF!</v>
      </c>
      <c r="AK32" s="39" t="s">
        <v>567</v>
      </c>
      <c r="AL32" t="s">
        <v>567</v>
      </c>
      <c r="AM32" s="125"/>
      <c r="AN32" s="125"/>
      <c r="AO32" s="40" t="e">
        <f t="shared" si="6"/>
        <v>#VALUE!</v>
      </c>
      <c r="AP32" s="41"/>
      <c r="AQ32" s="19"/>
      <c r="AR32" s="19"/>
    </row>
    <row r="33" spans="1:44">
      <c r="A33" s="73">
        <v>43537</v>
      </c>
      <c r="B33" s="38" t="s">
        <v>49</v>
      </c>
      <c r="C33" s="91">
        <v>25000</v>
      </c>
      <c r="D33" s="91">
        <v>8000</v>
      </c>
      <c r="E33" s="39">
        <f t="shared" si="11"/>
        <v>89000</v>
      </c>
      <c r="F33" s="39">
        <f t="shared" si="12"/>
        <v>45000</v>
      </c>
      <c r="G33" s="92">
        <v>5500</v>
      </c>
      <c r="H33" s="39">
        <f t="shared" si="13"/>
        <v>2500</v>
      </c>
      <c r="I33" s="39"/>
      <c r="J33" s="93"/>
      <c r="R33" s="73">
        <v>43552</v>
      </c>
      <c r="S33" s="38" t="s">
        <v>51</v>
      </c>
      <c r="T33" s="39">
        <f t="shared" si="17"/>
        <v>19845.161290322576</v>
      </c>
      <c r="U33" s="39">
        <f t="shared" si="15"/>
        <v>5500</v>
      </c>
      <c r="V33" s="23">
        <f t="shared" si="2"/>
        <v>19845.161290322576</v>
      </c>
      <c r="W33" t="s">
        <v>23</v>
      </c>
      <c r="X33" s="40">
        <f t="shared" si="3"/>
        <v>240</v>
      </c>
      <c r="Y33" s="41"/>
      <c r="Z33" s="15"/>
      <c r="AA33" s="79"/>
      <c r="AB33" s="79"/>
      <c r="AC33" s="78" t="s">
        <v>62</v>
      </c>
      <c r="AD33" s="90">
        <f>AD32/AD31</f>
        <v>5600</v>
      </c>
      <c r="AE33" s="79"/>
      <c r="AG33" s="73">
        <v>43552</v>
      </c>
      <c r="AH33" s="38" t="s">
        <v>51</v>
      </c>
      <c r="AI33" s="39" t="str">
        <f t="shared" si="18"/>
        <v>#REF!</v>
      </c>
      <c r="AJ33" s="39" t="e">
        <f t="shared" si="5"/>
        <v>#REF!</v>
      </c>
      <c r="AK33" s="39" t="s">
        <v>567</v>
      </c>
      <c r="AL33" t="s">
        <v>567</v>
      </c>
      <c r="AM33" s="125"/>
      <c r="AN33" s="125"/>
      <c r="AO33" s="40" t="e">
        <f t="shared" si="6"/>
        <v>#VALUE!</v>
      </c>
      <c r="AP33" s="41"/>
      <c r="AQ33" s="19"/>
      <c r="AR33" s="19"/>
    </row>
    <row r="34" spans="1:44">
      <c r="A34" s="73">
        <v>43538</v>
      </c>
      <c r="B34" s="38" t="s">
        <v>51</v>
      </c>
      <c r="C34" s="91">
        <v>25000</v>
      </c>
      <c r="D34" s="91">
        <v>8000</v>
      </c>
      <c r="E34" s="39">
        <f t="shared" si="11"/>
        <v>89000</v>
      </c>
      <c r="F34" s="39">
        <f t="shared" si="12"/>
        <v>45000</v>
      </c>
      <c r="G34" s="92">
        <v>5500</v>
      </c>
      <c r="H34" s="39">
        <f t="shared" si="13"/>
        <v>2500</v>
      </c>
      <c r="I34" s="39"/>
      <c r="J34" s="93"/>
      <c r="R34" s="73">
        <v>43553</v>
      </c>
      <c r="S34" s="38" t="s">
        <v>29</v>
      </c>
      <c r="T34" s="39">
        <f t="shared" si="17"/>
        <v>27845.161290322576</v>
      </c>
      <c r="U34" s="39">
        <f t="shared" si="15"/>
        <v>4500</v>
      </c>
      <c r="V34" s="23">
        <f t="shared" si="2"/>
        <v>27845.161290322576</v>
      </c>
      <c r="W34" t="s">
        <v>23</v>
      </c>
      <c r="X34" s="40">
        <f t="shared" si="3"/>
        <v>240</v>
      </c>
      <c r="Y34" s="41"/>
      <c r="Z34" s="15"/>
      <c r="AA34" s="79"/>
      <c r="AB34" s="79"/>
      <c r="AC34" s="109" t="s">
        <v>34</v>
      </c>
      <c r="AD34" s="110">
        <f>AD32*AD30</f>
        <v>429182.47322297952</v>
      </c>
      <c r="AE34" s="79"/>
      <c r="AG34" s="73">
        <v>43553</v>
      </c>
      <c r="AH34" s="38" t="s">
        <v>29</v>
      </c>
      <c r="AI34" s="39" t="str">
        <f t="shared" si="18"/>
        <v>#REF!</v>
      </c>
      <c r="AJ34" s="39" t="e">
        <f t="shared" si="5"/>
        <v>#REF!</v>
      </c>
      <c r="AK34" s="39" t="s">
        <v>567</v>
      </c>
      <c r="AL34" t="s">
        <v>567</v>
      </c>
      <c r="AM34" s="125"/>
      <c r="AN34" s="125"/>
      <c r="AO34" s="40" t="e">
        <f t="shared" si="6"/>
        <v>#VALUE!</v>
      </c>
      <c r="AP34" s="41"/>
      <c r="AQ34" s="19"/>
      <c r="AR34" s="19"/>
    </row>
    <row r="35" spans="1:44">
      <c r="A35" s="73">
        <v>43539</v>
      </c>
      <c r="B35" s="38" t="s">
        <v>29</v>
      </c>
      <c r="C35" s="91">
        <v>25000</v>
      </c>
      <c r="D35" s="91">
        <v>8000</v>
      </c>
      <c r="E35" s="39">
        <f t="shared" si="11"/>
        <v>89000</v>
      </c>
      <c r="F35" s="39">
        <f t="shared" si="12"/>
        <v>37000</v>
      </c>
      <c r="G35" s="92">
        <v>6500</v>
      </c>
      <c r="H35" s="39">
        <f t="shared" si="13"/>
        <v>1500</v>
      </c>
      <c r="I35" s="39"/>
      <c r="J35" s="106" t="s">
        <v>71</v>
      </c>
      <c r="R35" s="73">
        <v>43554</v>
      </c>
      <c r="S35" s="38" t="s">
        <v>33</v>
      </c>
      <c r="T35" s="39">
        <f>V35-U39</f>
        <v>31845.161290322576</v>
      </c>
      <c r="U35" s="39">
        <f t="shared" si="15"/>
        <v>4000</v>
      </c>
      <c r="V35" s="23">
        <f t="shared" si="2"/>
        <v>31845.161290322576</v>
      </c>
      <c r="W35" t="s">
        <v>23</v>
      </c>
      <c r="X35" s="40">
        <f t="shared" si="3"/>
        <v>240</v>
      </c>
      <c r="Y35" s="41"/>
      <c r="Z35" s="15"/>
      <c r="AA35" s="79"/>
      <c r="AB35" s="79"/>
      <c r="AC35" s="109" t="s">
        <v>68</v>
      </c>
      <c r="AD35" s="131" t="e">
        <f>SUM(AI6:AI36)</f>
        <v>#VALUE!</v>
      </c>
      <c r="AE35" s="79"/>
      <c r="AG35" s="73">
        <v>43554</v>
      </c>
      <c r="AH35" s="38" t="s">
        <v>33</v>
      </c>
      <c r="AI35" s="39" t="e">
        <f>AK35-AJ39</f>
        <v>#VALUE!</v>
      </c>
      <c r="AJ35" s="39" t="e">
        <f t="shared" si="5"/>
        <v>#REF!</v>
      </c>
      <c r="AK35" s="39" t="s">
        <v>567</v>
      </c>
      <c r="AL35" t="s">
        <v>567</v>
      </c>
      <c r="AM35" s="125"/>
      <c r="AN35" s="125"/>
      <c r="AO35" s="40" t="e">
        <f t="shared" si="6"/>
        <v>#VALUE!</v>
      </c>
      <c r="AP35" s="41"/>
      <c r="AQ35" s="19"/>
      <c r="AR35" s="19"/>
    </row>
    <row r="36" spans="1:44">
      <c r="A36" s="73">
        <v>43540</v>
      </c>
      <c r="B36" s="38" t="s">
        <v>33</v>
      </c>
      <c r="C36" s="91">
        <v>25000</v>
      </c>
      <c r="D36" s="91">
        <v>8000</v>
      </c>
      <c r="E36" s="39">
        <f t="shared" si="11"/>
        <v>89000</v>
      </c>
      <c r="F36" s="39">
        <f t="shared" si="12"/>
        <v>37000</v>
      </c>
      <c r="G36" s="92">
        <v>6500</v>
      </c>
      <c r="H36" s="39">
        <f t="shared" si="13"/>
        <v>1500</v>
      </c>
      <c r="I36" s="39"/>
      <c r="J36" s="106" t="s">
        <v>71</v>
      </c>
      <c r="R36" s="96">
        <v>43555</v>
      </c>
      <c r="S36" s="45" t="s">
        <v>37</v>
      </c>
      <c r="T36" s="46">
        <v>0</v>
      </c>
      <c r="U36" s="46">
        <f t="shared" si="15"/>
        <v>4000</v>
      </c>
      <c r="V36" s="47">
        <f t="shared" si="2"/>
        <v>31845.161290322576</v>
      </c>
      <c r="W36" s="34" t="s">
        <v>561</v>
      </c>
      <c r="X36" s="48">
        <f t="shared" si="3"/>
        <v>120.29102667744544</v>
      </c>
      <c r="Y36" s="49"/>
      <c r="Z36" s="15"/>
      <c r="AA36" s="79"/>
      <c r="AB36" s="79"/>
      <c r="AC36" s="78" t="s">
        <v>70</v>
      </c>
      <c r="AD36" s="90" t="e">
        <f>AD35-AD34</f>
        <v>#VALUE!</v>
      </c>
      <c r="AE36" s="79"/>
      <c r="AG36" s="96">
        <v>43555</v>
      </c>
      <c r="AH36" s="45" t="s">
        <v>37</v>
      </c>
      <c r="AI36" s="46">
        <v>0</v>
      </c>
      <c r="AJ36" s="46" t="e">
        <f t="shared" si="5"/>
        <v>#REF!</v>
      </c>
      <c r="AK36" s="46" t="s">
        <v>567</v>
      </c>
      <c r="AL36" s="34" t="s">
        <v>561</v>
      </c>
      <c r="AM36" s="125"/>
      <c r="AN36" s="125"/>
      <c r="AO36" s="40" t="e">
        <f t="shared" si="6"/>
        <v>#REF!</v>
      </c>
      <c r="AP36" s="49"/>
      <c r="AQ36" s="19"/>
      <c r="AR36" s="19"/>
    </row>
    <row r="37" spans="1:44">
      <c r="A37" s="96">
        <v>43541</v>
      </c>
      <c r="B37" s="45" t="s">
        <v>37</v>
      </c>
      <c r="C37" s="99">
        <v>0</v>
      </c>
      <c r="D37" s="99">
        <v>4000</v>
      </c>
      <c r="E37" s="46">
        <f t="shared" si="11"/>
        <v>32000</v>
      </c>
      <c r="F37" s="46">
        <f t="shared" si="12"/>
        <v>-20000</v>
      </c>
      <c r="G37" s="100">
        <v>6500</v>
      </c>
      <c r="H37" s="46">
        <f t="shared" si="13"/>
        <v>-2500</v>
      </c>
      <c r="I37" s="46"/>
      <c r="J37" s="111" t="s">
        <v>71</v>
      </c>
      <c r="R37" s="112"/>
      <c r="S37" s="113"/>
      <c r="T37" s="114">
        <f t="shared" ref="T37:U37" si="19">SUM(T6:T36)</f>
        <v>445948.38709677383</v>
      </c>
      <c r="U37" s="114">
        <f t="shared" si="19"/>
        <v>173100</v>
      </c>
      <c r="AA37" s="79"/>
      <c r="AB37" s="79"/>
      <c r="AC37" s="78" t="s">
        <v>72</v>
      </c>
      <c r="AD37" s="115" t="e">
        <f>AD36/26</f>
        <v>#VALUE!</v>
      </c>
      <c r="AE37" s="79"/>
      <c r="AG37" s="112"/>
      <c r="AH37" s="113"/>
      <c r="AI37" s="114" t="e">
        <f t="shared" ref="AI37:AJ37" si="20">SUM(AI6:AI36)</f>
        <v>#VALUE!</v>
      </c>
      <c r="AJ37" s="114" t="e">
        <f t="shared" si="20"/>
        <v>#REF!</v>
      </c>
      <c r="AK37" s="114"/>
      <c r="AQ37" s="9"/>
      <c r="AR37" s="9"/>
    </row>
    <row r="38" spans="1:44">
      <c r="A38" s="68">
        <v>43542</v>
      </c>
      <c r="B38" s="51" t="s">
        <v>41</v>
      </c>
      <c r="C38" s="91">
        <v>25000</v>
      </c>
      <c r="D38" s="116">
        <v>8000</v>
      </c>
      <c r="E38" s="39">
        <f t="shared" si="11"/>
        <v>89000</v>
      </c>
      <c r="F38" s="39">
        <f t="shared" si="12"/>
        <v>13000</v>
      </c>
      <c r="G38" s="117">
        <v>9500</v>
      </c>
      <c r="H38" s="39">
        <f t="shared" si="13"/>
        <v>-1500</v>
      </c>
      <c r="I38" s="118"/>
      <c r="J38" s="106" t="s">
        <v>73</v>
      </c>
      <c r="T38">
        <f>T37/26</f>
        <v>17151.861042183609</v>
      </c>
      <c r="AJ38" t="e">
        <f>AI37/AJ37</f>
        <v>#VALUE!</v>
      </c>
      <c r="AQ38" s="9"/>
      <c r="AR38" s="9"/>
    </row>
    <row r="39" spans="1:44">
      <c r="A39" s="73">
        <v>43543</v>
      </c>
      <c r="B39" s="38" t="s">
        <v>46</v>
      </c>
      <c r="C39" s="91">
        <v>25000</v>
      </c>
      <c r="D39" s="116">
        <v>8000</v>
      </c>
      <c r="E39" s="39">
        <f t="shared" si="11"/>
        <v>89000</v>
      </c>
      <c r="F39" s="39">
        <f t="shared" si="12"/>
        <v>37000</v>
      </c>
      <c r="G39" s="117">
        <v>6500</v>
      </c>
      <c r="H39" s="39">
        <f t="shared" si="13"/>
        <v>1500</v>
      </c>
      <c r="I39" s="118"/>
      <c r="J39" s="106" t="s">
        <v>77</v>
      </c>
      <c r="N39" s="4" t="s">
        <v>78</v>
      </c>
      <c r="AQ39" s="9"/>
      <c r="AR39" s="9"/>
    </row>
    <row r="40" spans="1:44">
      <c r="A40" s="73">
        <v>43544</v>
      </c>
      <c r="B40" s="38" t="s">
        <v>49</v>
      </c>
      <c r="C40" s="91">
        <v>25000</v>
      </c>
      <c r="D40" s="116">
        <v>8000</v>
      </c>
      <c r="E40" s="39">
        <f t="shared" si="11"/>
        <v>89000</v>
      </c>
      <c r="F40" s="39">
        <f t="shared" si="12"/>
        <v>30600</v>
      </c>
      <c r="G40" s="117">
        <v>7300</v>
      </c>
      <c r="H40" s="39">
        <f t="shared" si="13"/>
        <v>700</v>
      </c>
      <c r="I40" s="118"/>
      <c r="J40" s="106" t="s">
        <v>75</v>
      </c>
      <c r="N40" s="4" t="s">
        <v>79</v>
      </c>
      <c r="AQ40" s="9"/>
      <c r="AR40" s="9"/>
    </row>
    <row r="41" spans="1:44">
      <c r="A41" s="73">
        <v>43545</v>
      </c>
      <c r="B41" s="38" t="s">
        <v>51</v>
      </c>
      <c r="C41" s="91">
        <v>25000</v>
      </c>
      <c r="D41" s="116">
        <v>8000</v>
      </c>
      <c r="E41" s="39">
        <f t="shared" si="11"/>
        <v>89000</v>
      </c>
      <c r="F41" s="39">
        <f t="shared" si="12"/>
        <v>30600</v>
      </c>
      <c r="G41" s="117">
        <v>7300</v>
      </c>
      <c r="H41" s="39">
        <f t="shared" si="13"/>
        <v>700</v>
      </c>
      <c r="I41" s="118"/>
      <c r="J41" s="106" t="s">
        <v>75</v>
      </c>
      <c r="N41" s="119" t="s">
        <v>80</v>
      </c>
      <c r="AC41" s="119"/>
      <c r="AQ41" s="9"/>
      <c r="AR41" s="9"/>
    </row>
    <row r="42" spans="1:44">
      <c r="A42" s="73">
        <v>43546</v>
      </c>
      <c r="B42" s="38" t="s">
        <v>29</v>
      </c>
      <c r="C42" s="91">
        <v>25000</v>
      </c>
      <c r="D42" s="116">
        <v>8000</v>
      </c>
      <c r="E42" s="39">
        <f t="shared" si="11"/>
        <v>89000</v>
      </c>
      <c r="F42" s="39">
        <f t="shared" si="12"/>
        <v>53000</v>
      </c>
      <c r="G42" s="120">
        <v>4500</v>
      </c>
      <c r="H42" s="39">
        <f t="shared" si="13"/>
        <v>3500</v>
      </c>
      <c r="I42" s="118"/>
      <c r="J42" s="93"/>
      <c r="AQ42" s="9"/>
      <c r="AR42" s="9"/>
    </row>
    <row r="43" spans="1:44">
      <c r="A43" s="73">
        <v>43547</v>
      </c>
      <c r="B43" s="38" t="s">
        <v>33</v>
      </c>
      <c r="C43" s="91">
        <v>25000</v>
      </c>
      <c r="D43" s="116">
        <v>8000</v>
      </c>
      <c r="E43" s="39">
        <f t="shared" si="11"/>
        <v>89000</v>
      </c>
      <c r="F43" s="39">
        <f t="shared" si="12"/>
        <v>57000</v>
      </c>
      <c r="G43" s="120">
        <v>4000</v>
      </c>
      <c r="H43" s="39">
        <f t="shared" si="13"/>
        <v>4000</v>
      </c>
      <c r="I43" s="118"/>
      <c r="J43" s="93"/>
      <c r="AQ43" s="9"/>
      <c r="AR43" s="9"/>
    </row>
    <row r="44" spans="1:44">
      <c r="A44" s="96">
        <v>43548</v>
      </c>
      <c r="B44" s="45" t="s">
        <v>37</v>
      </c>
      <c r="C44" s="99">
        <v>0</v>
      </c>
      <c r="D44" s="99">
        <v>4000</v>
      </c>
      <c r="E44" s="46">
        <f t="shared" si="11"/>
        <v>32000</v>
      </c>
      <c r="F44" s="46">
        <f t="shared" si="12"/>
        <v>0</v>
      </c>
      <c r="G44" s="121">
        <v>4000</v>
      </c>
      <c r="H44" s="46">
        <f t="shared" si="13"/>
        <v>0</v>
      </c>
      <c r="I44" s="122"/>
      <c r="J44" s="101"/>
      <c r="AQ44" s="9"/>
      <c r="AR44" s="9"/>
    </row>
    <row r="45" spans="1:44">
      <c r="A45" s="68">
        <v>43549</v>
      </c>
      <c r="B45" s="51" t="s">
        <v>41</v>
      </c>
      <c r="C45" s="91">
        <v>25000</v>
      </c>
      <c r="D45" s="116">
        <v>8000</v>
      </c>
      <c r="E45" s="39">
        <f t="shared" si="11"/>
        <v>89000</v>
      </c>
      <c r="F45" s="39">
        <f t="shared" si="12"/>
        <v>29000</v>
      </c>
      <c r="G45" s="117">
        <v>7500</v>
      </c>
      <c r="H45" s="39">
        <f t="shared" si="13"/>
        <v>500</v>
      </c>
      <c r="I45" s="118"/>
      <c r="J45" s="106" t="s">
        <v>76</v>
      </c>
      <c r="AQ45" s="9"/>
      <c r="AR45" s="9"/>
    </row>
    <row r="46" spans="1:44">
      <c r="A46" s="73">
        <v>43550</v>
      </c>
      <c r="B46" s="38" t="s">
        <v>46</v>
      </c>
      <c r="C46" s="91">
        <v>25000</v>
      </c>
      <c r="D46" s="116">
        <v>8000</v>
      </c>
      <c r="E46" s="39">
        <f t="shared" si="11"/>
        <v>89000</v>
      </c>
      <c r="F46" s="39">
        <f t="shared" si="12"/>
        <v>41000</v>
      </c>
      <c r="G46" s="120">
        <v>6000</v>
      </c>
      <c r="H46" s="39">
        <f t="shared" si="13"/>
        <v>2000</v>
      </c>
      <c r="I46" s="118"/>
      <c r="J46" s="93"/>
      <c r="AQ46" s="9"/>
      <c r="AR46" s="9"/>
    </row>
    <row r="47" spans="1:44">
      <c r="A47" s="73">
        <v>43551</v>
      </c>
      <c r="B47" s="38" t="s">
        <v>49</v>
      </c>
      <c r="C47" s="91">
        <v>25000</v>
      </c>
      <c r="D47" s="116">
        <v>8000</v>
      </c>
      <c r="E47" s="39">
        <f t="shared" si="11"/>
        <v>89000</v>
      </c>
      <c r="F47" s="39">
        <f t="shared" si="12"/>
        <v>45000</v>
      </c>
      <c r="G47" s="120">
        <v>5500</v>
      </c>
      <c r="H47" s="39">
        <f t="shared" si="13"/>
        <v>2500</v>
      </c>
      <c r="I47" s="118"/>
      <c r="J47" s="93"/>
      <c r="AQ47" s="9"/>
      <c r="AR47" s="9"/>
    </row>
    <row r="48" spans="1:44">
      <c r="A48" s="73">
        <v>43552</v>
      </c>
      <c r="B48" s="38" t="s">
        <v>51</v>
      </c>
      <c r="C48" s="91">
        <v>25000</v>
      </c>
      <c r="D48" s="116">
        <v>8000</v>
      </c>
      <c r="E48" s="39">
        <f t="shared" si="11"/>
        <v>89000</v>
      </c>
      <c r="F48" s="39">
        <f t="shared" si="12"/>
        <v>45000</v>
      </c>
      <c r="G48" s="120">
        <v>5500</v>
      </c>
      <c r="H48" s="39">
        <f t="shared" si="13"/>
        <v>2500</v>
      </c>
      <c r="J48" s="93"/>
      <c r="AQ48" s="9"/>
      <c r="AR48" s="9"/>
    </row>
    <row r="49" spans="1:44">
      <c r="A49" s="73">
        <v>43553</v>
      </c>
      <c r="B49" s="38" t="s">
        <v>29</v>
      </c>
      <c r="C49" s="91">
        <v>25000</v>
      </c>
      <c r="D49" s="116">
        <v>8000</v>
      </c>
      <c r="E49" s="39">
        <f t="shared" si="11"/>
        <v>89000</v>
      </c>
      <c r="F49" s="39">
        <f t="shared" si="12"/>
        <v>53000</v>
      </c>
      <c r="G49" s="120">
        <v>4500</v>
      </c>
      <c r="H49" s="39">
        <f t="shared" si="13"/>
        <v>3500</v>
      </c>
      <c r="I49" s="2"/>
      <c r="J49" s="93"/>
      <c r="AQ49" s="9"/>
      <c r="AR49" s="9"/>
    </row>
    <row r="50" spans="1:44">
      <c r="A50" s="73">
        <v>43554</v>
      </c>
      <c r="B50" s="38" t="s">
        <v>33</v>
      </c>
      <c r="C50" s="91">
        <v>25000</v>
      </c>
      <c r="D50" s="116">
        <v>8000</v>
      </c>
      <c r="E50" s="39">
        <f t="shared" si="11"/>
        <v>89000</v>
      </c>
      <c r="F50" s="39">
        <f t="shared" si="12"/>
        <v>57000</v>
      </c>
      <c r="G50" s="120">
        <v>4000</v>
      </c>
      <c r="H50" s="39">
        <f t="shared" si="13"/>
        <v>4000</v>
      </c>
      <c r="I50" s="2"/>
      <c r="J50" s="93"/>
      <c r="AQ50" s="9"/>
      <c r="AR50" s="9"/>
    </row>
    <row r="51" spans="1:44" ht="14">
      <c r="A51" s="96">
        <v>43555</v>
      </c>
      <c r="B51" s="45" t="s">
        <v>37</v>
      </c>
      <c r="C51" s="99">
        <v>0</v>
      </c>
      <c r="D51" s="99">
        <v>4000</v>
      </c>
      <c r="E51" s="46">
        <f t="shared" si="11"/>
        <v>32000</v>
      </c>
      <c r="F51" s="46">
        <f t="shared" si="12"/>
        <v>0</v>
      </c>
      <c r="G51" s="121">
        <v>4000</v>
      </c>
      <c r="H51" s="46">
        <f t="shared" si="13"/>
        <v>0</v>
      </c>
      <c r="I51" s="122"/>
      <c r="J51" s="101"/>
      <c r="AQ51" s="9"/>
      <c r="AR51" s="9"/>
    </row>
    <row r="52" spans="1:44" ht="13">
      <c r="A52" s="2"/>
      <c r="B52" s="2"/>
      <c r="C52" s="2"/>
      <c r="D52" s="2"/>
      <c r="E52" s="2"/>
      <c r="F52" s="2"/>
      <c r="G52" s="2"/>
      <c r="H52" s="2"/>
      <c r="I52" s="2"/>
      <c r="AQ52" s="9"/>
      <c r="AR52" s="9"/>
    </row>
    <row r="53" spans="1:44" ht="13">
      <c r="A53" s="2"/>
      <c r="B53" s="2"/>
      <c r="C53" s="2"/>
      <c r="D53" s="2"/>
      <c r="E53" s="2"/>
      <c r="F53" s="2"/>
      <c r="G53" s="2"/>
      <c r="H53" s="2"/>
      <c r="I53" s="2"/>
      <c r="J53" s="2"/>
      <c r="AQ53" s="9"/>
      <c r="AR53" s="9"/>
    </row>
    <row r="54" spans="1:44" ht="13">
      <c r="A54" s="2"/>
      <c r="B54" s="2"/>
      <c r="C54" s="2"/>
      <c r="D54" s="2"/>
      <c r="E54" s="2"/>
      <c r="F54" s="2"/>
      <c r="G54" s="2"/>
      <c r="H54" s="2"/>
      <c r="I54" s="2"/>
      <c r="J54" s="2"/>
      <c r="AQ54" s="9"/>
      <c r="AR54" s="9"/>
    </row>
    <row r="55" spans="1:44" ht="13">
      <c r="A55" s="2"/>
      <c r="B55" s="2"/>
      <c r="C55" s="2"/>
      <c r="D55" s="2"/>
      <c r="E55" s="2"/>
      <c r="F55" s="2"/>
      <c r="G55" s="2"/>
      <c r="H55" s="2"/>
      <c r="I55" s="2"/>
      <c r="J55" s="13" t="s">
        <v>81</v>
      </c>
      <c r="L55" s="112" t="s">
        <v>82</v>
      </c>
      <c r="O55" s="113"/>
      <c r="AQ55" s="9"/>
      <c r="AR55" s="9"/>
    </row>
    <row r="56" spans="1:44" ht="13">
      <c r="A56" s="2"/>
      <c r="B56" s="2"/>
      <c r="C56" s="2"/>
      <c r="D56" s="2"/>
      <c r="E56" s="2"/>
      <c r="F56" s="2"/>
      <c r="G56" s="2"/>
      <c r="H56" s="2"/>
      <c r="I56" s="2"/>
      <c r="J56" s="2"/>
      <c r="AQ56" s="9"/>
      <c r="AR56" s="9"/>
    </row>
    <row r="57" spans="1:44" ht="13">
      <c r="A57" s="2"/>
      <c r="B57" s="2"/>
      <c r="C57" s="2"/>
      <c r="D57" s="2"/>
      <c r="E57" s="2"/>
      <c r="F57" s="2"/>
      <c r="G57" s="2"/>
      <c r="H57" s="2"/>
      <c r="I57" s="2"/>
      <c r="J57" s="2"/>
      <c r="AQ57" s="9"/>
      <c r="AR57" s="9"/>
    </row>
    <row r="58" spans="1:44" ht="13">
      <c r="A58" s="2"/>
      <c r="B58" s="2"/>
      <c r="C58" s="2"/>
      <c r="D58" s="2"/>
      <c r="E58" s="2"/>
      <c r="F58" s="2"/>
      <c r="G58" s="2"/>
      <c r="H58" s="2"/>
      <c r="I58" s="2"/>
      <c r="J58" s="2"/>
      <c r="AQ58" s="9"/>
      <c r="AR58" s="9"/>
    </row>
    <row r="59" spans="1:44" ht="13">
      <c r="A59" s="2"/>
      <c r="B59" s="2"/>
      <c r="C59" s="2"/>
      <c r="D59" s="2"/>
      <c r="E59" s="2"/>
      <c r="F59" s="2"/>
      <c r="G59" s="2"/>
      <c r="H59" s="2"/>
      <c r="I59" s="2"/>
      <c r="J59" s="2"/>
      <c r="AQ59" s="9"/>
      <c r="AR59" s="9"/>
    </row>
    <row r="60" spans="1:44" ht="13">
      <c r="A60" s="2"/>
      <c r="B60" s="2"/>
      <c r="C60" s="2"/>
      <c r="D60" s="2"/>
      <c r="E60" s="2"/>
      <c r="F60" s="2"/>
      <c r="G60" s="2"/>
      <c r="H60" s="2"/>
      <c r="I60" s="2"/>
      <c r="J60" s="2"/>
      <c r="AQ60" s="9"/>
      <c r="AR60" s="9"/>
    </row>
    <row r="61" spans="1:44" ht="13">
      <c r="A61" s="2"/>
      <c r="B61" s="2"/>
      <c r="C61" s="2"/>
      <c r="D61" s="2"/>
      <c r="E61" s="2"/>
      <c r="F61" s="2"/>
      <c r="G61" s="2"/>
      <c r="H61" s="2"/>
      <c r="I61" s="2"/>
      <c r="J61" s="2"/>
      <c r="AQ61" s="9"/>
      <c r="AR61" s="9"/>
    </row>
    <row r="62" spans="1:44" ht="13">
      <c r="A62" s="2"/>
      <c r="B62" s="2"/>
      <c r="C62" s="2"/>
      <c r="D62" s="2"/>
      <c r="E62" s="2"/>
      <c r="F62" s="2"/>
      <c r="G62" s="2"/>
      <c r="H62" s="2"/>
      <c r="I62" s="2"/>
      <c r="J62" s="2"/>
      <c r="AQ62" s="9"/>
      <c r="AR62" s="9"/>
    </row>
    <row r="63" spans="1:44" ht="13">
      <c r="A63" s="2"/>
      <c r="B63" s="2"/>
      <c r="C63" s="2"/>
      <c r="D63" s="2"/>
      <c r="E63" s="2"/>
      <c r="F63" s="2"/>
      <c r="G63" s="2"/>
      <c r="H63" s="2"/>
      <c r="I63" s="2"/>
      <c r="J63" s="2"/>
      <c r="AQ63" s="9"/>
      <c r="AR63" s="9"/>
    </row>
    <row r="64" spans="1:44" ht="13">
      <c r="A64" s="2"/>
      <c r="B64" s="2"/>
      <c r="C64" s="2"/>
      <c r="D64" s="2"/>
      <c r="E64" s="2"/>
      <c r="F64" s="2"/>
      <c r="G64" s="2"/>
      <c r="H64" s="2"/>
      <c r="I64" s="2"/>
      <c r="J64" s="2"/>
      <c r="AQ64" s="9"/>
      <c r="AR64" s="9"/>
    </row>
    <row r="65" spans="1:44" ht="13">
      <c r="A65" s="2"/>
      <c r="B65" s="2"/>
      <c r="C65" s="2"/>
      <c r="D65" s="2"/>
      <c r="E65" s="2"/>
      <c r="F65" s="2"/>
      <c r="G65" s="2"/>
      <c r="H65" s="2"/>
      <c r="I65" s="2"/>
      <c r="J65" s="2"/>
      <c r="AQ65" s="9"/>
      <c r="AR65" s="9"/>
    </row>
    <row r="66" spans="1:44" ht="13">
      <c r="A66" s="2"/>
      <c r="B66" s="2"/>
      <c r="C66" s="2"/>
      <c r="D66" s="2"/>
      <c r="E66" s="2"/>
      <c r="F66" s="2"/>
      <c r="G66" s="2"/>
      <c r="H66" s="2"/>
      <c r="I66" s="2"/>
      <c r="J66" s="2"/>
      <c r="AQ66" s="9"/>
      <c r="AR66" s="9"/>
    </row>
    <row r="67" spans="1:44" ht="13">
      <c r="A67" s="2"/>
      <c r="B67" s="2"/>
      <c r="C67" s="2"/>
      <c r="D67" s="2"/>
      <c r="E67" s="2"/>
      <c r="F67" s="2"/>
      <c r="G67" s="2"/>
      <c r="H67" s="2"/>
      <c r="I67" s="2"/>
      <c r="J67" s="2"/>
      <c r="AQ67" s="9"/>
      <c r="AR67" s="9"/>
    </row>
    <row r="68" spans="1:44" ht="13">
      <c r="A68" s="2"/>
      <c r="B68" s="2"/>
      <c r="C68" s="2"/>
      <c r="D68" s="2"/>
      <c r="E68" s="2"/>
      <c r="F68" s="2"/>
      <c r="G68" s="2"/>
      <c r="H68" s="2"/>
      <c r="I68" s="2"/>
      <c r="J68" s="2"/>
      <c r="AQ68" s="9"/>
      <c r="AR68" s="9"/>
    </row>
    <row r="69" spans="1:44" ht="13">
      <c r="A69" s="2"/>
      <c r="B69" s="2"/>
      <c r="C69" s="2"/>
      <c r="D69" s="2"/>
      <c r="E69" s="2"/>
      <c r="F69" s="2"/>
      <c r="G69" s="2"/>
      <c r="H69" s="2"/>
      <c r="I69" s="2"/>
      <c r="J69" s="2"/>
      <c r="AQ69" s="9"/>
      <c r="AR69" s="9"/>
    </row>
    <row r="70" spans="1:44" ht="13">
      <c r="A70" s="2"/>
      <c r="B70" s="2"/>
      <c r="C70" s="2"/>
      <c r="D70" s="2"/>
      <c r="E70" s="2"/>
      <c r="F70" s="2"/>
      <c r="G70" s="2"/>
      <c r="H70" s="2"/>
      <c r="I70" s="2"/>
      <c r="J70" s="2"/>
      <c r="AQ70" s="9"/>
      <c r="AR70" s="9"/>
    </row>
    <row r="71" spans="1:44" ht="13">
      <c r="A71" s="2"/>
      <c r="B71" s="2"/>
      <c r="C71" s="2"/>
      <c r="D71" s="2"/>
      <c r="E71" s="2"/>
      <c r="F71" s="2"/>
      <c r="G71" s="2"/>
      <c r="H71" s="2"/>
      <c r="I71" s="2"/>
      <c r="J71" s="2"/>
      <c r="AQ71" s="9"/>
      <c r="AR71" s="9"/>
    </row>
    <row r="72" spans="1:44" ht="13">
      <c r="A72" s="2"/>
      <c r="B72" s="2"/>
      <c r="C72" s="2"/>
      <c r="D72" s="2"/>
      <c r="E72" s="2"/>
      <c r="F72" s="2"/>
      <c r="G72" s="2"/>
      <c r="H72" s="2"/>
      <c r="I72" s="2"/>
      <c r="J72" s="2"/>
      <c r="AQ72" s="9"/>
      <c r="AR72" s="9"/>
    </row>
    <row r="73" spans="1:44" ht="13">
      <c r="A73" s="2"/>
      <c r="B73" s="2"/>
      <c r="C73" s="2"/>
      <c r="D73" s="2"/>
      <c r="E73" s="2"/>
      <c r="F73" s="2"/>
      <c r="G73" s="2"/>
      <c r="H73" s="2"/>
      <c r="I73" s="2"/>
      <c r="J73" s="2"/>
      <c r="AQ73" s="9"/>
      <c r="AR73" s="9"/>
    </row>
    <row r="74" spans="1:44" ht="13">
      <c r="A74" s="2"/>
      <c r="B74" s="2"/>
      <c r="C74" s="2"/>
      <c r="D74" s="2"/>
      <c r="E74" s="2"/>
      <c r="F74" s="2"/>
      <c r="G74" s="2"/>
      <c r="H74" s="2"/>
      <c r="I74" s="2"/>
      <c r="J74" s="2"/>
      <c r="AQ74" s="9"/>
      <c r="AR74" s="9"/>
    </row>
    <row r="75" spans="1:44" ht="13">
      <c r="A75" s="2"/>
      <c r="B75" s="2"/>
      <c r="C75" s="2"/>
      <c r="D75" s="2"/>
      <c r="E75" s="2"/>
      <c r="F75" s="2"/>
      <c r="G75" s="2"/>
      <c r="H75" s="2"/>
      <c r="I75" s="2"/>
      <c r="J75" s="2"/>
      <c r="AQ75" s="9"/>
      <c r="AR75" s="9"/>
    </row>
    <row r="76" spans="1:44" ht="13">
      <c r="A76" s="2"/>
      <c r="B76" s="2"/>
      <c r="C76" s="2"/>
      <c r="D76" s="2"/>
      <c r="E76" s="2"/>
      <c r="F76" s="2"/>
      <c r="G76" s="2"/>
      <c r="H76" s="2"/>
      <c r="I76" s="2"/>
      <c r="J76" s="2"/>
      <c r="AQ76" s="9"/>
      <c r="AR76" s="9"/>
    </row>
    <row r="77" spans="1:44" ht="13">
      <c r="A77" s="2"/>
      <c r="B77" s="2"/>
      <c r="C77" s="2"/>
      <c r="D77" s="2"/>
      <c r="E77" s="2"/>
      <c r="F77" s="2"/>
      <c r="G77" s="2"/>
      <c r="H77" s="2"/>
      <c r="I77" s="2"/>
      <c r="J77" s="2"/>
      <c r="AQ77" s="9"/>
      <c r="AR77" s="9"/>
    </row>
    <row r="78" spans="1:44" ht="13">
      <c r="A78" s="2"/>
      <c r="B78" s="2"/>
      <c r="C78" s="2"/>
      <c r="D78" s="2"/>
      <c r="E78" s="2"/>
      <c r="F78" s="2"/>
      <c r="G78" s="2"/>
      <c r="H78" s="2"/>
      <c r="I78" s="2"/>
      <c r="J78" s="2"/>
      <c r="AQ78" s="9"/>
      <c r="AR78" s="9"/>
    </row>
    <row r="79" spans="1:44" ht="13">
      <c r="A79" s="2"/>
      <c r="B79" s="2"/>
      <c r="C79" s="2"/>
      <c r="D79" s="2"/>
      <c r="E79" s="2"/>
      <c r="F79" s="2"/>
      <c r="G79" s="2"/>
      <c r="H79" s="2"/>
      <c r="I79" s="2"/>
      <c r="J79" s="2"/>
      <c r="AQ79" s="9"/>
      <c r="AR79" s="9"/>
    </row>
    <row r="80" spans="1:44" ht="13">
      <c r="A80" s="2"/>
      <c r="B80" s="2"/>
      <c r="C80" s="2"/>
      <c r="D80" s="2"/>
      <c r="E80" s="2"/>
      <c r="F80" s="2"/>
      <c r="G80" s="2"/>
      <c r="H80" s="2"/>
      <c r="I80" s="2"/>
      <c r="J80" s="2"/>
      <c r="AQ80" s="9"/>
      <c r="AR80" s="9"/>
    </row>
    <row r="81" spans="1:44" ht="13">
      <c r="A81" s="2"/>
      <c r="B81" s="2"/>
      <c r="C81" s="2"/>
      <c r="D81" s="2"/>
      <c r="E81" s="2"/>
      <c r="F81" s="2"/>
      <c r="G81" s="2"/>
      <c r="H81" s="2"/>
      <c r="I81" s="2"/>
      <c r="J81" s="2"/>
      <c r="AQ81" s="9"/>
      <c r="AR81" s="9"/>
    </row>
    <row r="82" spans="1:44" ht="13">
      <c r="A82" s="2"/>
      <c r="B82" s="2"/>
      <c r="C82" s="2"/>
      <c r="D82" s="2"/>
      <c r="E82" s="2"/>
      <c r="F82" s="2"/>
      <c r="G82" s="2"/>
      <c r="H82" s="2"/>
      <c r="I82" s="2"/>
      <c r="J82" s="2"/>
      <c r="AQ82" s="9"/>
      <c r="AR82" s="9"/>
    </row>
    <row r="83" spans="1:44" ht="13">
      <c r="A83" s="2"/>
      <c r="B83" s="2"/>
      <c r="C83" s="2"/>
      <c r="D83" s="2"/>
      <c r="E83" s="2"/>
      <c r="F83" s="2"/>
      <c r="G83" s="2"/>
      <c r="H83" s="2"/>
      <c r="I83" s="2"/>
      <c r="J83" s="2"/>
      <c r="AQ83" s="9"/>
      <c r="AR83" s="9"/>
    </row>
    <row r="84" spans="1:44" ht="13">
      <c r="A84" s="2"/>
      <c r="B84" s="2"/>
      <c r="C84" s="2"/>
      <c r="D84" s="2"/>
      <c r="E84" s="2"/>
      <c r="F84" s="2"/>
      <c r="G84" s="2"/>
      <c r="H84" s="2"/>
      <c r="I84" s="2"/>
      <c r="J84" s="2"/>
      <c r="AQ84" s="9"/>
      <c r="AR84" s="9"/>
    </row>
    <row r="85" spans="1:44" ht="13">
      <c r="A85" s="2"/>
      <c r="B85" s="2"/>
      <c r="C85" s="2"/>
      <c r="D85" s="2"/>
      <c r="E85" s="2"/>
      <c r="F85" s="2"/>
      <c r="G85" s="2"/>
      <c r="H85" s="2"/>
      <c r="I85" s="2"/>
      <c r="J85" s="2"/>
      <c r="AQ85" s="9"/>
      <c r="AR85" s="9"/>
    </row>
    <row r="86" spans="1:44" ht="13">
      <c r="A86" s="2"/>
      <c r="B86" s="2"/>
      <c r="C86" s="2"/>
      <c r="D86" s="2"/>
      <c r="E86" s="2"/>
      <c r="F86" s="2"/>
      <c r="G86" s="2"/>
      <c r="H86" s="2"/>
      <c r="I86" s="2"/>
      <c r="J86" s="2"/>
      <c r="AQ86" s="9"/>
      <c r="AR86" s="9"/>
    </row>
    <row r="87" spans="1:44" ht="13">
      <c r="A87" s="2"/>
      <c r="B87" s="2"/>
      <c r="C87" s="2"/>
      <c r="D87" s="2"/>
      <c r="E87" s="2"/>
      <c r="F87" s="2"/>
      <c r="G87" s="2"/>
      <c r="H87" s="2"/>
      <c r="I87" s="2"/>
      <c r="J87" s="2"/>
      <c r="AQ87" s="9"/>
      <c r="AR87" s="9"/>
    </row>
    <row r="88" spans="1:44" ht="13">
      <c r="A88" s="2"/>
      <c r="B88" s="2"/>
      <c r="C88" s="2"/>
      <c r="D88" s="2"/>
      <c r="E88" s="2"/>
      <c r="F88" s="2"/>
      <c r="G88" s="2"/>
      <c r="H88" s="2"/>
      <c r="I88" s="2"/>
      <c r="J88" s="2"/>
      <c r="AQ88" s="9"/>
      <c r="AR88" s="9"/>
    </row>
    <row r="89" spans="1:44" ht="13">
      <c r="A89" s="2"/>
      <c r="B89" s="2"/>
      <c r="C89" s="2"/>
      <c r="D89" s="2"/>
      <c r="E89" s="2"/>
      <c r="F89" s="2"/>
      <c r="G89" s="2"/>
      <c r="H89" s="2"/>
      <c r="I89" s="2"/>
      <c r="J89" s="2"/>
      <c r="AQ89" s="9"/>
      <c r="AR89" s="9"/>
    </row>
    <row r="90" spans="1:44" ht="13">
      <c r="A90" s="2"/>
      <c r="B90" s="2"/>
      <c r="C90" s="2"/>
      <c r="D90" s="2"/>
      <c r="E90" s="2"/>
      <c r="F90" s="2"/>
      <c r="G90" s="2"/>
      <c r="H90" s="2"/>
      <c r="I90" s="2"/>
      <c r="J90" s="2"/>
      <c r="AQ90" s="9"/>
      <c r="AR90" s="9"/>
    </row>
    <row r="91" spans="1:44" ht="13">
      <c r="A91" s="2"/>
      <c r="B91" s="2"/>
      <c r="C91" s="2"/>
      <c r="D91" s="2"/>
      <c r="E91" s="2"/>
      <c r="F91" s="2"/>
      <c r="G91" s="2"/>
      <c r="H91" s="2"/>
      <c r="I91" s="2"/>
      <c r="J91" s="2"/>
      <c r="AQ91" s="9"/>
      <c r="AR91" s="9"/>
    </row>
    <row r="92" spans="1:44" ht="13">
      <c r="A92" s="2"/>
      <c r="B92" s="2"/>
      <c r="C92" s="2"/>
      <c r="D92" s="2"/>
      <c r="E92" s="2"/>
      <c r="F92" s="2"/>
      <c r="G92" s="2"/>
      <c r="H92" s="2"/>
      <c r="I92" s="2"/>
      <c r="J92" s="2"/>
      <c r="AQ92" s="9"/>
      <c r="AR92" s="9"/>
    </row>
    <row r="93" spans="1:44" ht="13">
      <c r="A93" s="2"/>
      <c r="B93" s="2"/>
      <c r="C93" s="2"/>
      <c r="D93" s="2"/>
      <c r="E93" s="2"/>
      <c r="F93" s="2"/>
      <c r="G93" s="2"/>
      <c r="H93" s="2"/>
      <c r="I93" s="2"/>
      <c r="J93" s="2"/>
      <c r="AQ93" s="9"/>
      <c r="AR93" s="9"/>
    </row>
    <row r="94" spans="1:44" ht="13">
      <c r="A94" s="2"/>
      <c r="B94" s="2"/>
      <c r="C94" s="2"/>
      <c r="D94" s="2"/>
      <c r="E94" s="2"/>
      <c r="F94" s="2"/>
      <c r="G94" s="2"/>
      <c r="H94" s="2"/>
      <c r="I94" s="2"/>
      <c r="J94" s="2"/>
      <c r="AQ94" s="9"/>
      <c r="AR94" s="9"/>
    </row>
    <row r="95" spans="1:44" ht="13">
      <c r="A95" s="2"/>
      <c r="B95" s="2"/>
      <c r="C95" s="2"/>
      <c r="D95" s="2"/>
      <c r="E95" s="2"/>
      <c r="F95" s="2"/>
      <c r="G95" s="2"/>
      <c r="H95" s="2"/>
      <c r="I95" s="2"/>
      <c r="J95" s="2"/>
      <c r="AQ95" s="9"/>
      <c r="AR95" s="9"/>
    </row>
    <row r="96" spans="1:44" ht="13">
      <c r="A96" s="2"/>
      <c r="B96" s="2"/>
      <c r="C96" s="2"/>
      <c r="D96" s="2"/>
      <c r="E96" s="2"/>
      <c r="F96" s="2"/>
      <c r="G96" s="2"/>
      <c r="H96" s="2"/>
      <c r="I96" s="2"/>
      <c r="J96" s="2"/>
      <c r="AQ96" s="9"/>
      <c r="AR96" s="9"/>
    </row>
    <row r="97" spans="1:44" ht="13">
      <c r="A97" s="2"/>
      <c r="B97" s="2"/>
      <c r="C97" s="2"/>
      <c r="D97" s="2"/>
      <c r="E97" s="2"/>
      <c r="F97" s="2"/>
      <c r="G97" s="2"/>
      <c r="H97" s="2"/>
      <c r="I97" s="2"/>
      <c r="J97" s="2"/>
      <c r="AQ97" s="9"/>
      <c r="AR97" s="9"/>
    </row>
    <row r="98" spans="1:44" ht="13">
      <c r="A98" s="2"/>
      <c r="B98" s="2"/>
      <c r="C98" s="2"/>
      <c r="D98" s="2"/>
      <c r="E98" s="2"/>
      <c r="F98" s="2"/>
      <c r="G98" s="2"/>
      <c r="H98" s="2"/>
      <c r="I98" s="2"/>
      <c r="J98" s="2"/>
      <c r="AQ98" s="9"/>
      <c r="AR98" s="9"/>
    </row>
    <row r="99" spans="1:44" ht="13">
      <c r="A99" s="2"/>
      <c r="B99" s="2"/>
      <c r="C99" s="2"/>
      <c r="D99" s="2"/>
      <c r="E99" s="2"/>
      <c r="F99" s="2"/>
      <c r="G99" s="2"/>
      <c r="H99" s="2"/>
      <c r="I99" s="2"/>
      <c r="J99" s="2"/>
      <c r="AQ99" s="9"/>
      <c r="AR99" s="9"/>
    </row>
    <row r="100" spans="1:44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AQ100" s="9"/>
      <c r="AR100" s="9"/>
    </row>
    <row r="101" spans="1:44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AQ101" s="9"/>
      <c r="AR101" s="9"/>
    </row>
    <row r="102" spans="1:44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AQ102" s="9"/>
      <c r="AR102" s="9"/>
    </row>
    <row r="103" spans="1:44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AQ103" s="9"/>
      <c r="AR103" s="9"/>
    </row>
    <row r="104" spans="1:44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AQ104" s="9"/>
      <c r="AR104" s="9"/>
    </row>
    <row r="105" spans="1:44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AQ105" s="9"/>
      <c r="AR105" s="9"/>
    </row>
    <row r="106" spans="1:44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AQ106" s="9"/>
      <c r="AR106" s="9"/>
    </row>
    <row r="107" spans="1:44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AQ107" s="9"/>
      <c r="AR107" s="9"/>
    </row>
    <row r="108" spans="1:44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AQ108" s="9"/>
      <c r="AR108" s="9"/>
    </row>
    <row r="109" spans="1:44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AQ109" s="9"/>
      <c r="AR109" s="9"/>
    </row>
    <row r="110" spans="1:44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AQ110" s="9"/>
      <c r="AR110" s="9"/>
    </row>
    <row r="111" spans="1:44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AQ111" s="9"/>
      <c r="AR111" s="9"/>
    </row>
    <row r="112" spans="1:44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AQ112" s="9"/>
      <c r="AR112" s="9"/>
    </row>
    <row r="113" spans="1:44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AQ113" s="9"/>
      <c r="AR113" s="9"/>
    </row>
    <row r="114" spans="1:44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AQ114" s="9"/>
      <c r="AR114" s="9"/>
    </row>
    <row r="115" spans="1:44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AQ115" s="9"/>
      <c r="AR115" s="9"/>
    </row>
    <row r="116" spans="1:44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AQ116" s="9"/>
      <c r="AR116" s="9"/>
    </row>
    <row r="117" spans="1:44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AQ117" s="9"/>
      <c r="AR117" s="9"/>
    </row>
    <row r="118" spans="1:44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AQ118" s="9"/>
      <c r="AR118" s="9"/>
    </row>
    <row r="119" spans="1:44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AQ119" s="9"/>
      <c r="AR119" s="9"/>
    </row>
    <row r="120" spans="1:44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AQ120" s="9"/>
      <c r="AR120" s="9"/>
    </row>
    <row r="121" spans="1:44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AQ121" s="9"/>
      <c r="AR121" s="9"/>
    </row>
    <row r="122" spans="1:44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AQ122" s="9"/>
      <c r="AR122" s="9"/>
    </row>
    <row r="123" spans="1:44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AQ123" s="9"/>
      <c r="AR123" s="9"/>
    </row>
    <row r="124" spans="1:44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AQ124" s="9"/>
      <c r="AR124" s="9"/>
    </row>
    <row r="125" spans="1:44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AQ125" s="9"/>
      <c r="AR125" s="9"/>
    </row>
    <row r="126" spans="1:44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AQ126" s="9"/>
      <c r="AR126" s="9"/>
    </row>
    <row r="127" spans="1:44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AQ127" s="9"/>
      <c r="AR127" s="9"/>
    </row>
    <row r="128" spans="1:44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AQ128" s="9"/>
      <c r="AR128" s="9"/>
    </row>
    <row r="129" spans="1:44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AQ129" s="9"/>
      <c r="AR129" s="9"/>
    </row>
    <row r="130" spans="1:44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AQ130" s="9"/>
      <c r="AR130" s="9"/>
    </row>
    <row r="131" spans="1:44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AQ131" s="9"/>
      <c r="AR131" s="9"/>
    </row>
    <row r="132" spans="1:44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AQ132" s="9"/>
      <c r="AR132" s="9"/>
    </row>
    <row r="133" spans="1:44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AQ133" s="9"/>
      <c r="AR133" s="9"/>
    </row>
    <row r="134" spans="1:44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AQ134" s="9"/>
      <c r="AR134" s="9"/>
    </row>
    <row r="135" spans="1:44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AQ135" s="9"/>
      <c r="AR135" s="9"/>
    </row>
    <row r="136" spans="1:44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AQ136" s="9"/>
      <c r="AR136" s="9"/>
    </row>
    <row r="137" spans="1:44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AQ137" s="9"/>
      <c r="AR137" s="9"/>
    </row>
    <row r="138" spans="1:44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AQ138" s="9"/>
      <c r="AR138" s="9"/>
    </row>
    <row r="139" spans="1:44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AQ139" s="9"/>
      <c r="AR139" s="9"/>
    </row>
    <row r="140" spans="1:44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AQ140" s="9"/>
      <c r="AR140" s="9"/>
    </row>
    <row r="141" spans="1:44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AQ141" s="9"/>
      <c r="AR141" s="9"/>
    </row>
    <row r="142" spans="1:44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AQ142" s="9"/>
      <c r="AR142" s="9"/>
    </row>
    <row r="143" spans="1:44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AQ143" s="9"/>
      <c r="AR143" s="9"/>
    </row>
    <row r="144" spans="1:44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AQ144" s="9"/>
      <c r="AR144" s="9"/>
    </row>
    <row r="145" spans="1:44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AQ145" s="9"/>
      <c r="AR145" s="9"/>
    </row>
    <row r="146" spans="1:44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AQ146" s="9"/>
      <c r="AR146" s="9"/>
    </row>
    <row r="147" spans="1:44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AQ147" s="9"/>
      <c r="AR147" s="9"/>
    </row>
    <row r="148" spans="1:44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AQ148" s="9"/>
      <c r="AR148" s="9"/>
    </row>
    <row r="149" spans="1:44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AQ149" s="9"/>
      <c r="AR149" s="9"/>
    </row>
    <row r="150" spans="1:44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AQ150" s="9"/>
      <c r="AR150" s="9"/>
    </row>
    <row r="151" spans="1:44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AQ151" s="9"/>
      <c r="AR151" s="9"/>
    </row>
    <row r="152" spans="1:44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AQ152" s="9"/>
      <c r="AR152" s="9"/>
    </row>
    <row r="153" spans="1:44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AQ153" s="9"/>
      <c r="AR153" s="9"/>
    </row>
    <row r="154" spans="1:44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AQ154" s="9"/>
      <c r="AR154" s="9"/>
    </row>
    <row r="155" spans="1:44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AQ155" s="9"/>
      <c r="AR155" s="9"/>
    </row>
    <row r="156" spans="1:44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AQ156" s="9"/>
      <c r="AR156" s="9"/>
    </row>
    <row r="157" spans="1:44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AQ157" s="9"/>
      <c r="AR157" s="9"/>
    </row>
    <row r="158" spans="1:44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AQ158" s="9"/>
      <c r="AR158" s="9"/>
    </row>
    <row r="159" spans="1:44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AQ159" s="9"/>
      <c r="AR159" s="9"/>
    </row>
    <row r="160" spans="1:44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AQ160" s="9"/>
      <c r="AR160" s="9"/>
    </row>
    <row r="161" spans="1:44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AQ161" s="9"/>
      <c r="AR161" s="9"/>
    </row>
    <row r="162" spans="1:44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AQ162" s="9"/>
      <c r="AR162" s="9"/>
    </row>
    <row r="163" spans="1:44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AQ163" s="9"/>
      <c r="AR163" s="9"/>
    </row>
    <row r="164" spans="1:44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AQ164" s="9"/>
      <c r="AR164" s="9"/>
    </row>
    <row r="165" spans="1:44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AQ165" s="9"/>
      <c r="AR165" s="9"/>
    </row>
    <row r="166" spans="1:44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AQ166" s="9"/>
      <c r="AR166" s="9"/>
    </row>
    <row r="167" spans="1:44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AQ167" s="9"/>
      <c r="AR167" s="9"/>
    </row>
    <row r="168" spans="1:44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AQ168" s="9"/>
      <c r="AR168" s="9"/>
    </row>
    <row r="169" spans="1:44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AQ169" s="9"/>
      <c r="AR169" s="9"/>
    </row>
    <row r="170" spans="1:44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AQ170" s="9"/>
      <c r="AR170" s="9"/>
    </row>
    <row r="171" spans="1:44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AQ171" s="9"/>
      <c r="AR171" s="9"/>
    </row>
    <row r="172" spans="1:44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AQ172" s="9"/>
      <c r="AR172" s="9"/>
    </row>
    <row r="173" spans="1:44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AQ173" s="9"/>
      <c r="AR173" s="9"/>
    </row>
    <row r="174" spans="1:44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AQ174" s="9"/>
      <c r="AR174" s="9"/>
    </row>
    <row r="175" spans="1:44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AQ175" s="9"/>
      <c r="AR175" s="9"/>
    </row>
    <row r="176" spans="1:44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AQ176" s="9"/>
      <c r="AR176" s="9"/>
    </row>
    <row r="177" spans="1:44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AQ177" s="9"/>
      <c r="AR177" s="9"/>
    </row>
    <row r="178" spans="1:44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AQ178" s="9"/>
      <c r="AR178" s="9"/>
    </row>
    <row r="179" spans="1:44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AQ179" s="9"/>
      <c r="AR179" s="9"/>
    </row>
    <row r="180" spans="1:44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AQ180" s="9"/>
      <c r="AR180" s="9"/>
    </row>
    <row r="181" spans="1:44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AQ181" s="9"/>
      <c r="AR181" s="9"/>
    </row>
    <row r="182" spans="1:44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AQ182" s="9"/>
      <c r="AR182" s="9"/>
    </row>
    <row r="183" spans="1:44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AQ183" s="9"/>
      <c r="AR183" s="9"/>
    </row>
    <row r="184" spans="1:44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AQ184" s="9"/>
      <c r="AR184" s="9"/>
    </row>
    <row r="185" spans="1:44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AQ185" s="9"/>
      <c r="AR185" s="9"/>
    </row>
    <row r="186" spans="1:44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AQ186" s="9"/>
      <c r="AR186" s="9"/>
    </row>
    <row r="187" spans="1:44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AQ187" s="9"/>
      <c r="AR187" s="9"/>
    </row>
    <row r="188" spans="1:44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AQ188" s="9"/>
      <c r="AR188" s="9"/>
    </row>
    <row r="189" spans="1:44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AQ189" s="9"/>
      <c r="AR189" s="9"/>
    </row>
    <row r="190" spans="1:44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AQ190" s="9"/>
      <c r="AR190" s="9"/>
    </row>
    <row r="191" spans="1:44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AQ191" s="9"/>
      <c r="AR191" s="9"/>
    </row>
    <row r="192" spans="1:44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AQ192" s="9"/>
      <c r="AR192" s="9"/>
    </row>
    <row r="193" spans="1:44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AQ193" s="9"/>
      <c r="AR193" s="9"/>
    </row>
    <row r="194" spans="1:44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AQ194" s="9"/>
      <c r="AR194" s="9"/>
    </row>
    <row r="195" spans="1:44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AQ195" s="9"/>
      <c r="AR195" s="9"/>
    </row>
    <row r="196" spans="1:44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AQ196" s="9"/>
      <c r="AR196" s="9"/>
    </row>
    <row r="197" spans="1:44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AQ197" s="9"/>
      <c r="AR197" s="9"/>
    </row>
    <row r="198" spans="1:44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AQ198" s="9"/>
      <c r="AR198" s="9"/>
    </row>
    <row r="199" spans="1:44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AQ199" s="9"/>
      <c r="AR199" s="9"/>
    </row>
    <row r="200" spans="1:44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AQ200" s="9"/>
      <c r="AR200" s="9"/>
    </row>
    <row r="201" spans="1:44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AQ201" s="9"/>
      <c r="AR201" s="9"/>
    </row>
    <row r="202" spans="1:44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AQ202" s="9"/>
      <c r="AR202" s="9"/>
    </row>
    <row r="203" spans="1:44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AQ203" s="9"/>
      <c r="AR203" s="9"/>
    </row>
    <row r="204" spans="1:44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AQ204" s="9"/>
      <c r="AR204" s="9"/>
    </row>
    <row r="205" spans="1:44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AQ205" s="9"/>
      <c r="AR205" s="9"/>
    </row>
    <row r="206" spans="1:44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AQ206" s="9"/>
      <c r="AR206" s="9"/>
    </row>
    <row r="207" spans="1:44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AQ207" s="9"/>
      <c r="AR207" s="9"/>
    </row>
    <row r="208" spans="1:44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AQ208" s="9"/>
      <c r="AR208" s="9"/>
    </row>
    <row r="209" spans="1:44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AQ209" s="9"/>
      <c r="AR209" s="9"/>
    </row>
    <row r="210" spans="1:44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AQ210" s="9"/>
      <c r="AR210" s="9"/>
    </row>
    <row r="211" spans="1:44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AQ211" s="9"/>
      <c r="AR211" s="9"/>
    </row>
    <row r="212" spans="1:44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AQ212" s="9"/>
      <c r="AR212" s="9"/>
    </row>
    <row r="213" spans="1:44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AQ213" s="9"/>
      <c r="AR213" s="9"/>
    </row>
    <row r="214" spans="1:44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AQ214" s="9"/>
      <c r="AR214" s="9"/>
    </row>
    <row r="215" spans="1:44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AQ215" s="9"/>
      <c r="AR215" s="9"/>
    </row>
    <row r="216" spans="1:44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AQ216" s="9"/>
      <c r="AR216" s="9"/>
    </row>
    <row r="217" spans="1:44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AQ217" s="9"/>
      <c r="AR217" s="9"/>
    </row>
    <row r="218" spans="1:44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AQ218" s="9"/>
      <c r="AR218" s="9"/>
    </row>
    <row r="219" spans="1:44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AQ219" s="9"/>
      <c r="AR219" s="9"/>
    </row>
    <row r="220" spans="1:44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AQ220" s="9"/>
      <c r="AR220" s="9"/>
    </row>
    <row r="221" spans="1:44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AQ221" s="9"/>
      <c r="AR221" s="9"/>
    </row>
    <row r="222" spans="1:44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AQ222" s="9"/>
      <c r="AR222" s="9"/>
    </row>
    <row r="223" spans="1:44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AQ223" s="9"/>
      <c r="AR223" s="9"/>
    </row>
    <row r="224" spans="1:44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AQ224" s="9"/>
      <c r="AR224" s="9"/>
    </row>
    <row r="225" spans="1:44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AQ225" s="9"/>
      <c r="AR225" s="9"/>
    </row>
    <row r="226" spans="1:44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AQ226" s="9"/>
      <c r="AR226" s="9"/>
    </row>
    <row r="227" spans="1:44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AQ227" s="9"/>
      <c r="AR227" s="9"/>
    </row>
    <row r="228" spans="1:44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AQ228" s="9"/>
      <c r="AR228" s="9"/>
    </row>
    <row r="229" spans="1:44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AQ229" s="9"/>
      <c r="AR229" s="9"/>
    </row>
    <row r="230" spans="1:44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AQ230" s="9"/>
      <c r="AR230" s="9"/>
    </row>
    <row r="231" spans="1:44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AQ231" s="9"/>
      <c r="AR231" s="9"/>
    </row>
    <row r="232" spans="1:44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AQ232" s="9"/>
      <c r="AR232" s="9"/>
    </row>
    <row r="233" spans="1:44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AQ233" s="9"/>
      <c r="AR233" s="9"/>
    </row>
    <row r="234" spans="1:44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AQ234" s="9"/>
      <c r="AR234" s="9"/>
    </row>
    <row r="235" spans="1:44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AQ235" s="9"/>
      <c r="AR235" s="9"/>
    </row>
    <row r="236" spans="1:44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AQ236" s="9"/>
      <c r="AR236" s="9"/>
    </row>
    <row r="237" spans="1:44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AQ237" s="9"/>
      <c r="AR237" s="9"/>
    </row>
    <row r="238" spans="1:44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AQ238" s="9"/>
      <c r="AR238" s="9"/>
    </row>
    <row r="239" spans="1:44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AQ239" s="9"/>
      <c r="AR239" s="9"/>
    </row>
    <row r="240" spans="1:44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AQ240" s="9"/>
      <c r="AR240" s="9"/>
    </row>
    <row r="241" spans="1:44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AQ241" s="9"/>
      <c r="AR241" s="9"/>
    </row>
    <row r="242" spans="1:44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AQ242" s="9"/>
      <c r="AR242" s="9"/>
    </row>
    <row r="243" spans="1:44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AQ243" s="9"/>
      <c r="AR243" s="9"/>
    </row>
    <row r="244" spans="1:44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AQ244" s="9"/>
      <c r="AR244" s="9"/>
    </row>
    <row r="245" spans="1:44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AQ245" s="9"/>
      <c r="AR245" s="9"/>
    </row>
    <row r="246" spans="1:44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AQ246" s="9"/>
      <c r="AR246" s="9"/>
    </row>
    <row r="247" spans="1:44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AQ247" s="9"/>
      <c r="AR247" s="9"/>
    </row>
    <row r="248" spans="1:44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AQ248" s="9"/>
      <c r="AR248" s="9"/>
    </row>
    <row r="249" spans="1:44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AQ249" s="9"/>
      <c r="AR249" s="9"/>
    </row>
    <row r="250" spans="1:44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AQ250" s="9"/>
      <c r="AR250" s="9"/>
    </row>
    <row r="251" spans="1:44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AQ251" s="9"/>
      <c r="AR251" s="9"/>
    </row>
    <row r="252" spans="1:44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AQ252" s="9"/>
      <c r="AR252" s="9"/>
    </row>
    <row r="253" spans="1:44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AQ253" s="9"/>
      <c r="AR253" s="9"/>
    </row>
    <row r="254" spans="1:44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AQ254" s="9"/>
      <c r="AR254" s="9"/>
    </row>
    <row r="255" spans="1:44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AQ255" s="9"/>
      <c r="AR255" s="9"/>
    </row>
    <row r="256" spans="1:44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AQ256" s="9"/>
      <c r="AR256" s="9"/>
    </row>
    <row r="257" spans="1:44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AQ257" s="9"/>
      <c r="AR257" s="9"/>
    </row>
    <row r="258" spans="1:44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AQ258" s="9"/>
      <c r="AR258" s="9"/>
    </row>
    <row r="259" spans="1:44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AQ259" s="9"/>
      <c r="AR259" s="9"/>
    </row>
    <row r="260" spans="1:44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AQ260" s="9"/>
      <c r="AR260" s="9"/>
    </row>
    <row r="261" spans="1:44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AQ261" s="9"/>
      <c r="AR261" s="9"/>
    </row>
    <row r="262" spans="1:44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AQ262" s="9"/>
      <c r="AR262" s="9"/>
    </row>
    <row r="263" spans="1:44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AQ263" s="9"/>
      <c r="AR263" s="9"/>
    </row>
    <row r="264" spans="1:44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AQ264" s="9"/>
      <c r="AR264" s="9"/>
    </row>
    <row r="265" spans="1:44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AQ265" s="9"/>
      <c r="AR265" s="9"/>
    </row>
    <row r="266" spans="1:44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AQ266" s="9"/>
      <c r="AR266" s="9"/>
    </row>
    <row r="267" spans="1:44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AQ267" s="9"/>
      <c r="AR267" s="9"/>
    </row>
    <row r="268" spans="1:44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AQ268" s="9"/>
      <c r="AR268" s="9"/>
    </row>
    <row r="269" spans="1:44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AQ269" s="9"/>
      <c r="AR269" s="9"/>
    </row>
    <row r="270" spans="1:44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AQ270" s="9"/>
      <c r="AR270" s="9"/>
    </row>
    <row r="271" spans="1:44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AQ271" s="9"/>
      <c r="AR271" s="9"/>
    </row>
    <row r="272" spans="1:44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AQ272" s="9"/>
      <c r="AR272" s="9"/>
    </row>
    <row r="273" spans="1:44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AQ273" s="9"/>
      <c r="AR273" s="9"/>
    </row>
    <row r="274" spans="1:44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AQ274" s="9"/>
      <c r="AR274" s="9"/>
    </row>
    <row r="275" spans="1:44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AQ275" s="9"/>
      <c r="AR275" s="9"/>
    </row>
    <row r="276" spans="1:44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AQ276" s="9"/>
      <c r="AR276" s="9"/>
    </row>
    <row r="277" spans="1:44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AQ277" s="9"/>
      <c r="AR277" s="9"/>
    </row>
    <row r="278" spans="1:44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AQ278" s="9"/>
      <c r="AR278" s="9"/>
    </row>
    <row r="279" spans="1:44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AQ279" s="9"/>
      <c r="AR279" s="9"/>
    </row>
    <row r="280" spans="1:44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AQ280" s="9"/>
      <c r="AR280" s="9"/>
    </row>
    <row r="281" spans="1:44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AQ281" s="9"/>
      <c r="AR281" s="9"/>
    </row>
    <row r="282" spans="1:44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AQ282" s="9"/>
      <c r="AR282" s="9"/>
    </row>
    <row r="283" spans="1:44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AQ283" s="9"/>
      <c r="AR283" s="9"/>
    </row>
    <row r="284" spans="1:44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AQ284" s="9"/>
      <c r="AR284" s="9"/>
    </row>
    <row r="285" spans="1:44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AQ285" s="9"/>
      <c r="AR285" s="9"/>
    </row>
    <row r="286" spans="1:44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AQ286" s="9"/>
      <c r="AR286" s="9"/>
    </row>
    <row r="287" spans="1:44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AQ287" s="9"/>
      <c r="AR287" s="9"/>
    </row>
    <row r="288" spans="1:44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AQ288" s="9"/>
      <c r="AR288" s="9"/>
    </row>
    <row r="289" spans="1:44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AQ289" s="9"/>
      <c r="AR289" s="9"/>
    </row>
    <row r="290" spans="1:44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AQ290" s="9"/>
      <c r="AR290" s="9"/>
    </row>
    <row r="291" spans="1:44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AQ291" s="9"/>
      <c r="AR291" s="9"/>
    </row>
    <row r="292" spans="1:44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AQ292" s="9"/>
      <c r="AR292" s="9"/>
    </row>
    <row r="293" spans="1:44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AQ293" s="9"/>
      <c r="AR293" s="9"/>
    </row>
    <row r="294" spans="1:44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AQ294" s="9"/>
      <c r="AR294" s="9"/>
    </row>
    <row r="295" spans="1:44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AQ295" s="9"/>
      <c r="AR295" s="9"/>
    </row>
    <row r="296" spans="1:44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AQ296" s="9"/>
      <c r="AR296" s="9"/>
    </row>
    <row r="297" spans="1:44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AQ297" s="9"/>
      <c r="AR297" s="9"/>
    </row>
    <row r="298" spans="1:44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AQ298" s="9"/>
      <c r="AR298" s="9"/>
    </row>
    <row r="299" spans="1:44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AQ299" s="9"/>
      <c r="AR299" s="9"/>
    </row>
    <row r="300" spans="1:44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AQ300" s="9"/>
      <c r="AR300" s="9"/>
    </row>
    <row r="301" spans="1:44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AQ301" s="9"/>
      <c r="AR301" s="9"/>
    </row>
    <row r="302" spans="1:44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AQ302" s="9"/>
      <c r="AR302" s="9"/>
    </row>
    <row r="303" spans="1:44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AQ303" s="9"/>
      <c r="AR303" s="9"/>
    </row>
    <row r="304" spans="1:44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AQ304" s="9"/>
      <c r="AR304" s="9"/>
    </row>
    <row r="305" spans="1:44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AQ305" s="9"/>
      <c r="AR305" s="9"/>
    </row>
    <row r="306" spans="1:44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AQ306" s="9"/>
      <c r="AR306" s="9"/>
    </row>
    <row r="307" spans="1:44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AQ307" s="9"/>
      <c r="AR307" s="9"/>
    </row>
    <row r="308" spans="1:44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AQ308" s="9"/>
      <c r="AR308" s="9"/>
    </row>
    <row r="309" spans="1:44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AQ309" s="9"/>
      <c r="AR309" s="9"/>
    </row>
    <row r="310" spans="1:44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AQ310" s="9"/>
      <c r="AR310" s="9"/>
    </row>
    <row r="311" spans="1:44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AQ311" s="9"/>
      <c r="AR311" s="9"/>
    </row>
    <row r="312" spans="1:44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AQ312" s="9"/>
      <c r="AR312" s="9"/>
    </row>
    <row r="313" spans="1:44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AQ313" s="9"/>
      <c r="AR313" s="9"/>
    </row>
    <row r="314" spans="1:44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AQ314" s="9"/>
      <c r="AR314" s="9"/>
    </row>
    <row r="315" spans="1:44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AQ315" s="9"/>
      <c r="AR315" s="9"/>
    </row>
    <row r="316" spans="1:44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AQ316" s="9"/>
      <c r="AR316" s="9"/>
    </row>
    <row r="317" spans="1:44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AQ317" s="9"/>
      <c r="AR317" s="9"/>
    </row>
    <row r="318" spans="1:44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AQ318" s="9"/>
      <c r="AR318" s="9"/>
    </row>
    <row r="319" spans="1:44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AQ319" s="9"/>
      <c r="AR319" s="9"/>
    </row>
    <row r="320" spans="1:44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AQ320" s="9"/>
      <c r="AR320" s="9"/>
    </row>
    <row r="321" spans="1:44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AQ321" s="9"/>
      <c r="AR321" s="9"/>
    </row>
    <row r="322" spans="1:44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AQ322" s="9"/>
      <c r="AR322" s="9"/>
    </row>
    <row r="323" spans="1:44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AQ323" s="9"/>
      <c r="AR323" s="9"/>
    </row>
    <row r="324" spans="1:44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AQ324" s="9"/>
      <c r="AR324" s="9"/>
    </row>
    <row r="325" spans="1:44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AQ325" s="9"/>
      <c r="AR325" s="9"/>
    </row>
    <row r="326" spans="1:44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AQ326" s="9"/>
      <c r="AR326" s="9"/>
    </row>
    <row r="327" spans="1:44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AQ327" s="9"/>
      <c r="AR327" s="9"/>
    </row>
    <row r="328" spans="1:44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AQ328" s="9"/>
      <c r="AR328" s="9"/>
    </row>
    <row r="329" spans="1:44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AQ329" s="9"/>
      <c r="AR329" s="9"/>
    </row>
    <row r="330" spans="1:44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AQ330" s="9"/>
      <c r="AR330" s="9"/>
    </row>
    <row r="331" spans="1:44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AQ331" s="9"/>
      <c r="AR331" s="9"/>
    </row>
    <row r="332" spans="1:44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AQ332" s="9"/>
      <c r="AR332" s="9"/>
    </row>
    <row r="333" spans="1:44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AQ333" s="9"/>
      <c r="AR333" s="9"/>
    </row>
    <row r="334" spans="1:44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AQ334" s="9"/>
      <c r="AR334" s="9"/>
    </row>
    <row r="335" spans="1:44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AQ335" s="9"/>
      <c r="AR335" s="9"/>
    </row>
    <row r="336" spans="1:44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AQ336" s="9"/>
      <c r="AR336" s="9"/>
    </row>
    <row r="337" spans="1:44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AQ337" s="9"/>
      <c r="AR337" s="9"/>
    </row>
    <row r="338" spans="1:44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AQ338" s="9"/>
      <c r="AR338" s="9"/>
    </row>
    <row r="339" spans="1:44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AQ339" s="9"/>
      <c r="AR339" s="9"/>
    </row>
    <row r="340" spans="1:44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AQ340" s="9"/>
      <c r="AR340" s="9"/>
    </row>
    <row r="341" spans="1:44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AQ341" s="9"/>
      <c r="AR341" s="9"/>
    </row>
    <row r="342" spans="1:44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AQ342" s="9"/>
      <c r="AR342" s="9"/>
    </row>
    <row r="343" spans="1:44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AQ343" s="9"/>
      <c r="AR343" s="9"/>
    </row>
    <row r="344" spans="1:44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AQ344" s="9"/>
      <c r="AR344" s="9"/>
    </row>
    <row r="345" spans="1:44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AQ345" s="9"/>
      <c r="AR345" s="9"/>
    </row>
    <row r="346" spans="1:44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AQ346" s="9"/>
      <c r="AR346" s="9"/>
    </row>
    <row r="347" spans="1:44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AQ347" s="9"/>
      <c r="AR347" s="9"/>
    </row>
    <row r="348" spans="1:44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AQ348" s="9"/>
      <c r="AR348" s="9"/>
    </row>
    <row r="349" spans="1:44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AQ349" s="9"/>
      <c r="AR349" s="9"/>
    </row>
    <row r="350" spans="1:44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AQ350" s="9"/>
      <c r="AR350" s="9"/>
    </row>
    <row r="351" spans="1:44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AQ351" s="9"/>
      <c r="AR351" s="9"/>
    </row>
    <row r="352" spans="1:44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AQ352" s="9"/>
      <c r="AR352" s="9"/>
    </row>
    <row r="353" spans="1:44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AQ353" s="9"/>
      <c r="AR353" s="9"/>
    </row>
    <row r="354" spans="1:44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AQ354" s="9"/>
      <c r="AR354" s="9"/>
    </row>
    <row r="355" spans="1:44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AQ355" s="9"/>
      <c r="AR355" s="9"/>
    </row>
    <row r="356" spans="1:44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AQ356" s="9"/>
      <c r="AR356" s="9"/>
    </row>
    <row r="357" spans="1:44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AQ357" s="9"/>
      <c r="AR357" s="9"/>
    </row>
    <row r="358" spans="1:44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AQ358" s="9"/>
      <c r="AR358" s="9"/>
    </row>
    <row r="359" spans="1:44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AQ359" s="9"/>
      <c r="AR359" s="9"/>
    </row>
    <row r="360" spans="1:44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AQ360" s="9"/>
      <c r="AR360" s="9"/>
    </row>
    <row r="361" spans="1:44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AQ361" s="9"/>
      <c r="AR361" s="9"/>
    </row>
    <row r="362" spans="1:44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AQ362" s="9"/>
      <c r="AR362" s="9"/>
    </row>
    <row r="363" spans="1:44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AQ363" s="9"/>
      <c r="AR363" s="9"/>
    </row>
    <row r="364" spans="1:44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AQ364" s="9"/>
      <c r="AR364" s="9"/>
    </row>
    <row r="365" spans="1:44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AQ365" s="9"/>
      <c r="AR365" s="9"/>
    </row>
    <row r="366" spans="1:44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AQ366" s="9"/>
      <c r="AR366" s="9"/>
    </row>
    <row r="367" spans="1:44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AQ367" s="9"/>
      <c r="AR367" s="9"/>
    </row>
    <row r="368" spans="1:44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AQ368" s="9"/>
      <c r="AR368" s="9"/>
    </row>
    <row r="369" spans="1:44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AQ369" s="9"/>
      <c r="AR369" s="9"/>
    </row>
    <row r="370" spans="1:44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AQ370" s="9"/>
      <c r="AR370" s="9"/>
    </row>
    <row r="371" spans="1:44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AQ371" s="9"/>
      <c r="AR371" s="9"/>
    </row>
    <row r="372" spans="1:44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AQ372" s="9"/>
      <c r="AR372" s="9"/>
    </row>
    <row r="373" spans="1:44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AQ373" s="9"/>
      <c r="AR373" s="9"/>
    </row>
    <row r="374" spans="1:44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AQ374" s="9"/>
      <c r="AR374" s="9"/>
    </row>
    <row r="375" spans="1:44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AQ375" s="9"/>
      <c r="AR375" s="9"/>
    </row>
    <row r="376" spans="1:44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AQ376" s="9"/>
      <c r="AR376" s="9"/>
    </row>
    <row r="377" spans="1:44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AQ377" s="9"/>
      <c r="AR377" s="9"/>
    </row>
    <row r="378" spans="1:44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AQ378" s="9"/>
      <c r="AR378" s="9"/>
    </row>
    <row r="379" spans="1:44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AQ379" s="9"/>
      <c r="AR379" s="9"/>
    </row>
    <row r="380" spans="1:44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AQ380" s="9"/>
      <c r="AR380" s="9"/>
    </row>
    <row r="381" spans="1:44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AQ381" s="9"/>
      <c r="AR381" s="9"/>
    </row>
    <row r="382" spans="1:44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AQ382" s="9"/>
      <c r="AR382" s="9"/>
    </row>
    <row r="383" spans="1:44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AQ383" s="9"/>
      <c r="AR383" s="9"/>
    </row>
    <row r="384" spans="1:44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AQ384" s="9"/>
      <c r="AR384" s="9"/>
    </row>
    <row r="385" spans="1:44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AQ385" s="9"/>
      <c r="AR385" s="9"/>
    </row>
    <row r="386" spans="1:44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AQ386" s="9"/>
      <c r="AR386" s="9"/>
    </row>
    <row r="387" spans="1:44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AQ387" s="9"/>
      <c r="AR387" s="9"/>
    </row>
    <row r="388" spans="1:44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AQ388" s="9"/>
      <c r="AR388" s="9"/>
    </row>
    <row r="389" spans="1:44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AQ389" s="9"/>
      <c r="AR389" s="9"/>
    </row>
    <row r="390" spans="1:44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AQ390" s="9"/>
      <c r="AR390" s="9"/>
    </row>
    <row r="391" spans="1:44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AQ391" s="9"/>
      <c r="AR391" s="9"/>
    </row>
    <row r="392" spans="1:44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AQ392" s="9"/>
      <c r="AR392" s="9"/>
    </row>
    <row r="393" spans="1:44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AQ393" s="9"/>
      <c r="AR393" s="9"/>
    </row>
    <row r="394" spans="1:44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AQ394" s="9"/>
      <c r="AR394" s="9"/>
    </row>
    <row r="395" spans="1:44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AQ395" s="9"/>
      <c r="AR395" s="9"/>
    </row>
    <row r="396" spans="1:44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AQ396" s="9"/>
      <c r="AR396" s="9"/>
    </row>
    <row r="397" spans="1:44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AQ397" s="9"/>
      <c r="AR397" s="9"/>
    </row>
    <row r="398" spans="1:44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AQ398" s="9"/>
      <c r="AR398" s="9"/>
    </row>
    <row r="399" spans="1:44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AQ399" s="9"/>
      <c r="AR399" s="9"/>
    </row>
    <row r="400" spans="1:44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AQ400" s="9"/>
      <c r="AR400" s="9"/>
    </row>
    <row r="401" spans="1:44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AQ401" s="9"/>
      <c r="AR401" s="9"/>
    </row>
    <row r="402" spans="1:44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AQ402" s="9"/>
      <c r="AR402" s="9"/>
    </row>
    <row r="403" spans="1:44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AQ403" s="9"/>
      <c r="AR403" s="9"/>
    </row>
    <row r="404" spans="1:44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AQ404" s="9"/>
      <c r="AR404" s="9"/>
    </row>
    <row r="405" spans="1:44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AQ405" s="9"/>
      <c r="AR405" s="9"/>
    </row>
    <row r="406" spans="1:44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AQ406" s="9"/>
      <c r="AR406" s="9"/>
    </row>
    <row r="407" spans="1:44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AQ407" s="9"/>
      <c r="AR407" s="9"/>
    </row>
    <row r="408" spans="1:44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AQ408" s="9"/>
      <c r="AR408" s="9"/>
    </row>
    <row r="409" spans="1:44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AQ409" s="9"/>
      <c r="AR409" s="9"/>
    </row>
    <row r="410" spans="1:44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AQ410" s="9"/>
      <c r="AR410" s="9"/>
    </row>
    <row r="411" spans="1:44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AQ411" s="9"/>
      <c r="AR411" s="9"/>
    </row>
    <row r="412" spans="1:44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AQ412" s="9"/>
      <c r="AR412" s="9"/>
    </row>
    <row r="413" spans="1:44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AQ413" s="9"/>
      <c r="AR413" s="9"/>
    </row>
    <row r="414" spans="1:44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AQ414" s="9"/>
      <c r="AR414" s="9"/>
    </row>
    <row r="415" spans="1:44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AQ415" s="9"/>
      <c r="AR415" s="9"/>
    </row>
    <row r="416" spans="1:44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AQ416" s="9"/>
      <c r="AR416" s="9"/>
    </row>
    <row r="417" spans="1:44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AQ417" s="9"/>
      <c r="AR417" s="9"/>
    </row>
    <row r="418" spans="1:44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AQ418" s="9"/>
      <c r="AR418" s="9"/>
    </row>
    <row r="419" spans="1:44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AQ419" s="9"/>
      <c r="AR419" s="9"/>
    </row>
    <row r="420" spans="1:44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AQ420" s="9"/>
      <c r="AR420" s="9"/>
    </row>
    <row r="421" spans="1:44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AQ421" s="9"/>
      <c r="AR421" s="9"/>
    </row>
    <row r="422" spans="1:44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AQ422" s="9"/>
      <c r="AR422" s="9"/>
    </row>
    <row r="423" spans="1:44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AQ423" s="9"/>
      <c r="AR423" s="9"/>
    </row>
    <row r="424" spans="1:44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AQ424" s="9"/>
      <c r="AR424" s="9"/>
    </row>
    <row r="425" spans="1:44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AQ425" s="9"/>
      <c r="AR425" s="9"/>
    </row>
    <row r="426" spans="1:44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AQ426" s="9"/>
      <c r="AR426" s="9"/>
    </row>
    <row r="427" spans="1:44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AQ427" s="9"/>
      <c r="AR427" s="9"/>
    </row>
    <row r="428" spans="1:44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AQ428" s="9"/>
      <c r="AR428" s="9"/>
    </row>
    <row r="429" spans="1:44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AQ429" s="9"/>
      <c r="AR429" s="9"/>
    </row>
    <row r="430" spans="1:44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AQ430" s="9"/>
      <c r="AR430" s="9"/>
    </row>
    <row r="431" spans="1:44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AQ431" s="9"/>
      <c r="AR431" s="9"/>
    </row>
    <row r="432" spans="1:44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AQ432" s="9"/>
      <c r="AR432" s="9"/>
    </row>
    <row r="433" spans="1:44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AQ433" s="9"/>
      <c r="AR433" s="9"/>
    </row>
    <row r="434" spans="1:44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AQ434" s="9"/>
      <c r="AR434" s="9"/>
    </row>
    <row r="435" spans="1:44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AQ435" s="9"/>
      <c r="AR435" s="9"/>
    </row>
    <row r="436" spans="1:44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AQ436" s="9"/>
      <c r="AR436" s="9"/>
    </row>
    <row r="437" spans="1:44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AQ437" s="9"/>
      <c r="AR437" s="9"/>
    </row>
    <row r="438" spans="1:44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AQ438" s="9"/>
      <c r="AR438" s="9"/>
    </row>
    <row r="439" spans="1:44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AQ439" s="9"/>
      <c r="AR439" s="9"/>
    </row>
    <row r="440" spans="1:44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AQ440" s="9"/>
      <c r="AR440" s="9"/>
    </row>
    <row r="441" spans="1:44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AQ441" s="9"/>
      <c r="AR441" s="9"/>
    </row>
    <row r="442" spans="1:44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AQ442" s="9"/>
      <c r="AR442" s="9"/>
    </row>
    <row r="443" spans="1:44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AQ443" s="9"/>
      <c r="AR443" s="9"/>
    </row>
    <row r="444" spans="1:44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AQ444" s="9"/>
      <c r="AR444" s="9"/>
    </row>
    <row r="445" spans="1:44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AQ445" s="9"/>
      <c r="AR445" s="9"/>
    </row>
    <row r="446" spans="1:44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AQ446" s="9"/>
      <c r="AR446" s="9"/>
    </row>
    <row r="447" spans="1:44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AQ447" s="9"/>
      <c r="AR447" s="9"/>
    </row>
    <row r="448" spans="1:44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AQ448" s="9"/>
      <c r="AR448" s="9"/>
    </row>
    <row r="449" spans="1:44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AQ449" s="9"/>
      <c r="AR449" s="9"/>
    </row>
    <row r="450" spans="1:44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AQ450" s="9"/>
      <c r="AR450" s="9"/>
    </row>
    <row r="451" spans="1:44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AQ451" s="9"/>
      <c r="AR451" s="9"/>
    </row>
    <row r="452" spans="1:44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AQ452" s="9"/>
      <c r="AR452" s="9"/>
    </row>
    <row r="453" spans="1:44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AQ453" s="9"/>
      <c r="AR453" s="9"/>
    </row>
    <row r="454" spans="1:44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AQ454" s="9"/>
      <c r="AR454" s="9"/>
    </row>
    <row r="455" spans="1:44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AQ455" s="9"/>
      <c r="AR455" s="9"/>
    </row>
    <row r="456" spans="1:44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AQ456" s="9"/>
      <c r="AR456" s="9"/>
    </row>
    <row r="457" spans="1:44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AQ457" s="9"/>
      <c r="AR457" s="9"/>
    </row>
    <row r="458" spans="1:44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AQ458" s="9"/>
      <c r="AR458" s="9"/>
    </row>
    <row r="459" spans="1:44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AQ459" s="9"/>
      <c r="AR459" s="9"/>
    </row>
    <row r="460" spans="1:44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AQ460" s="9"/>
      <c r="AR460" s="9"/>
    </row>
    <row r="461" spans="1:44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AQ461" s="9"/>
      <c r="AR461" s="9"/>
    </row>
    <row r="462" spans="1:44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AQ462" s="9"/>
      <c r="AR462" s="9"/>
    </row>
    <row r="463" spans="1:44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AQ463" s="9"/>
      <c r="AR463" s="9"/>
    </row>
    <row r="464" spans="1:44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AQ464" s="9"/>
      <c r="AR464" s="9"/>
    </row>
    <row r="465" spans="1:44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AQ465" s="9"/>
      <c r="AR465" s="9"/>
    </row>
    <row r="466" spans="1:44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AQ466" s="9"/>
      <c r="AR466" s="9"/>
    </row>
    <row r="467" spans="1:44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AQ467" s="9"/>
      <c r="AR467" s="9"/>
    </row>
    <row r="468" spans="1:44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AQ468" s="9"/>
      <c r="AR468" s="9"/>
    </row>
    <row r="469" spans="1:44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AQ469" s="9"/>
      <c r="AR469" s="9"/>
    </row>
    <row r="470" spans="1:44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AQ470" s="9"/>
      <c r="AR470" s="9"/>
    </row>
    <row r="471" spans="1:44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AQ471" s="9"/>
      <c r="AR471" s="9"/>
    </row>
    <row r="472" spans="1:44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AQ472" s="9"/>
      <c r="AR472" s="9"/>
    </row>
    <row r="473" spans="1:44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AQ473" s="9"/>
      <c r="AR473" s="9"/>
    </row>
    <row r="474" spans="1:44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AQ474" s="9"/>
      <c r="AR474" s="9"/>
    </row>
    <row r="475" spans="1:44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AQ475" s="9"/>
      <c r="AR475" s="9"/>
    </row>
    <row r="476" spans="1:44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AQ476" s="9"/>
      <c r="AR476" s="9"/>
    </row>
    <row r="477" spans="1:44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AQ477" s="9"/>
      <c r="AR477" s="9"/>
    </row>
    <row r="478" spans="1:44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AQ478" s="9"/>
      <c r="AR478" s="9"/>
    </row>
    <row r="479" spans="1:44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AQ479" s="9"/>
      <c r="AR479" s="9"/>
    </row>
    <row r="480" spans="1:44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AQ480" s="9"/>
      <c r="AR480" s="9"/>
    </row>
    <row r="481" spans="1:44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AQ481" s="9"/>
      <c r="AR481" s="9"/>
    </row>
    <row r="482" spans="1:44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AQ482" s="9"/>
      <c r="AR482" s="9"/>
    </row>
    <row r="483" spans="1:44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AQ483" s="9"/>
      <c r="AR483" s="9"/>
    </row>
    <row r="484" spans="1:44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AQ484" s="9"/>
      <c r="AR484" s="9"/>
    </row>
    <row r="485" spans="1:44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AQ485" s="9"/>
      <c r="AR485" s="9"/>
    </row>
    <row r="486" spans="1:44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AQ486" s="9"/>
      <c r="AR486" s="9"/>
    </row>
    <row r="487" spans="1:44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AQ487" s="9"/>
      <c r="AR487" s="9"/>
    </row>
    <row r="488" spans="1:44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AQ488" s="9"/>
      <c r="AR488" s="9"/>
    </row>
    <row r="489" spans="1:44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AQ489" s="9"/>
      <c r="AR489" s="9"/>
    </row>
    <row r="490" spans="1:44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AQ490" s="9"/>
      <c r="AR490" s="9"/>
    </row>
    <row r="491" spans="1:44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AQ491" s="9"/>
      <c r="AR491" s="9"/>
    </row>
    <row r="492" spans="1:44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AQ492" s="9"/>
      <c r="AR492" s="9"/>
    </row>
    <row r="493" spans="1:44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AQ493" s="9"/>
      <c r="AR493" s="9"/>
    </row>
    <row r="494" spans="1:44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AQ494" s="9"/>
      <c r="AR494" s="9"/>
    </row>
    <row r="495" spans="1:44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AQ495" s="9"/>
      <c r="AR495" s="9"/>
    </row>
    <row r="496" spans="1:44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AQ496" s="9"/>
      <c r="AR496" s="9"/>
    </row>
    <row r="497" spans="1:44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AQ497" s="9"/>
      <c r="AR497" s="9"/>
    </row>
    <row r="498" spans="1:44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AQ498" s="9"/>
      <c r="AR498" s="9"/>
    </row>
    <row r="499" spans="1:44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AQ499" s="9"/>
      <c r="AR499" s="9"/>
    </row>
    <row r="500" spans="1:44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AQ500" s="9"/>
      <c r="AR500" s="9"/>
    </row>
    <row r="501" spans="1:44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AQ501" s="9"/>
      <c r="AR501" s="9"/>
    </row>
    <row r="502" spans="1:44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AQ502" s="9"/>
      <c r="AR502" s="9"/>
    </row>
    <row r="503" spans="1:44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AQ503" s="9"/>
      <c r="AR503" s="9"/>
    </row>
    <row r="504" spans="1:44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AQ504" s="9"/>
      <c r="AR504" s="9"/>
    </row>
    <row r="505" spans="1:44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AQ505" s="9"/>
      <c r="AR505" s="9"/>
    </row>
    <row r="506" spans="1:44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AQ506" s="9"/>
      <c r="AR506" s="9"/>
    </row>
    <row r="507" spans="1:44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AQ507" s="9"/>
      <c r="AR507" s="9"/>
    </row>
    <row r="508" spans="1:44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AQ508" s="9"/>
      <c r="AR508" s="9"/>
    </row>
    <row r="509" spans="1:44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AQ509" s="9"/>
      <c r="AR509" s="9"/>
    </row>
    <row r="510" spans="1:44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AQ510" s="9"/>
      <c r="AR510" s="9"/>
    </row>
    <row r="511" spans="1:44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AQ511" s="9"/>
      <c r="AR511" s="9"/>
    </row>
    <row r="512" spans="1:44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AQ512" s="9"/>
      <c r="AR512" s="9"/>
    </row>
    <row r="513" spans="1:44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AQ513" s="9"/>
      <c r="AR513" s="9"/>
    </row>
    <row r="514" spans="1:44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AQ514" s="9"/>
      <c r="AR514" s="9"/>
    </row>
    <row r="515" spans="1:44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AQ515" s="9"/>
      <c r="AR515" s="9"/>
    </row>
    <row r="516" spans="1:44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AQ516" s="9"/>
      <c r="AR516" s="9"/>
    </row>
    <row r="517" spans="1:44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AQ517" s="9"/>
      <c r="AR517" s="9"/>
    </row>
    <row r="518" spans="1:44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AQ518" s="9"/>
      <c r="AR518" s="9"/>
    </row>
    <row r="519" spans="1:44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AQ519" s="9"/>
      <c r="AR519" s="9"/>
    </row>
    <row r="520" spans="1:44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AQ520" s="9"/>
      <c r="AR520" s="9"/>
    </row>
    <row r="521" spans="1:44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AQ521" s="9"/>
      <c r="AR521" s="9"/>
    </row>
    <row r="522" spans="1:44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AQ522" s="9"/>
      <c r="AR522" s="9"/>
    </row>
    <row r="523" spans="1:44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AQ523" s="9"/>
      <c r="AR523" s="9"/>
    </row>
    <row r="524" spans="1:44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AQ524" s="9"/>
      <c r="AR524" s="9"/>
    </row>
    <row r="525" spans="1:44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AQ525" s="9"/>
      <c r="AR525" s="9"/>
    </row>
    <row r="526" spans="1:44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AQ526" s="9"/>
      <c r="AR526" s="9"/>
    </row>
    <row r="527" spans="1:44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AQ527" s="9"/>
      <c r="AR527" s="9"/>
    </row>
    <row r="528" spans="1:44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AQ528" s="9"/>
      <c r="AR528" s="9"/>
    </row>
    <row r="529" spans="1:44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AQ529" s="9"/>
      <c r="AR529" s="9"/>
    </row>
    <row r="530" spans="1:44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AQ530" s="9"/>
      <c r="AR530" s="9"/>
    </row>
    <row r="531" spans="1:44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AQ531" s="9"/>
      <c r="AR531" s="9"/>
    </row>
    <row r="532" spans="1:44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AQ532" s="9"/>
      <c r="AR532" s="9"/>
    </row>
    <row r="533" spans="1:44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AQ533" s="9"/>
      <c r="AR533" s="9"/>
    </row>
    <row r="534" spans="1:44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AQ534" s="9"/>
      <c r="AR534" s="9"/>
    </row>
    <row r="535" spans="1:44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AQ535" s="9"/>
      <c r="AR535" s="9"/>
    </row>
    <row r="536" spans="1:44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AQ536" s="9"/>
      <c r="AR536" s="9"/>
    </row>
    <row r="537" spans="1:44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AQ537" s="9"/>
      <c r="AR537" s="9"/>
    </row>
    <row r="538" spans="1:44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AQ538" s="9"/>
      <c r="AR538" s="9"/>
    </row>
    <row r="539" spans="1:44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AQ539" s="9"/>
      <c r="AR539" s="9"/>
    </row>
    <row r="540" spans="1:44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AQ540" s="9"/>
      <c r="AR540" s="9"/>
    </row>
    <row r="541" spans="1:44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AQ541" s="9"/>
      <c r="AR541" s="9"/>
    </row>
    <row r="542" spans="1:44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AQ542" s="9"/>
      <c r="AR542" s="9"/>
    </row>
    <row r="543" spans="1:44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AQ543" s="9"/>
      <c r="AR543" s="9"/>
    </row>
    <row r="544" spans="1:44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AQ544" s="9"/>
      <c r="AR544" s="9"/>
    </row>
    <row r="545" spans="1:44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AQ545" s="9"/>
      <c r="AR545" s="9"/>
    </row>
    <row r="546" spans="1:44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AQ546" s="9"/>
      <c r="AR546" s="9"/>
    </row>
    <row r="547" spans="1:44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AQ547" s="9"/>
      <c r="AR547" s="9"/>
    </row>
    <row r="548" spans="1:44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AQ548" s="9"/>
      <c r="AR548" s="9"/>
    </row>
    <row r="549" spans="1:44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AQ549" s="9"/>
      <c r="AR549" s="9"/>
    </row>
    <row r="550" spans="1:44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AQ550" s="9"/>
      <c r="AR550" s="9"/>
    </row>
    <row r="551" spans="1:44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AQ551" s="9"/>
      <c r="AR551" s="9"/>
    </row>
    <row r="552" spans="1:44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AQ552" s="9"/>
      <c r="AR552" s="9"/>
    </row>
    <row r="553" spans="1:44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AQ553" s="9"/>
      <c r="AR553" s="9"/>
    </row>
    <row r="554" spans="1:44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AQ554" s="9"/>
      <c r="AR554" s="9"/>
    </row>
    <row r="555" spans="1:44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AQ555" s="9"/>
      <c r="AR555" s="9"/>
    </row>
    <row r="556" spans="1:44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AQ556" s="9"/>
      <c r="AR556" s="9"/>
    </row>
    <row r="557" spans="1:44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AQ557" s="9"/>
      <c r="AR557" s="9"/>
    </row>
    <row r="558" spans="1:44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AQ558" s="9"/>
      <c r="AR558" s="9"/>
    </row>
    <row r="559" spans="1:44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AQ559" s="9"/>
      <c r="AR559" s="9"/>
    </row>
    <row r="560" spans="1:44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AQ560" s="9"/>
      <c r="AR560" s="9"/>
    </row>
    <row r="561" spans="1:44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AQ561" s="9"/>
      <c r="AR561" s="9"/>
    </row>
    <row r="562" spans="1:44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AQ562" s="9"/>
      <c r="AR562" s="9"/>
    </row>
    <row r="563" spans="1:44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AQ563" s="9"/>
      <c r="AR563" s="9"/>
    </row>
    <row r="564" spans="1:44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AQ564" s="9"/>
      <c r="AR564" s="9"/>
    </row>
    <row r="565" spans="1:44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AQ565" s="9"/>
      <c r="AR565" s="9"/>
    </row>
    <row r="566" spans="1:44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AQ566" s="9"/>
      <c r="AR566" s="9"/>
    </row>
    <row r="567" spans="1:44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AQ567" s="9"/>
      <c r="AR567" s="9"/>
    </row>
    <row r="568" spans="1:44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AQ568" s="9"/>
      <c r="AR568" s="9"/>
    </row>
    <row r="569" spans="1:44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AQ569" s="9"/>
      <c r="AR569" s="9"/>
    </row>
    <row r="570" spans="1:44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AQ570" s="9"/>
      <c r="AR570" s="9"/>
    </row>
    <row r="571" spans="1:44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AQ571" s="9"/>
      <c r="AR571" s="9"/>
    </row>
    <row r="572" spans="1:44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AQ572" s="9"/>
      <c r="AR572" s="9"/>
    </row>
    <row r="573" spans="1:44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AQ573" s="9"/>
      <c r="AR573" s="9"/>
    </row>
    <row r="574" spans="1:44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AQ574" s="9"/>
      <c r="AR574" s="9"/>
    </row>
    <row r="575" spans="1:44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AQ575" s="9"/>
      <c r="AR575" s="9"/>
    </row>
    <row r="576" spans="1:44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AQ576" s="9"/>
      <c r="AR576" s="9"/>
    </row>
    <row r="577" spans="1:44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AQ577" s="9"/>
      <c r="AR577" s="9"/>
    </row>
    <row r="578" spans="1:44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AQ578" s="9"/>
      <c r="AR578" s="9"/>
    </row>
    <row r="579" spans="1:44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AQ579" s="9"/>
      <c r="AR579" s="9"/>
    </row>
    <row r="580" spans="1:44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AQ580" s="9"/>
      <c r="AR580" s="9"/>
    </row>
    <row r="581" spans="1:44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AQ581" s="9"/>
      <c r="AR581" s="9"/>
    </row>
    <row r="582" spans="1:44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AQ582" s="9"/>
      <c r="AR582" s="9"/>
    </row>
    <row r="583" spans="1:44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AQ583" s="9"/>
      <c r="AR583" s="9"/>
    </row>
    <row r="584" spans="1:44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AQ584" s="9"/>
      <c r="AR584" s="9"/>
    </row>
    <row r="585" spans="1:44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AQ585" s="9"/>
      <c r="AR585" s="9"/>
    </row>
    <row r="586" spans="1:44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AQ586" s="9"/>
      <c r="AR586" s="9"/>
    </row>
    <row r="587" spans="1:44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AQ587" s="9"/>
      <c r="AR587" s="9"/>
    </row>
    <row r="588" spans="1:44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AQ588" s="9"/>
      <c r="AR588" s="9"/>
    </row>
    <row r="589" spans="1:44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AQ589" s="9"/>
      <c r="AR589" s="9"/>
    </row>
    <row r="590" spans="1:44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AQ590" s="9"/>
      <c r="AR590" s="9"/>
    </row>
    <row r="591" spans="1:44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AQ591" s="9"/>
      <c r="AR591" s="9"/>
    </row>
    <row r="592" spans="1:44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AQ592" s="9"/>
      <c r="AR592" s="9"/>
    </row>
    <row r="593" spans="1:44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AQ593" s="9"/>
      <c r="AR593" s="9"/>
    </row>
    <row r="594" spans="1:44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AQ594" s="9"/>
      <c r="AR594" s="9"/>
    </row>
    <row r="595" spans="1:44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AQ595" s="9"/>
      <c r="AR595" s="9"/>
    </row>
    <row r="596" spans="1:44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AQ596" s="9"/>
      <c r="AR596" s="9"/>
    </row>
    <row r="597" spans="1:44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AQ597" s="9"/>
      <c r="AR597" s="9"/>
    </row>
    <row r="598" spans="1:44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AQ598" s="9"/>
      <c r="AR598" s="9"/>
    </row>
    <row r="599" spans="1:44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AQ599" s="9"/>
      <c r="AR599" s="9"/>
    </row>
    <row r="600" spans="1:44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AQ600" s="9"/>
      <c r="AR600" s="9"/>
    </row>
    <row r="601" spans="1:44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AQ601" s="9"/>
      <c r="AR601" s="9"/>
    </row>
    <row r="602" spans="1:44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AQ602" s="9"/>
      <c r="AR602" s="9"/>
    </row>
    <row r="603" spans="1:44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AQ603" s="9"/>
      <c r="AR603" s="9"/>
    </row>
    <row r="604" spans="1:44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AQ604" s="9"/>
      <c r="AR604" s="9"/>
    </row>
    <row r="605" spans="1:44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AQ605" s="9"/>
      <c r="AR605" s="9"/>
    </row>
    <row r="606" spans="1:44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AQ606" s="9"/>
      <c r="AR606" s="9"/>
    </row>
    <row r="607" spans="1:44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AQ607" s="9"/>
      <c r="AR607" s="9"/>
    </row>
    <row r="608" spans="1:44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AQ608" s="9"/>
      <c r="AR608" s="9"/>
    </row>
    <row r="609" spans="1:44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AQ609" s="9"/>
      <c r="AR609" s="9"/>
    </row>
    <row r="610" spans="1:44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AQ610" s="9"/>
      <c r="AR610" s="9"/>
    </row>
    <row r="611" spans="1:44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AQ611" s="9"/>
      <c r="AR611" s="9"/>
    </row>
    <row r="612" spans="1:44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AQ612" s="9"/>
      <c r="AR612" s="9"/>
    </row>
    <row r="613" spans="1:44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AQ613" s="9"/>
      <c r="AR613" s="9"/>
    </row>
    <row r="614" spans="1:44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AQ614" s="9"/>
      <c r="AR614" s="9"/>
    </row>
    <row r="615" spans="1:44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AQ615" s="9"/>
      <c r="AR615" s="9"/>
    </row>
    <row r="616" spans="1:44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AQ616" s="9"/>
      <c r="AR616" s="9"/>
    </row>
    <row r="617" spans="1:44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AQ617" s="9"/>
      <c r="AR617" s="9"/>
    </row>
    <row r="618" spans="1:44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AQ618" s="9"/>
      <c r="AR618" s="9"/>
    </row>
    <row r="619" spans="1:44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AQ619" s="9"/>
      <c r="AR619" s="9"/>
    </row>
    <row r="620" spans="1:44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AQ620" s="9"/>
      <c r="AR620" s="9"/>
    </row>
    <row r="621" spans="1:44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AQ621" s="9"/>
      <c r="AR621" s="9"/>
    </row>
    <row r="622" spans="1:44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AQ622" s="9"/>
      <c r="AR622" s="9"/>
    </row>
    <row r="623" spans="1:44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AQ623" s="9"/>
      <c r="AR623" s="9"/>
    </row>
    <row r="624" spans="1:44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AQ624" s="9"/>
      <c r="AR624" s="9"/>
    </row>
    <row r="625" spans="1:44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AQ625" s="9"/>
      <c r="AR625" s="9"/>
    </row>
    <row r="626" spans="1:44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AQ626" s="9"/>
      <c r="AR626" s="9"/>
    </row>
    <row r="627" spans="1:44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AQ627" s="9"/>
      <c r="AR627" s="9"/>
    </row>
    <row r="628" spans="1:44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AQ628" s="9"/>
      <c r="AR628" s="9"/>
    </row>
    <row r="629" spans="1:44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AQ629" s="9"/>
      <c r="AR629" s="9"/>
    </row>
    <row r="630" spans="1:44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AQ630" s="9"/>
      <c r="AR630" s="9"/>
    </row>
    <row r="631" spans="1:44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AQ631" s="9"/>
      <c r="AR631" s="9"/>
    </row>
    <row r="632" spans="1:44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AQ632" s="9"/>
      <c r="AR632" s="9"/>
    </row>
    <row r="633" spans="1:44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AQ633" s="9"/>
      <c r="AR633" s="9"/>
    </row>
    <row r="634" spans="1:44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AQ634" s="9"/>
      <c r="AR634" s="9"/>
    </row>
    <row r="635" spans="1:44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AQ635" s="9"/>
      <c r="AR635" s="9"/>
    </row>
    <row r="636" spans="1:44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AQ636" s="9"/>
      <c r="AR636" s="9"/>
    </row>
    <row r="637" spans="1:44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AQ637" s="9"/>
      <c r="AR637" s="9"/>
    </row>
    <row r="638" spans="1:44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AQ638" s="9"/>
      <c r="AR638" s="9"/>
    </row>
    <row r="639" spans="1:44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AQ639" s="9"/>
      <c r="AR639" s="9"/>
    </row>
    <row r="640" spans="1:44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AQ640" s="9"/>
      <c r="AR640" s="9"/>
    </row>
    <row r="641" spans="1:44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AQ641" s="9"/>
      <c r="AR641" s="9"/>
    </row>
    <row r="642" spans="1:44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AQ642" s="9"/>
      <c r="AR642" s="9"/>
    </row>
    <row r="643" spans="1:44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AQ643" s="9"/>
      <c r="AR643" s="9"/>
    </row>
    <row r="644" spans="1:44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AQ644" s="9"/>
      <c r="AR644" s="9"/>
    </row>
    <row r="645" spans="1:44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AQ645" s="9"/>
      <c r="AR645" s="9"/>
    </row>
    <row r="646" spans="1:44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AQ646" s="9"/>
      <c r="AR646" s="9"/>
    </row>
    <row r="647" spans="1:44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AQ647" s="9"/>
      <c r="AR647" s="9"/>
    </row>
    <row r="648" spans="1:44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AQ648" s="9"/>
      <c r="AR648" s="9"/>
    </row>
    <row r="649" spans="1:44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AQ649" s="9"/>
      <c r="AR649" s="9"/>
    </row>
    <row r="650" spans="1:44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AQ650" s="9"/>
      <c r="AR650" s="9"/>
    </row>
    <row r="651" spans="1:44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AQ651" s="9"/>
      <c r="AR651" s="9"/>
    </row>
    <row r="652" spans="1:44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AQ652" s="9"/>
      <c r="AR652" s="9"/>
    </row>
    <row r="653" spans="1:44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AQ653" s="9"/>
      <c r="AR653" s="9"/>
    </row>
    <row r="654" spans="1:44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AQ654" s="9"/>
      <c r="AR654" s="9"/>
    </row>
    <row r="655" spans="1:44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AQ655" s="9"/>
      <c r="AR655" s="9"/>
    </row>
    <row r="656" spans="1:44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AQ656" s="9"/>
      <c r="AR656" s="9"/>
    </row>
    <row r="657" spans="1:44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AQ657" s="9"/>
      <c r="AR657" s="9"/>
    </row>
    <row r="658" spans="1:44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AQ658" s="9"/>
      <c r="AR658" s="9"/>
    </row>
    <row r="659" spans="1:44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AQ659" s="9"/>
      <c r="AR659" s="9"/>
    </row>
    <row r="660" spans="1:44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AQ660" s="9"/>
      <c r="AR660" s="9"/>
    </row>
    <row r="661" spans="1:44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AQ661" s="9"/>
      <c r="AR661" s="9"/>
    </row>
    <row r="662" spans="1:44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AQ662" s="9"/>
      <c r="AR662" s="9"/>
    </row>
    <row r="663" spans="1:44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AQ663" s="9"/>
      <c r="AR663" s="9"/>
    </row>
    <row r="664" spans="1:44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AQ664" s="9"/>
      <c r="AR664" s="9"/>
    </row>
    <row r="665" spans="1:44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AQ665" s="9"/>
      <c r="AR665" s="9"/>
    </row>
    <row r="666" spans="1:44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AQ666" s="9"/>
      <c r="AR666" s="9"/>
    </row>
    <row r="667" spans="1:44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AQ667" s="9"/>
      <c r="AR667" s="9"/>
    </row>
    <row r="668" spans="1:44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AQ668" s="9"/>
      <c r="AR668" s="9"/>
    </row>
    <row r="669" spans="1:44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AQ669" s="9"/>
      <c r="AR669" s="9"/>
    </row>
    <row r="670" spans="1:44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AQ670" s="9"/>
      <c r="AR670" s="9"/>
    </row>
    <row r="671" spans="1:44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AQ671" s="9"/>
      <c r="AR671" s="9"/>
    </row>
    <row r="672" spans="1:44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AQ672" s="9"/>
      <c r="AR672" s="9"/>
    </row>
    <row r="673" spans="1:44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AQ673" s="9"/>
      <c r="AR673" s="9"/>
    </row>
    <row r="674" spans="1:44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AQ674" s="9"/>
      <c r="AR674" s="9"/>
    </row>
    <row r="675" spans="1:44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AQ675" s="9"/>
      <c r="AR675" s="9"/>
    </row>
    <row r="676" spans="1:44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AQ676" s="9"/>
      <c r="AR676" s="9"/>
    </row>
    <row r="677" spans="1:44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AQ677" s="9"/>
      <c r="AR677" s="9"/>
    </row>
    <row r="678" spans="1:44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AQ678" s="9"/>
      <c r="AR678" s="9"/>
    </row>
    <row r="679" spans="1:44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AQ679" s="9"/>
      <c r="AR679" s="9"/>
    </row>
    <row r="680" spans="1:44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AQ680" s="9"/>
      <c r="AR680" s="9"/>
    </row>
    <row r="681" spans="1:44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AQ681" s="9"/>
      <c r="AR681" s="9"/>
    </row>
    <row r="682" spans="1:44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AQ682" s="9"/>
      <c r="AR682" s="9"/>
    </row>
    <row r="683" spans="1:44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AQ683" s="9"/>
      <c r="AR683" s="9"/>
    </row>
    <row r="684" spans="1:44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AQ684" s="9"/>
      <c r="AR684" s="9"/>
    </row>
    <row r="685" spans="1:44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AQ685" s="9"/>
      <c r="AR685" s="9"/>
    </row>
    <row r="686" spans="1:44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AQ686" s="9"/>
      <c r="AR686" s="9"/>
    </row>
    <row r="687" spans="1:44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AQ687" s="9"/>
      <c r="AR687" s="9"/>
    </row>
    <row r="688" spans="1:44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AQ688" s="9"/>
      <c r="AR688" s="9"/>
    </row>
    <row r="689" spans="1:44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AQ689" s="9"/>
      <c r="AR689" s="9"/>
    </row>
    <row r="690" spans="1:44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AQ690" s="9"/>
      <c r="AR690" s="9"/>
    </row>
    <row r="691" spans="1:44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AQ691" s="9"/>
      <c r="AR691" s="9"/>
    </row>
    <row r="692" spans="1:44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AQ692" s="9"/>
      <c r="AR692" s="9"/>
    </row>
    <row r="693" spans="1:44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AQ693" s="9"/>
      <c r="AR693" s="9"/>
    </row>
    <row r="694" spans="1:44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AQ694" s="9"/>
      <c r="AR694" s="9"/>
    </row>
    <row r="695" spans="1:44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AQ695" s="9"/>
      <c r="AR695" s="9"/>
    </row>
    <row r="696" spans="1:44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AQ696" s="9"/>
      <c r="AR696" s="9"/>
    </row>
    <row r="697" spans="1:44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AQ697" s="9"/>
      <c r="AR697" s="9"/>
    </row>
    <row r="698" spans="1:44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AQ698" s="9"/>
      <c r="AR698" s="9"/>
    </row>
    <row r="699" spans="1:44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AQ699" s="9"/>
      <c r="AR699" s="9"/>
    </row>
    <row r="700" spans="1:44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AQ700" s="9"/>
      <c r="AR700" s="9"/>
    </row>
    <row r="701" spans="1:44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AQ701" s="9"/>
      <c r="AR701" s="9"/>
    </row>
    <row r="702" spans="1:44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AQ702" s="9"/>
      <c r="AR702" s="9"/>
    </row>
    <row r="703" spans="1:44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AQ703" s="9"/>
      <c r="AR703" s="9"/>
    </row>
    <row r="704" spans="1:44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AQ704" s="9"/>
      <c r="AR704" s="9"/>
    </row>
    <row r="705" spans="1:44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AQ705" s="9"/>
      <c r="AR705" s="9"/>
    </row>
    <row r="706" spans="1:44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AQ706" s="9"/>
      <c r="AR706" s="9"/>
    </row>
    <row r="707" spans="1:44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AQ707" s="9"/>
      <c r="AR707" s="9"/>
    </row>
    <row r="708" spans="1:44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AQ708" s="9"/>
      <c r="AR708" s="9"/>
    </row>
    <row r="709" spans="1:44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AQ709" s="9"/>
      <c r="AR709" s="9"/>
    </row>
    <row r="710" spans="1:44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AQ710" s="9"/>
      <c r="AR710" s="9"/>
    </row>
    <row r="711" spans="1:44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AQ711" s="9"/>
      <c r="AR711" s="9"/>
    </row>
    <row r="712" spans="1:44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AQ712" s="9"/>
      <c r="AR712" s="9"/>
    </row>
    <row r="713" spans="1:44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AQ713" s="9"/>
      <c r="AR713" s="9"/>
    </row>
    <row r="714" spans="1:44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AQ714" s="9"/>
      <c r="AR714" s="9"/>
    </row>
    <row r="715" spans="1:44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AQ715" s="9"/>
      <c r="AR715" s="9"/>
    </row>
    <row r="716" spans="1:44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AQ716" s="9"/>
      <c r="AR716" s="9"/>
    </row>
    <row r="717" spans="1:44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AQ717" s="9"/>
      <c r="AR717" s="9"/>
    </row>
    <row r="718" spans="1:44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AQ718" s="9"/>
      <c r="AR718" s="9"/>
    </row>
    <row r="719" spans="1:44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AQ719" s="9"/>
      <c r="AR719" s="9"/>
    </row>
    <row r="720" spans="1:44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AQ720" s="9"/>
      <c r="AR720" s="9"/>
    </row>
    <row r="721" spans="1:44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AQ721" s="9"/>
      <c r="AR721" s="9"/>
    </row>
    <row r="722" spans="1:44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AQ722" s="9"/>
      <c r="AR722" s="9"/>
    </row>
    <row r="723" spans="1:44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AQ723" s="9"/>
      <c r="AR723" s="9"/>
    </row>
    <row r="724" spans="1:44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AQ724" s="9"/>
      <c r="AR724" s="9"/>
    </row>
    <row r="725" spans="1:44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AQ725" s="9"/>
      <c r="AR725" s="9"/>
    </row>
    <row r="726" spans="1:44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AQ726" s="9"/>
      <c r="AR726" s="9"/>
    </row>
    <row r="727" spans="1:44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AQ727" s="9"/>
      <c r="AR727" s="9"/>
    </row>
    <row r="728" spans="1:44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AQ728" s="9"/>
      <c r="AR728" s="9"/>
    </row>
    <row r="729" spans="1:44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AQ729" s="9"/>
      <c r="AR729" s="9"/>
    </row>
    <row r="730" spans="1:44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AQ730" s="9"/>
      <c r="AR730" s="9"/>
    </row>
    <row r="731" spans="1:44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AQ731" s="9"/>
      <c r="AR731" s="9"/>
    </row>
    <row r="732" spans="1:44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AQ732" s="9"/>
      <c r="AR732" s="9"/>
    </row>
    <row r="733" spans="1:44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AQ733" s="9"/>
      <c r="AR733" s="9"/>
    </row>
    <row r="734" spans="1:44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AQ734" s="9"/>
      <c r="AR734" s="9"/>
    </row>
    <row r="735" spans="1:44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AQ735" s="9"/>
      <c r="AR735" s="9"/>
    </row>
    <row r="736" spans="1:44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AQ736" s="9"/>
      <c r="AR736" s="9"/>
    </row>
    <row r="737" spans="1:44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AQ737" s="9"/>
      <c r="AR737" s="9"/>
    </row>
    <row r="738" spans="1:44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AQ738" s="9"/>
      <c r="AR738" s="9"/>
    </row>
    <row r="739" spans="1:44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AQ739" s="9"/>
      <c r="AR739" s="9"/>
    </row>
    <row r="740" spans="1:44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AQ740" s="9"/>
      <c r="AR740" s="9"/>
    </row>
    <row r="741" spans="1:44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AQ741" s="9"/>
      <c r="AR741" s="9"/>
    </row>
    <row r="742" spans="1:44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AQ742" s="9"/>
      <c r="AR742" s="9"/>
    </row>
    <row r="743" spans="1:44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AQ743" s="9"/>
      <c r="AR743" s="9"/>
    </row>
    <row r="744" spans="1:44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AQ744" s="9"/>
      <c r="AR744" s="9"/>
    </row>
    <row r="745" spans="1:44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AQ745" s="9"/>
      <c r="AR745" s="9"/>
    </row>
    <row r="746" spans="1:44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AQ746" s="9"/>
      <c r="AR746" s="9"/>
    </row>
    <row r="747" spans="1:44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AQ747" s="9"/>
      <c r="AR747" s="9"/>
    </row>
    <row r="748" spans="1:44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AQ748" s="9"/>
      <c r="AR748" s="9"/>
    </row>
    <row r="749" spans="1:44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AQ749" s="9"/>
      <c r="AR749" s="9"/>
    </row>
    <row r="750" spans="1:44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AQ750" s="9"/>
      <c r="AR750" s="9"/>
    </row>
    <row r="751" spans="1:44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AQ751" s="9"/>
      <c r="AR751" s="9"/>
    </row>
    <row r="752" spans="1:44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AQ752" s="9"/>
      <c r="AR752" s="9"/>
    </row>
    <row r="753" spans="1:44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AQ753" s="9"/>
      <c r="AR753" s="9"/>
    </row>
    <row r="754" spans="1:44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AQ754" s="9"/>
      <c r="AR754" s="9"/>
    </row>
    <row r="755" spans="1:44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AQ755" s="9"/>
      <c r="AR755" s="9"/>
    </row>
    <row r="756" spans="1:44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AQ756" s="9"/>
      <c r="AR756" s="9"/>
    </row>
    <row r="757" spans="1:44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AQ757" s="9"/>
      <c r="AR757" s="9"/>
    </row>
    <row r="758" spans="1:44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AQ758" s="9"/>
      <c r="AR758" s="9"/>
    </row>
    <row r="759" spans="1:44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AQ759" s="9"/>
      <c r="AR759" s="9"/>
    </row>
    <row r="760" spans="1:44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AQ760" s="9"/>
      <c r="AR760" s="9"/>
    </row>
    <row r="761" spans="1:44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AQ761" s="9"/>
      <c r="AR761" s="9"/>
    </row>
    <row r="762" spans="1:44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AQ762" s="9"/>
      <c r="AR762" s="9"/>
    </row>
    <row r="763" spans="1:44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AQ763" s="9"/>
      <c r="AR763" s="9"/>
    </row>
    <row r="764" spans="1:44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AQ764" s="9"/>
      <c r="AR764" s="9"/>
    </row>
    <row r="765" spans="1:44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AQ765" s="9"/>
      <c r="AR765" s="9"/>
    </row>
    <row r="766" spans="1:44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AQ766" s="9"/>
      <c r="AR766" s="9"/>
    </row>
    <row r="767" spans="1:44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AQ767" s="9"/>
      <c r="AR767" s="9"/>
    </row>
    <row r="768" spans="1:44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AQ768" s="9"/>
      <c r="AR768" s="9"/>
    </row>
    <row r="769" spans="1:44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AQ769" s="9"/>
      <c r="AR769" s="9"/>
    </row>
    <row r="770" spans="1:44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AQ770" s="9"/>
      <c r="AR770" s="9"/>
    </row>
    <row r="771" spans="1:44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AQ771" s="9"/>
      <c r="AR771" s="9"/>
    </row>
    <row r="772" spans="1:44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AQ772" s="9"/>
      <c r="AR772" s="9"/>
    </row>
    <row r="773" spans="1:44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AQ773" s="9"/>
      <c r="AR773" s="9"/>
    </row>
    <row r="774" spans="1:44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AQ774" s="9"/>
      <c r="AR774" s="9"/>
    </row>
    <row r="775" spans="1:44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AQ775" s="9"/>
      <c r="AR775" s="9"/>
    </row>
    <row r="776" spans="1:44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AQ776" s="9"/>
      <c r="AR776" s="9"/>
    </row>
    <row r="777" spans="1:44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AQ777" s="9"/>
      <c r="AR777" s="9"/>
    </row>
    <row r="778" spans="1:44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AQ778" s="9"/>
      <c r="AR778" s="9"/>
    </row>
    <row r="779" spans="1:44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AQ779" s="9"/>
      <c r="AR779" s="9"/>
    </row>
    <row r="780" spans="1:44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AQ780" s="9"/>
      <c r="AR780" s="9"/>
    </row>
    <row r="781" spans="1:44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AQ781" s="9"/>
      <c r="AR781" s="9"/>
    </row>
    <row r="782" spans="1:44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AQ782" s="9"/>
      <c r="AR782" s="9"/>
    </row>
    <row r="783" spans="1:44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AQ783" s="9"/>
      <c r="AR783" s="9"/>
    </row>
    <row r="784" spans="1:44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AQ784" s="9"/>
      <c r="AR784" s="9"/>
    </row>
    <row r="785" spans="1:44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AQ785" s="9"/>
      <c r="AR785" s="9"/>
    </row>
    <row r="786" spans="1:44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AQ786" s="9"/>
      <c r="AR786" s="9"/>
    </row>
    <row r="787" spans="1:44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AQ787" s="9"/>
      <c r="AR787" s="9"/>
    </row>
    <row r="788" spans="1:44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AQ788" s="9"/>
      <c r="AR788" s="9"/>
    </row>
    <row r="789" spans="1:44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AQ789" s="9"/>
      <c r="AR789" s="9"/>
    </row>
    <row r="790" spans="1:44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AQ790" s="9"/>
      <c r="AR790" s="9"/>
    </row>
    <row r="791" spans="1:44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AQ791" s="9"/>
      <c r="AR791" s="9"/>
    </row>
    <row r="792" spans="1:44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AQ792" s="9"/>
      <c r="AR792" s="9"/>
    </row>
    <row r="793" spans="1:44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AQ793" s="9"/>
      <c r="AR793" s="9"/>
    </row>
    <row r="794" spans="1:44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AQ794" s="9"/>
      <c r="AR794" s="9"/>
    </row>
    <row r="795" spans="1:44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AQ795" s="9"/>
      <c r="AR795" s="9"/>
    </row>
    <row r="796" spans="1:44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AQ796" s="9"/>
      <c r="AR796" s="9"/>
    </row>
    <row r="797" spans="1:44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AQ797" s="9"/>
      <c r="AR797" s="9"/>
    </row>
    <row r="798" spans="1:44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AQ798" s="9"/>
      <c r="AR798" s="9"/>
    </row>
    <row r="799" spans="1:44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AQ799" s="9"/>
      <c r="AR799" s="9"/>
    </row>
    <row r="800" spans="1:44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AQ800" s="9"/>
      <c r="AR800" s="9"/>
    </row>
    <row r="801" spans="1:44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AQ801" s="9"/>
      <c r="AR801" s="9"/>
    </row>
    <row r="802" spans="1:44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AQ802" s="9"/>
      <c r="AR802" s="9"/>
    </row>
    <row r="803" spans="1:44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AQ803" s="9"/>
      <c r="AR803" s="9"/>
    </row>
    <row r="804" spans="1:44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AQ804" s="9"/>
      <c r="AR804" s="9"/>
    </row>
    <row r="805" spans="1:44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AQ805" s="9"/>
      <c r="AR805" s="9"/>
    </row>
    <row r="806" spans="1:44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AQ806" s="9"/>
      <c r="AR806" s="9"/>
    </row>
    <row r="807" spans="1:44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AQ807" s="9"/>
      <c r="AR807" s="9"/>
    </row>
    <row r="808" spans="1:44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AQ808" s="9"/>
      <c r="AR808" s="9"/>
    </row>
    <row r="809" spans="1:44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AQ809" s="9"/>
      <c r="AR809" s="9"/>
    </row>
    <row r="810" spans="1:44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AQ810" s="9"/>
      <c r="AR810" s="9"/>
    </row>
    <row r="811" spans="1:44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AQ811" s="9"/>
      <c r="AR811" s="9"/>
    </row>
    <row r="812" spans="1:44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AQ812" s="9"/>
      <c r="AR812" s="9"/>
    </row>
    <row r="813" spans="1:44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AQ813" s="9"/>
      <c r="AR813" s="9"/>
    </row>
    <row r="814" spans="1:44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AQ814" s="9"/>
      <c r="AR814" s="9"/>
    </row>
    <row r="815" spans="1:44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AQ815" s="9"/>
      <c r="AR815" s="9"/>
    </row>
    <row r="816" spans="1:44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AQ816" s="9"/>
      <c r="AR816" s="9"/>
    </row>
    <row r="817" spans="1:44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AQ817" s="9"/>
      <c r="AR817" s="9"/>
    </row>
    <row r="818" spans="1:44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AQ818" s="9"/>
      <c r="AR818" s="9"/>
    </row>
    <row r="819" spans="1:44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AQ819" s="9"/>
      <c r="AR819" s="9"/>
    </row>
    <row r="820" spans="1:44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AQ820" s="9"/>
      <c r="AR820" s="9"/>
    </row>
    <row r="821" spans="1:44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AQ821" s="9"/>
      <c r="AR821" s="9"/>
    </row>
    <row r="822" spans="1:44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AQ822" s="9"/>
      <c r="AR822" s="9"/>
    </row>
    <row r="823" spans="1:44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AQ823" s="9"/>
      <c r="AR823" s="9"/>
    </row>
    <row r="824" spans="1:44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AQ824" s="9"/>
      <c r="AR824" s="9"/>
    </row>
    <row r="825" spans="1:44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AQ825" s="9"/>
      <c r="AR825" s="9"/>
    </row>
    <row r="826" spans="1:44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AQ826" s="9"/>
      <c r="AR826" s="9"/>
    </row>
    <row r="827" spans="1:44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AQ827" s="9"/>
      <c r="AR827" s="9"/>
    </row>
    <row r="828" spans="1:44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AQ828" s="9"/>
      <c r="AR828" s="9"/>
    </row>
    <row r="829" spans="1:44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AQ829" s="9"/>
      <c r="AR829" s="9"/>
    </row>
    <row r="830" spans="1:44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AQ830" s="9"/>
      <c r="AR830" s="9"/>
    </row>
    <row r="831" spans="1:44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AQ831" s="9"/>
      <c r="AR831" s="9"/>
    </row>
    <row r="832" spans="1:44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AQ832" s="9"/>
      <c r="AR832" s="9"/>
    </row>
    <row r="833" spans="1:44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AQ833" s="9"/>
      <c r="AR833" s="9"/>
    </row>
    <row r="834" spans="1:44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AQ834" s="9"/>
      <c r="AR834" s="9"/>
    </row>
    <row r="835" spans="1:44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AQ835" s="9"/>
      <c r="AR835" s="9"/>
    </row>
    <row r="836" spans="1:44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AQ836" s="9"/>
      <c r="AR836" s="9"/>
    </row>
    <row r="837" spans="1:44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AQ837" s="9"/>
      <c r="AR837" s="9"/>
    </row>
    <row r="838" spans="1:44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AQ838" s="9"/>
      <c r="AR838" s="9"/>
    </row>
    <row r="839" spans="1:44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AQ839" s="9"/>
      <c r="AR839" s="9"/>
    </row>
    <row r="840" spans="1:44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AQ840" s="9"/>
      <c r="AR840" s="9"/>
    </row>
    <row r="841" spans="1:44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AQ841" s="9"/>
      <c r="AR841" s="9"/>
    </row>
    <row r="842" spans="1:44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AQ842" s="9"/>
      <c r="AR842" s="9"/>
    </row>
    <row r="843" spans="1:44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AQ843" s="9"/>
      <c r="AR843" s="9"/>
    </row>
    <row r="844" spans="1:44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AQ844" s="9"/>
      <c r="AR844" s="9"/>
    </row>
    <row r="845" spans="1:44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AQ845" s="9"/>
      <c r="AR845" s="9"/>
    </row>
    <row r="846" spans="1:44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AQ846" s="9"/>
      <c r="AR846" s="9"/>
    </row>
    <row r="847" spans="1:44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AQ847" s="9"/>
      <c r="AR847" s="9"/>
    </row>
    <row r="848" spans="1:44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AQ848" s="9"/>
      <c r="AR848" s="9"/>
    </row>
    <row r="849" spans="1:44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AQ849" s="9"/>
      <c r="AR849" s="9"/>
    </row>
    <row r="850" spans="1:44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AQ850" s="9"/>
      <c r="AR850" s="9"/>
    </row>
    <row r="851" spans="1:44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AQ851" s="9"/>
      <c r="AR851" s="9"/>
    </row>
    <row r="852" spans="1:44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AQ852" s="9"/>
      <c r="AR852" s="9"/>
    </row>
    <row r="853" spans="1:44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AQ853" s="9"/>
      <c r="AR853" s="9"/>
    </row>
    <row r="854" spans="1:44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AQ854" s="9"/>
      <c r="AR854" s="9"/>
    </row>
    <row r="855" spans="1:44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AQ855" s="9"/>
      <c r="AR855" s="9"/>
    </row>
    <row r="856" spans="1:44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AQ856" s="9"/>
      <c r="AR856" s="9"/>
    </row>
    <row r="857" spans="1:44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AQ857" s="9"/>
      <c r="AR857" s="9"/>
    </row>
    <row r="858" spans="1:44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AQ858" s="9"/>
      <c r="AR858" s="9"/>
    </row>
    <row r="859" spans="1:44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AQ859" s="9"/>
      <c r="AR859" s="9"/>
    </row>
    <row r="860" spans="1:44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AQ860" s="9"/>
      <c r="AR860" s="9"/>
    </row>
    <row r="861" spans="1:44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AQ861" s="9"/>
      <c r="AR861" s="9"/>
    </row>
    <row r="862" spans="1:44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AQ862" s="9"/>
      <c r="AR862" s="9"/>
    </row>
    <row r="863" spans="1:44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AQ863" s="9"/>
      <c r="AR863" s="9"/>
    </row>
    <row r="864" spans="1:44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AQ864" s="9"/>
      <c r="AR864" s="9"/>
    </row>
    <row r="865" spans="1:44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AQ865" s="9"/>
      <c r="AR865" s="9"/>
    </row>
    <row r="866" spans="1:44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AQ866" s="9"/>
      <c r="AR866" s="9"/>
    </row>
    <row r="867" spans="1:44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AQ867" s="9"/>
      <c r="AR867" s="9"/>
    </row>
    <row r="868" spans="1:44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AQ868" s="9"/>
      <c r="AR868" s="9"/>
    </row>
    <row r="869" spans="1:44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AQ869" s="9"/>
      <c r="AR869" s="9"/>
    </row>
    <row r="870" spans="1:44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AQ870" s="9"/>
      <c r="AR870" s="9"/>
    </row>
    <row r="871" spans="1:44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AQ871" s="9"/>
      <c r="AR871" s="9"/>
    </row>
    <row r="872" spans="1:44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AQ872" s="9"/>
      <c r="AR872" s="9"/>
    </row>
    <row r="873" spans="1:44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AQ873" s="9"/>
      <c r="AR873" s="9"/>
    </row>
    <row r="874" spans="1:44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AQ874" s="9"/>
      <c r="AR874" s="9"/>
    </row>
    <row r="875" spans="1:44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AQ875" s="9"/>
      <c r="AR875" s="9"/>
    </row>
    <row r="876" spans="1:44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AQ876" s="9"/>
      <c r="AR876" s="9"/>
    </row>
    <row r="877" spans="1:44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AQ877" s="9"/>
      <c r="AR877" s="9"/>
    </row>
    <row r="878" spans="1:44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AQ878" s="9"/>
      <c r="AR878" s="9"/>
    </row>
    <row r="879" spans="1:44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AQ879" s="9"/>
      <c r="AR879" s="9"/>
    </row>
    <row r="880" spans="1:44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AQ880" s="9"/>
      <c r="AR880" s="9"/>
    </row>
    <row r="881" spans="1:44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AQ881" s="9"/>
      <c r="AR881" s="9"/>
    </row>
    <row r="882" spans="1:44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AQ882" s="9"/>
      <c r="AR882" s="9"/>
    </row>
    <row r="883" spans="1:44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AQ883" s="9"/>
      <c r="AR883" s="9"/>
    </row>
    <row r="884" spans="1:44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AQ884" s="9"/>
      <c r="AR884" s="9"/>
    </row>
    <row r="885" spans="1:44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AQ885" s="9"/>
      <c r="AR885" s="9"/>
    </row>
    <row r="886" spans="1:44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AQ886" s="9"/>
      <c r="AR886" s="9"/>
    </row>
    <row r="887" spans="1:44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AQ887" s="9"/>
      <c r="AR887" s="9"/>
    </row>
    <row r="888" spans="1:44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AQ888" s="9"/>
      <c r="AR888" s="9"/>
    </row>
    <row r="889" spans="1:44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AQ889" s="9"/>
      <c r="AR889" s="9"/>
    </row>
    <row r="890" spans="1:44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AQ890" s="9"/>
      <c r="AR890" s="9"/>
    </row>
    <row r="891" spans="1:44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AQ891" s="9"/>
      <c r="AR891" s="9"/>
    </row>
    <row r="892" spans="1:44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AQ892" s="9"/>
      <c r="AR892" s="9"/>
    </row>
    <row r="893" spans="1:44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AQ893" s="9"/>
      <c r="AR893" s="9"/>
    </row>
    <row r="894" spans="1:44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AQ894" s="9"/>
      <c r="AR894" s="9"/>
    </row>
    <row r="895" spans="1:44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AQ895" s="9"/>
      <c r="AR895" s="9"/>
    </row>
    <row r="896" spans="1:44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AQ896" s="9"/>
      <c r="AR896" s="9"/>
    </row>
    <row r="897" spans="1:44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AQ897" s="9"/>
      <c r="AR897" s="9"/>
    </row>
    <row r="898" spans="1:44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AQ898" s="9"/>
      <c r="AR898" s="9"/>
    </row>
    <row r="899" spans="1:44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AQ899" s="9"/>
      <c r="AR899" s="9"/>
    </row>
    <row r="900" spans="1:44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AQ900" s="9"/>
      <c r="AR900" s="9"/>
    </row>
    <row r="901" spans="1:44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AQ901" s="9"/>
      <c r="AR901" s="9"/>
    </row>
    <row r="902" spans="1:44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AQ902" s="9"/>
      <c r="AR902" s="9"/>
    </row>
    <row r="903" spans="1:44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AQ903" s="9"/>
      <c r="AR903" s="9"/>
    </row>
    <row r="904" spans="1:44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AQ904" s="9"/>
      <c r="AR904" s="9"/>
    </row>
    <row r="905" spans="1:44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AQ905" s="9"/>
      <c r="AR905" s="9"/>
    </row>
    <row r="906" spans="1:44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AQ906" s="9"/>
      <c r="AR906" s="9"/>
    </row>
    <row r="907" spans="1:44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AQ907" s="9"/>
      <c r="AR907" s="9"/>
    </row>
    <row r="908" spans="1:44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AQ908" s="9"/>
      <c r="AR908" s="9"/>
    </row>
    <row r="909" spans="1:44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AQ909" s="9"/>
      <c r="AR909" s="9"/>
    </row>
    <row r="910" spans="1:44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AQ910" s="9"/>
      <c r="AR910" s="9"/>
    </row>
    <row r="911" spans="1:44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AQ911" s="9"/>
      <c r="AR911" s="9"/>
    </row>
    <row r="912" spans="1:44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AQ912" s="9"/>
      <c r="AR912" s="9"/>
    </row>
    <row r="913" spans="1:44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AQ913" s="9"/>
      <c r="AR913" s="9"/>
    </row>
    <row r="914" spans="1:44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AQ914" s="9"/>
      <c r="AR914" s="9"/>
    </row>
    <row r="915" spans="1:44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AQ915" s="9"/>
      <c r="AR915" s="9"/>
    </row>
    <row r="916" spans="1:44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AQ916" s="9"/>
      <c r="AR916" s="9"/>
    </row>
    <row r="917" spans="1:44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AQ917" s="9"/>
      <c r="AR917" s="9"/>
    </row>
    <row r="918" spans="1:44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AQ918" s="9"/>
      <c r="AR918" s="9"/>
    </row>
    <row r="919" spans="1:44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AQ919" s="9"/>
      <c r="AR919" s="9"/>
    </row>
    <row r="920" spans="1:44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AQ920" s="9"/>
      <c r="AR920" s="9"/>
    </row>
    <row r="921" spans="1:44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AQ921" s="9"/>
      <c r="AR921" s="9"/>
    </row>
    <row r="922" spans="1:44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AQ922" s="9"/>
      <c r="AR922" s="9"/>
    </row>
    <row r="923" spans="1:44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AQ923" s="9"/>
      <c r="AR923" s="9"/>
    </row>
    <row r="924" spans="1:44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AQ924" s="9"/>
      <c r="AR924" s="9"/>
    </row>
    <row r="925" spans="1:44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AQ925" s="9"/>
      <c r="AR925" s="9"/>
    </row>
    <row r="926" spans="1:44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AQ926" s="9"/>
      <c r="AR926" s="9"/>
    </row>
    <row r="927" spans="1:44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AQ927" s="9"/>
      <c r="AR927" s="9"/>
    </row>
    <row r="928" spans="1:44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AQ928" s="9"/>
      <c r="AR928" s="9"/>
    </row>
    <row r="929" spans="1:44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AQ929" s="9"/>
      <c r="AR929" s="9"/>
    </row>
    <row r="930" spans="1:44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AQ930" s="9"/>
      <c r="AR930" s="9"/>
    </row>
    <row r="931" spans="1:44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AQ931" s="9"/>
      <c r="AR931" s="9"/>
    </row>
    <row r="932" spans="1:44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AQ932" s="9"/>
      <c r="AR932" s="9"/>
    </row>
    <row r="933" spans="1:44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AQ933" s="9"/>
      <c r="AR933" s="9"/>
    </row>
    <row r="934" spans="1:44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AQ934" s="9"/>
      <c r="AR934" s="9"/>
    </row>
    <row r="935" spans="1:44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AQ935" s="9"/>
      <c r="AR935" s="9"/>
    </row>
    <row r="936" spans="1:44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AQ936" s="9"/>
      <c r="AR936" s="9"/>
    </row>
    <row r="937" spans="1:44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AQ937" s="9"/>
      <c r="AR937" s="9"/>
    </row>
    <row r="938" spans="1:44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AQ938" s="9"/>
      <c r="AR938" s="9"/>
    </row>
    <row r="939" spans="1:44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AQ939" s="9"/>
      <c r="AR939" s="9"/>
    </row>
    <row r="940" spans="1:44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AQ940" s="9"/>
      <c r="AR940" s="9"/>
    </row>
    <row r="941" spans="1:44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AQ941" s="9"/>
      <c r="AR941" s="9"/>
    </row>
    <row r="942" spans="1:44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AQ942" s="9"/>
      <c r="AR942" s="9"/>
    </row>
    <row r="943" spans="1:44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AQ943" s="9"/>
      <c r="AR943" s="9"/>
    </row>
    <row r="944" spans="1:44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AQ944" s="9"/>
      <c r="AR944" s="9"/>
    </row>
    <row r="945" spans="1:44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AQ945" s="9"/>
      <c r="AR945" s="9"/>
    </row>
    <row r="946" spans="1:44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AQ946" s="9"/>
      <c r="AR946" s="9"/>
    </row>
    <row r="947" spans="1:44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AQ947" s="9"/>
      <c r="AR947" s="9"/>
    </row>
    <row r="948" spans="1:44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AQ948" s="9"/>
      <c r="AR948" s="9"/>
    </row>
    <row r="949" spans="1:44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AQ949" s="9"/>
      <c r="AR949" s="9"/>
    </row>
    <row r="950" spans="1:44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AQ950" s="9"/>
      <c r="AR950" s="9"/>
    </row>
    <row r="951" spans="1:44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AQ951" s="9"/>
      <c r="AR951" s="9"/>
    </row>
    <row r="952" spans="1:44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AQ952" s="9"/>
      <c r="AR952" s="9"/>
    </row>
    <row r="953" spans="1:44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AQ953" s="9"/>
      <c r="AR953" s="9"/>
    </row>
    <row r="954" spans="1:44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AQ954" s="9"/>
      <c r="AR954" s="9"/>
    </row>
    <row r="955" spans="1:44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AQ955" s="9"/>
      <c r="AR955" s="9"/>
    </row>
    <row r="956" spans="1:44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AQ956" s="9"/>
      <c r="AR956" s="9"/>
    </row>
    <row r="957" spans="1:44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AQ957" s="9"/>
      <c r="AR957" s="9"/>
    </row>
    <row r="958" spans="1:44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AQ958" s="9"/>
      <c r="AR958" s="9"/>
    </row>
    <row r="959" spans="1:44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AQ959" s="9"/>
      <c r="AR959" s="9"/>
    </row>
    <row r="960" spans="1:44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AQ960" s="9"/>
      <c r="AR960" s="9"/>
    </row>
    <row r="961" spans="1:44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AQ961" s="9"/>
      <c r="AR961" s="9"/>
    </row>
    <row r="962" spans="1:44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AQ962" s="9"/>
      <c r="AR962" s="9"/>
    </row>
    <row r="963" spans="1:44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AQ963" s="9"/>
      <c r="AR963" s="9"/>
    </row>
    <row r="964" spans="1:44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AQ964" s="9"/>
      <c r="AR964" s="9"/>
    </row>
    <row r="965" spans="1:44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AQ965" s="9"/>
      <c r="AR965" s="9"/>
    </row>
    <row r="966" spans="1:44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AQ966" s="9"/>
      <c r="AR966" s="9"/>
    </row>
    <row r="967" spans="1:44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AQ967" s="9"/>
      <c r="AR967" s="9"/>
    </row>
    <row r="968" spans="1:44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AQ968" s="9"/>
      <c r="AR968" s="9"/>
    </row>
    <row r="969" spans="1:44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AQ969" s="9"/>
      <c r="AR969" s="9"/>
    </row>
    <row r="970" spans="1:44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AQ970" s="9"/>
      <c r="AR970" s="9"/>
    </row>
    <row r="971" spans="1:44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AQ971" s="9"/>
      <c r="AR971" s="9"/>
    </row>
    <row r="972" spans="1:44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AQ972" s="9"/>
      <c r="AR972" s="9"/>
    </row>
    <row r="973" spans="1:44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AQ973" s="9"/>
      <c r="AR973" s="9"/>
    </row>
    <row r="974" spans="1:44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AQ974" s="9"/>
      <c r="AR974" s="9"/>
    </row>
    <row r="975" spans="1:44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AQ975" s="9"/>
      <c r="AR975" s="9"/>
    </row>
    <row r="976" spans="1:44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AQ976" s="9"/>
      <c r="AR976" s="9"/>
    </row>
    <row r="977" spans="1:44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AQ977" s="9"/>
      <c r="AR977" s="9"/>
    </row>
    <row r="978" spans="1:44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AQ978" s="9"/>
      <c r="AR978" s="9"/>
    </row>
    <row r="979" spans="1:44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AQ979" s="9"/>
      <c r="AR979" s="9"/>
    </row>
    <row r="980" spans="1:44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AQ980" s="9"/>
      <c r="AR980" s="9"/>
    </row>
    <row r="981" spans="1:44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AQ981" s="9"/>
      <c r="AR981" s="9"/>
    </row>
    <row r="982" spans="1:44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AQ982" s="9"/>
      <c r="AR982" s="9"/>
    </row>
    <row r="983" spans="1:44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AQ983" s="9"/>
      <c r="AR983" s="9"/>
    </row>
    <row r="984" spans="1:44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AQ984" s="9"/>
      <c r="AR984" s="9"/>
    </row>
    <row r="985" spans="1:44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AQ985" s="9"/>
      <c r="AR985" s="9"/>
    </row>
    <row r="986" spans="1:44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AQ986" s="9"/>
      <c r="AR986" s="9"/>
    </row>
    <row r="987" spans="1:44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AQ987" s="9"/>
      <c r="AR987" s="9"/>
    </row>
    <row r="988" spans="1:44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AQ988" s="9"/>
      <c r="AR988" s="9"/>
    </row>
    <row r="989" spans="1:44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AQ989" s="9"/>
      <c r="AR989" s="9"/>
    </row>
    <row r="990" spans="1:44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AQ990" s="9"/>
      <c r="AR990" s="9"/>
    </row>
    <row r="991" spans="1:44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AQ991" s="9"/>
      <c r="AR991" s="9"/>
    </row>
    <row r="992" spans="1:44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AQ992" s="9"/>
      <c r="AR992" s="9"/>
    </row>
    <row r="993" spans="1:44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AQ993" s="9"/>
      <c r="AR993" s="9"/>
    </row>
    <row r="994" spans="1:44" ht="13">
      <c r="AQ994" s="9"/>
      <c r="AR994" s="9"/>
    </row>
    <row r="995" spans="1:44" ht="13">
      <c r="AQ995" s="9"/>
      <c r="AR995" s="9"/>
    </row>
    <row r="996" spans="1:44" ht="13">
      <c r="AQ996" s="9"/>
      <c r="AR996" s="9"/>
    </row>
    <row r="997" spans="1:44" ht="13">
      <c r="AQ997" s="9"/>
      <c r="AR997" s="9"/>
    </row>
    <row r="998" spans="1:44" ht="13">
      <c r="AQ998" s="9"/>
      <c r="AR998" s="9"/>
    </row>
    <row r="999" spans="1:44" ht="13">
      <c r="AQ999" s="9"/>
      <c r="AR999" s="9"/>
    </row>
    <row r="1000" spans="1:44" ht="13">
      <c r="AQ1000" s="9"/>
      <c r="AR1000" s="9"/>
    </row>
    <row r="1001" spans="1:44" ht="13">
      <c r="AQ1001" s="9"/>
      <c r="AR1001" s="9"/>
    </row>
    <row r="1002" spans="1:44" ht="13">
      <c r="AQ1002" s="9"/>
      <c r="AR1002" s="9"/>
    </row>
    <row r="1003" spans="1:44" ht="13">
      <c r="AQ1003" s="9"/>
      <c r="AR1003" s="9"/>
    </row>
    <row r="1004" spans="1:44" ht="13">
      <c r="AQ1004" s="9"/>
      <c r="AR1004" s="9"/>
    </row>
    <row r="1005" spans="1:44" ht="13">
      <c r="AQ1005" s="9"/>
      <c r="AR1005" s="9"/>
    </row>
    <row r="1006" spans="1:44" ht="13">
      <c r="AQ1006" s="9"/>
      <c r="AR1006" s="9"/>
    </row>
    <row r="1007" spans="1:44" ht="13">
      <c r="AQ1007" s="9"/>
      <c r="AR1007" s="9"/>
    </row>
  </sheetData>
  <mergeCells count="26">
    <mergeCell ref="A18:B18"/>
    <mergeCell ref="C18:E18"/>
    <mergeCell ref="J18:J20"/>
    <mergeCell ref="A19:B20"/>
    <mergeCell ref="E19:E20"/>
    <mergeCell ref="I19:I20"/>
    <mergeCell ref="AO3:AO5"/>
    <mergeCell ref="AP3:AP5"/>
    <mergeCell ref="W4:W5"/>
    <mergeCell ref="AL4:AL5"/>
    <mergeCell ref="C19:C20"/>
    <mergeCell ref="D19:D20"/>
    <mergeCell ref="F18:H18"/>
    <mergeCell ref="G19:H19"/>
    <mergeCell ref="R3:S5"/>
    <mergeCell ref="T4:T5"/>
    <mergeCell ref="AK4:AK5"/>
    <mergeCell ref="T3:U3"/>
    <mergeCell ref="X3:X5"/>
    <mergeCell ref="Y3:Y5"/>
    <mergeCell ref="AI3:AJ3"/>
    <mergeCell ref="U4:U5"/>
    <mergeCell ref="V4:V5"/>
    <mergeCell ref="AG3:AH5"/>
    <mergeCell ref="AI4:AI5"/>
    <mergeCell ref="AJ4:AJ5"/>
  </mergeCells>
  <phoneticPr fontId="68" type="noConversion"/>
  <conditionalFormatting sqref="X6:X36 AM6:AO36">
    <cfRule type="cellIs" dxfId="4" priority="1" operator="greaterThan">
      <formula>240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honeticPr fontId="6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I1007"/>
  <sheetViews>
    <sheetView workbookViewId="0"/>
  </sheetViews>
  <sheetFormatPr baseColWidth="10" defaultColWidth="12.6640625" defaultRowHeight="15.75" customHeight="1"/>
  <cols>
    <col min="1" max="1" width="21.1640625" customWidth="1"/>
    <col min="2" max="7" width="7" customWidth="1"/>
    <col min="8" max="12" width="7.6640625" customWidth="1"/>
    <col min="13" max="13" width="6.6640625" hidden="1" customWidth="1"/>
    <col min="14" max="18" width="6.6640625" customWidth="1"/>
    <col min="19" max="29" width="4.6640625" customWidth="1"/>
    <col min="30" max="30" width="7.33203125" customWidth="1"/>
    <col min="31" max="31" width="24.33203125" customWidth="1"/>
    <col min="33" max="33" width="9" customWidth="1"/>
    <col min="34" max="34" width="5.1640625" customWidth="1"/>
    <col min="35" max="36" width="4.6640625" customWidth="1"/>
    <col min="37" max="38" width="7.6640625" customWidth="1"/>
    <col min="40" max="40" width="16.33203125" customWidth="1"/>
    <col min="41" max="41" width="9.1640625" customWidth="1"/>
    <col min="42" max="42" width="25.5" customWidth="1"/>
    <col min="43" max="43" width="3.83203125" customWidth="1"/>
    <col min="44" max="45" width="7.33203125" customWidth="1"/>
    <col min="46" max="46" width="24.33203125" customWidth="1"/>
    <col min="48" max="48" width="9" customWidth="1"/>
    <col min="49" max="49" width="9.1640625" customWidth="1"/>
    <col min="50" max="51" width="4.6640625" customWidth="1"/>
    <col min="52" max="53" width="7.6640625" customWidth="1"/>
    <col min="55" max="55" width="16.33203125" customWidth="1"/>
    <col min="56" max="58" width="9.1640625" customWidth="1"/>
    <col min="59" max="59" width="25.5" customWidth="1"/>
    <col min="60" max="61" width="12.83203125" customWidth="1"/>
  </cols>
  <sheetData>
    <row r="1" spans="1:61" ht="15.75" customHeight="1">
      <c r="A1" s="54"/>
      <c r="B1" s="54"/>
      <c r="C1" s="54"/>
      <c r="D1" s="54"/>
      <c r="E1" s="54"/>
      <c r="F1" s="54"/>
      <c r="G1" s="54"/>
      <c r="H1" s="132"/>
      <c r="J1" s="3"/>
      <c r="K1" s="132"/>
      <c r="L1" s="3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5" t="s">
        <v>0</v>
      </c>
      <c r="AE1" s="5"/>
      <c r="AI1" s="4"/>
      <c r="AJ1" s="4"/>
      <c r="AO1" s="4"/>
      <c r="AS1" s="5" t="s">
        <v>83</v>
      </c>
      <c r="AT1" s="5"/>
      <c r="AX1" s="4"/>
      <c r="AY1" s="4"/>
      <c r="BD1" s="4"/>
      <c r="BE1" s="4"/>
      <c r="BF1" s="4"/>
      <c r="BG1" s="6" t="s">
        <v>2</v>
      </c>
      <c r="BH1" s="7"/>
      <c r="BI1" s="8"/>
    </row>
    <row r="2" spans="1:61">
      <c r="A2" s="54"/>
      <c r="B2" s="54"/>
      <c r="C2" s="54"/>
      <c r="D2" s="54"/>
      <c r="E2" s="54"/>
      <c r="F2" s="54"/>
      <c r="G2" s="54"/>
      <c r="H2" s="132"/>
      <c r="J2" s="3"/>
      <c r="K2" s="3"/>
      <c r="L2" s="3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 t="s">
        <v>5</v>
      </c>
      <c r="AE2" s="4" t="s">
        <v>6</v>
      </c>
      <c r="AI2" s="4"/>
      <c r="AJ2" s="4"/>
      <c r="AO2" s="4"/>
      <c r="AX2" s="4"/>
      <c r="AY2" s="4"/>
      <c r="BD2" s="4"/>
      <c r="BE2" s="4"/>
      <c r="BF2" s="4"/>
      <c r="BH2" s="9"/>
      <c r="BI2" s="9"/>
    </row>
    <row r="3" spans="1:61" ht="15.75" customHeight="1">
      <c r="A3" s="54"/>
      <c r="B3" s="54"/>
      <c r="C3" s="54"/>
      <c r="D3" s="54"/>
      <c r="E3" s="54"/>
      <c r="F3" s="803"/>
      <c r="G3" s="794"/>
      <c r="H3" s="133"/>
      <c r="I3" s="74" t="s">
        <v>15</v>
      </c>
      <c r="J3" s="810" t="s">
        <v>88</v>
      </c>
      <c r="K3" s="794"/>
      <c r="L3" s="794"/>
      <c r="M3" s="14"/>
      <c r="N3" s="793" t="s">
        <v>11</v>
      </c>
      <c r="O3" s="794"/>
      <c r="P3" s="794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 t="s">
        <v>8</v>
      </c>
      <c r="AE3" s="13" t="s">
        <v>9</v>
      </c>
      <c r="AF3" s="4">
        <v>8</v>
      </c>
      <c r="AI3" s="789" t="s">
        <v>10</v>
      </c>
      <c r="AJ3" s="788"/>
      <c r="AK3" s="793" t="s">
        <v>11</v>
      </c>
      <c r="AL3" s="794"/>
      <c r="AM3" s="14"/>
      <c r="AN3" s="14"/>
      <c r="AO3" s="795" t="s">
        <v>12</v>
      </c>
      <c r="AP3" s="797" t="s">
        <v>13</v>
      </c>
      <c r="AQ3" s="15"/>
      <c r="AT3" s="16" t="s">
        <v>14</v>
      </c>
      <c r="AU3" s="17">
        <v>23</v>
      </c>
      <c r="AV3" s="18"/>
      <c r="AX3" s="789" t="s">
        <v>10</v>
      </c>
      <c r="AY3" s="788"/>
      <c r="AZ3" s="793" t="s">
        <v>11</v>
      </c>
      <c r="BA3" s="794"/>
      <c r="BB3" s="14"/>
      <c r="BC3" s="14"/>
      <c r="BD3" s="26"/>
      <c r="BE3" s="26"/>
      <c r="BF3" s="795" t="s">
        <v>12</v>
      </c>
      <c r="BG3" s="797" t="s">
        <v>13</v>
      </c>
      <c r="BH3" s="19"/>
      <c r="BI3" s="19"/>
    </row>
    <row r="4" spans="1:61">
      <c r="A4" s="54"/>
      <c r="B4" s="54"/>
      <c r="C4" s="54"/>
      <c r="D4" s="54"/>
      <c r="E4" s="54"/>
      <c r="F4" s="789" t="s">
        <v>10</v>
      </c>
      <c r="G4" s="788"/>
      <c r="H4" s="86"/>
      <c r="I4" s="807" t="s">
        <v>65</v>
      </c>
      <c r="J4" s="80" t="s">
        <v>3</v>
      </c>
      <c r="K4" s="785" t="s">
        <v>66</v>
      </c>
      <c r="L4" s="802"/>
      <c r="M4" s="134"/>
      <c r="N4" s="80" t="s">
        <v>3</v>
      </c>
      <c r="O4" s="785" t="s">
        <v>66</v>
      </c>
      <c r="P4" s="802"/>
      <c r="Q4" s="807" t="s">
        <v>89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 t="s">
        <v>16</v>
      </c>
      <c r="AF4" s="23">
        <f>SUM(I6:I36)/31</f>
        <v>47849.462365591389</v>
      </c>
      <c r="AI4" s="790"/>
      <c r="AJ4" s="788"/>
      <c r="AK4" s="792" t="s">
        <v>17</v>
      </c>
      <c r="AL4" s="785" t="s">
        <v>18</v>
      </c>
      <c r="AM4" s="787" t="s">
        <v>19</v>
      </c>
      <c r="AN4" s="787" t="s">
        <v>20</v>
      </c>
      <c r="AO4" s="796"/>
      <c r="AP4" s="798"/>
      <c r="AQ4" s="15"/>
      <c r="AT4" s="28" t="s">
        <v>21</v>
      </c>
      <c r="AU4" s="4">
        <v>7</v>
      </c>
      <c r="AV4" s="29" t="s">
        <v>22</v>
      </c>
      <c r="AX4" s="790"/>
      <c r="AY4" s="788"/>
      <c r="AZ4" s="792" t="s">
        <v>17</v>
      </c>
      <c r="BA4" s="785" t="s">
        <v>18</v>
      </c>
      <c r="BB4" s="787" t="s">
        <v>19</v>
      </c>
      <c r="BC4" s="787" t="s">
        <v>20</v>
      </c>
      <c r="BD4" s="26"/>
      <c r="BE4" s="26"/>
      <c r="BF4" s="796"/>
      <c r="BG4" s="798"/>
      <c r="BH4" s="123"/>
    </row>
    <row r="5" spans="1:61">
      <c r="A5" s="54"/>
      <c r="B5" s="70" t="s">
        <v>90</v>
      </c>
      <c r="C5" s="70" t="s">
        <v>91</v>
      </c>
      <c r="D5" s="54"/>
      <c r="E5" s="54"/>
      <c r="F5" s="791"/>
      <c r="G5" s="786"/>
      <c r="H5" s="81" t="s">
        <v>89</v>
      </c>
      <c r="I5" s="786"/>
      <c r="J5" s="80" t="s">
        <v>63</v>
      </c>
      <c r="K5" s="25" t="s">
        <v>18</v>
      </c>
      <c r="L5" s="81" t="s">
        <v>69</v>
      </c>
      <c r="M5" s="134"/>
      <c r="N5" s="80" t="s">
        <v>63</v>
      </c>
      <c r="O5" s="25" t="s">
        <v>18</v>
      </c>
      <c r="P5" s="81" t="s">
        <v>69</v>
      </c>
      <c r="Q5" s="786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 t="s">
        <v>25</v>
      </c>
      <c r="AF5" s="32">
        <v>300</v>
      </c>
      <c r="AG5" s="4" t="s">
        <v>26</v>
      </c>
      <c r="AI5" s="791"/>
      <c r="AJ5" s="786"/>
      <c r="AK5" s="786"/>
      <c r="AL5" s="786"/>
      <c r="AM5" s="788"/>
      <c r="AN5" s="788"/>
      <c r="AO5" s="796"/>
      <c r="AP5" s="799"/>
      <c r="AQ5" s="15"/>
      <c r="AT5" s="28" t="s">
        <v>27</v>
      </c>
      <c r="AU5" s="35">
        <v>5350</v>
      </c>
      <c r="AV5" s="36">
        <f>AV6/(AU3+AU4)</f>
        <v>5333.333333333333</v>
      </c>
      <c r="AX5" s="791"/>
      <c r="AY5" s="786"/>
      <c r="AZ5" s="786"/>
      <c r="BA5" s="786"/>
      <c r="BB5" s="788"/>
      <c r="BC5" s="788"/>
      <c r="BD5" s="26"/>
      <c r="BE5" s="26"/>
      <c r="BF5" s="796"/>
      <c r="BG5" s="799"/>
      <c r="BH5" s="124"/>
      <c r="BI5" s="19"/>
    </row>
    <row r="6" spans="1:61">
      <c r="A6" s="70" t="s">
        <v>92</v>
      </c>
      <c r="B6" s="135">
        <v>300</v>
      </c>
      <c r="C6" s="135">
        <v>200</v>
      </c>
      <c r="D6" s="54"/>
      <c r="E6" s="54"/>
      <c r="F6" s="68">
        <v>43556</v>
      </c>
      <c r="G6" s="51" t="s">
        <v>41</v>
      </c>
      <c r="H6" s="105">
        <f t="shared" ref="H6:H35" si="0">IF(E6="Break",$C$6/2,$C$6)</f>
        <v>200</v>
      </c>
      <c r="I6" s="105">
        <f t="shared" ref="I6:I35" si="1">$B$11*H6</f>
        <v>59333.333333333336</v>
      </c>
      <c r="J6" s="105">
        <f t="shared" ref="J6:J19" si="2">IF(E6="break",0,L6)</f>
        <v>11333.333333333336</v>
      </c>
      <c r="K6" s="136">
        <v>6000</v>
      </c>
      <c r="L6" s="136">
        <f t="shared" ref="L6:L35" si="3">I6-K6*$B$9</f>
        <v>11333.333333333336</v>
      </c>
      <c r="M6" s="136">
        <f t="shared" ref="M6:M35" si="4">$C$22*$C$11</f>
        <v>62108.333333333328</v>
      </c>
      <c r="N6" s="136">
        <f t="shared" ref="N6:N35" si="5">IF(E6="Break",J6,(M6-K6*$C$9))</f>
        <v>14108.333333333328</v>
      </c>
      <c r="O6" s="136">
        <v>6000</v>
      </c>
      <c r="P6" s="105">
        <f t="shared" ref="P6:P35" si="6">L6</f>
        <v>11333.333333333336</v>
      </c>
      <c r="Q6" s="18">
        <f t="shared" ref="Q6:Q35" si="7">(N6+O6*$C$9)/$C$11</f>
        <v>209.35393258426964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 t="s">
        <v>28</v>
      </c>
      <c r="AF6" s="32">
        <v>0</v>
      </c>
      <c r="AG6" s="4" t="s">
        <v>26</v>
      </c>
      <c r="AI6" s="73">
        <v>43556</v>
      </c>
      <c r="AJ6" s="51" t="s">
        <v>41</v>
      </c>
      <c r="AK6" s="39">
        <f t="shared" ref="AK6:AK8" si="8">AM6</f>
        <v>-9720.4301075268886</v>
      </c>
      <c r="AL6" s="39">
        <f t="shared" ref="AL6:AL22" si="9">K6</f>
        <v>6000</v>
      </c>
      <c r="AM6" s="23">
        <f t="shared" ref="AM6:AM35" si="10">$AF$11-(AL6*$AF$3)</f>
        <v>-9720.4301075268886</v>
      </c>
      <c r="AN6" t="s">
        <v>23</v>
      </c>
      <c r="AO6" s="40">
        <f t="shared" ref="AO6:AO36" si="11">(AK6+AL6*$AF$3)/$AF$9</f>
        <v>240</v>
      </c>
      <c r="AP6" s="41"/>
      <c r="AQ6" s="15"/>
      <c r="AT6" s="28" t="s">
        <v>30</v>
      </c>
      <c r="AU6" s="23">
        <f>AU5*(AU3+AU4)</f>
        <v>160500</v>
      </c>
      <c r="AV6" s="42">
        <f>BA37</f>
        <v>160000</v>
      </c>
      <c r="AX6" s="73">
        <v>43556</v>
      </c>
      <c r="AY6" s="51" t="s">
        <v>41</v>
      </c>
      <c r="AZ6" s="39" t="str">
        <f t="shared" ref="AZ6:AZ8" si="12">BB6</f>
        <v>#REF!</v>
      </c>
      <c r="BA6" s="39">
        <f t="shared" ref="BA6:BA8" si="13">AL6</f>
        <v>6000</v>
      </c>
      <c r="BB6" s="39" t="s">
        <v>567</v>
      </c>
      <c r="BC6" t="s">
        <v>567</v>
      </c>
      <c r="BD6" s="125"/>
      <c r="BE6" s="125"/>
      <c r="BF6" s="40" t="e">
        <f t="shared" ref="BF6:BF36" si="14">(AZ6+BA6*$AU$19)/$AU$10</f>
        <v>#VALUE!</v>
      </c>
      <c r="BG6" s="41"/>
      <c r="BH6" s="19"/>
      <c r="BI6" s="19"/>
    </row>
    <row r="7" spans="1:61">
      <c r="A7" s="70" t="s">
        <v>93</v>
      </c>
      <c r="B7" s="135">
        <v>8000</v>
      </c>
      <c r="C7" s="137"/>
      <c r="D7" s="54"/>
      <c r="E7" s="54"/>
      <c r="F7" s="73">
        <v>43557</v>
      </c>
      <c r="G7" s="38" t="s">
        <v>46</v>
      </c>
      <c r="H7" s="39">
        <f t="shared" si="0"/>
        <v>200</v>
      </c>
      <c r="I7" s="39">
        <f t="shared" si="1"/>
        <v>59333.333333333336</v>
      </c>
      <c r="J7" s="39">
        <f t="shared" si="2"/>
        <v>15333.333333333336</v>
      </c>
      <c r="K7" s="138">
        <v>5500</v>
      </c>
      <c r="L7" s="138">
        <f t="shared" si="3"/>
        <v>15333.333333333336</v>
      </c>
      <c r="M7" s="138">
        <f t="shared" si="4"/>
        <v>62108.333333333328</v>
      </c>
      <c r="N7" s="138">
        <f t="shared" si="5"/>
        <v>18108.333333333328</v>
      </c>
      <c r="O7" s="138">
        <v>5500</v>
      </c>
      <c r="P7" s="39">
        <f t="shared" si="6"/>
        <v>15333.333333333336</v>
      </c>
      <c r="Q7" s="27">
        <f t="shared" si="7"/>
        <v>209.35393258426964</v>
      </c>
      <c r="S7" s="4"/>
      <c r="T7" s="4"/>
      <c r="U7" s="4" t="s">
        <v>94</v>
      </c>
      <c r="V7" s="4">
        <v>200</v>
      </c>
      <c r="W7" s="4">
        <v>250</v>
      </c>
      <c r="X7" s="4">
        <v>300</v>
      </c>
      <c r="Y7" s="4"/>
      <c r="Z7" s="4"/>
      <c r="AA7" s="4"/>
      <c r="AB7" s="4"/>
      <c r="AC7" s="4"/>
      <c r="AD7" s="4"/>
      <c r="AE7" s="4" t="s">
        <v>32</v>
      </c>
      <c r="AF7" s="43">
        <v>0.5</v>
      </c>
      <c r="AG7" s="4" t="s">
        <v>26</v>
      </c>
      <c r="AI7" s="73">
        <v>43557</v>
      </c>
      <c r="AJ7" s="38" t="s">
        <v>46</v>
      </c>
      <c r="AK7" s="39">
        <f t="shared" si="8"/>
        <v>-5720.4301075268886</v>
      </c>
      <c r="AL7" s="39">
        <f t="shared" si="9"/>
        <v>5500</v>
      </c>
      <c r="AM7" s="23">
        <f t="shared" si="10"/>
        <v>-5720.4301075268886</v>
      </c>
      <c r="AN7" t="s">
        <v>23</v>
      </c>
      <c r="AO7" s="40">
        <f t="shared" si="11"/>
        <v>240</v>
      </c>
      <c r="AP7" s="41"/>
      <c r="AQ7" s="15"/>
      <c r="AT7" s="28" t="s">
        <v>34</v>
      </c>
      <c r="AU7" s="23">
        <f>AU6*AU30</f>
        <v>396796.00778967864</v>
      </c>
      <c r="AV7" s="42">
        <f>AZ37</f>
        <v>-18720.430107526889</v>
      </c>
      <c r="AW7">
        <f>AU7-AV7</f>
        <v>415516.43789720553</v>
      </c>
      <c r="AX7" s="73">
        <v>43557</v>
      </c>
      <c r="AY7" s="38" t="s">
        <v>46</v>
      </c>
      <c r="AZ7" s="39" t="str">
        <f t="shared" si="12"/>
        <v>#REF!</v>
      </c>
      <c r="BA7" s="39">
        <f t="shared" si="13"/>
        <v>5500</v>
      </c>
      <c r="BB7" s="39" t="s">
        <v>567</v>
      </c>
      <c r="BC7" t="s">
        <v>567</v>
      </c>
      <c r="BD7" s="125"/>
      <c r="BE7" s="125"/>
      <c r="BF7" s="40" t="e">
        <f t="shared" si="14"/>
        <v>#VALUE!</v>
      </c>
      <c r="BG7" s="41"/>
      <c r="BH7" s="19"/>
      <c r="BI7" s="19"/>
    </row>
    <row r="8" spans="1:61">
      <c r="A8" s="70" t="s">
        <v>95</v>
      </c>
      <c r="B8" s="135">
        <v>25000</v>
      </c>
      <c r="C8" s="137"/>
      <c r="D8" s="54"/>
      <c r="E8" s="54"/>
      <c r="F8" s="73">
        <v>43558</v>
      </c>
      <c r="G8" s="38" t="s">
        <v>49</v>
      </c>
      <c r="H8" s="39">
        <f t="shared" si="0"/>
        <v>200</v>
      </c>
      <c r="I8" s="39">
        <f t="shared" si="1"/>
        <v>59333.333333333336</v>
      </c>
      <c r="J8" s="39">
        <f t="shared" si="2"/>
        <v>19333.333333333336</v>
      </c>
      <c r="K8" s="138">
        <v>5000</v>
      </c>
      <c r="L8" s="138">
        <f t="shared" si="3"/>
        <v>19333.333333333336</v>
      </c>
      <c r="M8" s="138">
        <f t="shared" si="4"/>
        <v>62108.333333333328</v>
      </c>
      <c r="N8" s="138">
        <f t="shared" si="5"/>
        <v>22108.333333333328</v>
      </c>
      <c r="O8" s="138">
        <v>5000</v>
      </c>
      <c r="P8" s="39">
        <f t="shared" si="6"/>
        <v>19333.333333333336</v>
      </c>
      <c r="Q8" s="27">
        <f t="shared" si="7"/>
        <v>209.35393258426964</v>
      </c>
      <c r="S8" s="4"/>
      <c r="T8" s="4" t="s">
        <v>96</v>
      </c>
      <c r="U8" s="4">
        <v>8</v>
      </c>
      <c r="V8" s="4" t="e">
        <f>total pcs handled</f>
        <v>#NAME?</v>
      </c>
      <c r="W8" s="4"/>
      <c r="X8" s="4"/>
      <c r="Y8" s="4"/>
      <c r="Z8" s="4"/>
      <c r="AA8" s="4"/>
      <c r="AB8" s="4"/>
      <c r="AC8" s="4"/>
      <c r="AD8" s="4"/>
      <c r="AE8" s="4" t="s">
        <v>36</v>
      </c>
      <c r="AF8" s="23">
        <f>AF5+AF6*AF7</f>
        <v>300</v>
      </c>
      <c r="AI8" s="73">
        <v>43558</v>
      </c>
      <c r="AJ8" s="38" t="s">
        <v>49</v>
      </c>
      <c r="AK8" s="39">
        <f t="shared" si="8"/>
        <v>-1720.4301075268886</v>
      </c>
      <c r="AL8" s="46">
        <f t="shared" si="9"/>
        <v>5000</v>
      </c>
      <c r="AM8" s="47">
        <f t="shared" si="10"/>
        <v>-1720.4301075268886</v>
      </c>
      <c r="AN8" s="34" t="s">
        <v>23</v>
      </c>
      <c r="AO8" s="48">
        <f t="shared" si="11"/>
        <v>240</v>
      </c>
      <c r="AP8" s="49"/>
      <c r="AQ8" s="15"/>
      <c r="AT8" s="28" t="s">
        <v>38</v>
      </c>
      <c r="AU8" t="e">
        <f>AU7+AU6*AU19</f>
        <v>#REF!</v>
      </c>
      <c r="AV8" s="27"/>
      <c r="AX8" s="73">
        <v>43558</v>
      </c>
      <c r="AY8" s="38" t="s">
        <v>49</v>
      </c>
      <c r="AZ8" s="39" t="str">
        <f t="shared" si="12"/>
        <v>#REF!</v>
      </c>
      <c r="BA8" s="39">
        <f t="shared" si="13"/>
        <v>5000</v>
      </c>
      <c r="BB8" s="46" t="s">
        <v>567</v>
      </c>
      <c r="BC8" s="34" t="s">
        <v>567</v>
      </c>
      <c r="BD8" s="125"/>
      <c r="BE8" s="125"/>
      <c r="BF8" s="40" t="e">
        <f t="shared" si="14"/>
        <v>#VALUE!</v>
      </c>
      <c r="BG8" s="49"/>
      <c r="BH8" s="19"/>
      <c r="BI8" s="19"/>
    </row>
    <row r="9" spans="1:61">
      <c r="A9" s="70" t="s">
        <v>97</v>
      </c>
      <c r="B9" s="135">
        <v>8</v>
      </c>
      <c r="C9" s="135">
        <v>8</v>
      </c>
      <c r="D9" s="54"/>
      <c r="E9" s="70" t="s">
        <v>98</v>
      </c>
      <c r="F9" s="139">
        <v>43559</v>
      </c>
      <c r="G9" s="38" t="s">
        <v>51</v>
      </c>
      <c r="H9" s="39">
        <f t="shared" si="0"/>
        <v>100</v>
      </c>
      <c r="I9" s="39">
        <f t="shared" si="1"/>
        <v>29666.666666666668</v>
      </c>
      <c r="J9" s="39">
        <f t="shared" si="2"/>
        <v>0</v>
      </c>
      <c r="K9" s="138">
        <v>5000</v>
      </c>
      <c r="L9" s="138">
        <f t="shared" si="3"/>
        <v>-10333.333333333332</v>
      </c>
      <c r="M9" s="138">
        <f t="shared" si="4"/>
        <v>62108.333333333328</v>
      </c>
      <c r="N9" s="138">
        <f t="shared" si="5"/>
        <v>0</v>
      </c>
      <c r="O9" s="138">
        <v>5000</v>
      </c>
      <c r="P9" s="39">
        <f t="shared" si="6"/>
        <v>-10333.333333333332</v>
      </c>
      <c r="Q9" s="27">
        <f t="shared" si="7"/>
        <v>134.83146067415728</v>
      </c>
      <c r="S9" s="4"/>
      <c r="T9" s="4"/>
      <c r="U9" s="4">
        <v>7</v>
      </c>
      <c r="V9" s="4"/>
      <c r="W9" s="4"/>
      <c r="X9" s="4"/>
      <c r="Y9" s="4"/>
      <c r="Z9" s="4"/>
      <c r="AA9" s="4"/>
      <c r="AB9" s="4"/>
      <c r="AC9" s="4"/>
      <c r="AD9" s="4"/>
      <c r="AE9" s="4" t="s">
        <v>40</v>
      </c>
      <c r="AF9" s="23">
        <f>AF4/AF8</f>
        <v>159.49820788530462</v>
      </c>
      <c r="AI9" s="140">
        <v>43559</v>
      </c>
      <c r="AJ9" s="38" t="s">
        <v>51</v>
      </c>
      <c r="AK9" s="39">
        <v>0</v>
      </c>
      <c r="AL9" s="52">
        <f t="shared" si="9"/>
        <v>5000</v>
      </c>
      <c r="AM9" s="23">
        <f t="shared" si="10"/>
        <v>-1720.4301075268886</v>
      </c>
      <c r="AN9" t="s">
        <v>568</v>
      </c>
      <c r="AO9" s="40">
        <f t="shared" si="11"/>
        <v>250.78651685393265</v>
      </c>
      <c r="AP9" s="53" t="s">
        <v>42</v>
      </c>
      <c r="AQ9" s="54"/>
      <c r="AT9" s="28" t="s">
        <v>43</v>
      </c>
      <c r="AU9" s="23" t="e">
        <f>AU8/(AU3+AU4/2)</f>
        <v>#REF!</v>
      </c>
      <c r="AV9" s="27"/>
      <c r="AW9" s="4" t="s">
        <v>84</v>
      </c>
      <c r="AX9" s="140">
        <v>43559</v>
      </c>
      <c r="AY9" s="38" t="s">
        <v>51</v>
      </c>
      <c r="AZ9" s="39">
        <f t="shared" ref="AZ9:BA9" si="15">AK9</f>
        <v>0</v>
      </c>
      <c r="BA9" s="39">
        <f t="shared" si="15"/>
        <v>5000</v>
      </c>
      <c r="BB9" s="39" t="s">
        <v>567</v>
      </c>
      <c r="BC9" t="s">
        <v>567</v>
      </c>
      <c r="BD9" s="125"/>
      <c r="BE9" s="125"/>
      <c r="BF9" s="40" t="e">
        <f t="shared" si="14"/>
        <v>#REF!</v>
      </c>
      <c r="BG9" s="53" t="s">
        <v>42</v>
      </c>
      <c r="BH9" s="19"/>
      <c r="BI9" s="19"/>
    </row>
    <row r="10" spans="1:61">
      <c r="A10" s="70" t="s">
        <v>99</v>
      </c>
      <c r="B10" s="135">
        <f>B7*B9+B8</f>
        <v>89000</v>
      </c>
      <c r="C10" s="137">
        <f>B10/B6*C6</f>
        <v>59333.333333333336</v>
      </c>
      <c r="D10" s="54"/>
      <c r="E10" s="70" t="s">
        <v>98</v>
      </c>
      <c r="F10" s="139">
        <v>43560</v>
      </c>
      <c r="G10" s="38" t="s">
        <v>29</v>
      </c>
      <c r="H10" s="39">
        <f t="shared" si="0"/>
        <v>100</v>
      </c>
      <c r="I10" s="39">
        <f t="shared" si="1"/>
        <v>29666.666666666668</v>
      </c>
      <c r="J10" s="39">
        <f t="shared" si="2"/>
        <v>0</v>
      </c>
      <c r="K10" s="138">
        <v>4500</v>
      </c>
      <c r="L10" s="138">
        <f t="shared" si="3"/>
        <v>-6333.3333333333321</v>
      </c>
      <c r="M10" s="138">
        <f t="shared" si="4"/>
        <v>62108.333333333328</v>
      </c>
      <c r="N10" s="138">
        <f t="shared" si="5"/>
        <v>0</v>
      </c>
      <c r="O10" s="138">
        <v>4500</v>
      </c>
      <c r="P10" s="39">
        <f t="shared" si="6"/>
        <v>-6333.3333333333321</v>
      </c>
      <c r="Q10" s="27">
        <f t="shared" si="7"/>
        <v>121.34831460674157</v>
      </c>
      <c r="R10" s="13"/>
      <c r="U10" s="4">
        <v>6</v>
      </c>
      <c r="AD10" s="4" t="s">
        <v>11</v>
      </c>
      <c r="AE10" s="4" t="s">
        <v>45</v>
      </c>
      <c r="AF10" s="23">
        <f>AF8*AG10</f>
        <v>240</v>
      </c>
      <c r="AG10" s="59">
        <v>0.8</v>
      </c>
      <c r="AI10" s="140">
        <v>43560</v>
      </c>
      <c r="AJ10" s="38" t="s">
        <v>29</v>
      </c>
      <c r="AK10" s="39">
        <v>0</v>
      </c>
      <c r="AL10" s="39">
        <f t="shared" si="9"/>
        <v>4500</v>
      </c>
      <c r="AM10" s="23">
        <f t="shared" si="10"/>
        <v>2279.5698924731114</v>
      </c>
      <c r="AN10" t="s">
        <v>569</v>
      </c>
      <c r="AO10" s="40">
        <f t="shared" si="11"/>
        <v>225.70786516853937</v>
      </c>
      <c r="AP10" s="41"/>
      <c r="AQ10" s="15"/>
      <c r="AT10" s="28" t="s">
        <v>47</v>
      </c>
      <c r="AU10" s="126" t="e">
        <f>'[1]WH labor'!AF16</f>
        <v>#REF!</v>
      </c>
      <c r="AV10" s="27"/>
      <c r="AW10" s="4">
        <v>21</v>
      </c>
      <c r="AX10" s="140">
        <v>43560</v>
      </c>
      <c r="AY10" s="38" t="s">
        <v>29</v>
      </c>
      <c r="AZ10" s="39">
        <f t="shared" ref="AZ10:BA10" si="16">AK10</f>
        <v>0</v>
      </c>
      <c r="BA10" s="39">
        <f t="shared" si="16"/>
        <v>4500</v>
      </c>
      <c r="BB10" s="39" t="s">
        <v>567</v>
      </c>
      <c r="BC10" t="s">
        <v>567</v>
      </c>
      <c r="BD10" s="125"/>
      <c r="BE10" s="125"/>
      <c r="BF10" s="40" t="e">
        <f t="shared" si="14"/>
        <v>#REF!</v>
      </c>
      <c r="BG10" s="41"/>
      <c r="BH10" s="19"/>
      <c r="BI10" s="19"/>
    </row>
    <row r="11" spans="1:61">
      <c r="A11" s="70" t="s">
        <v>100</v>
      </c>
      <c r="B11" s="135">
        <f t="shared" ref="B11:C11" si="17">B10/B6</f>
        <v>296.66666666666669</v>
      </c>
      <c r="C11" s="135">
        <f t="shared" si="17"/>
        <v>296.66666666666669</v>
      </c>
      <c r="D11" s="54"/>
      <c r="E11" s="70" t="s">
        <v>98</v>
      </c>
      <c r="F11" s="139">
        <v>43561</v>
      </c>
      <c r="G11" s="38" t="s">
        <v>33</v>
      </c>
      <c r="H11" s="39">
        <f t="shared" si="0"/>
        <v>100</v>
      </c>
      <c r="I11" s="39">
        <f t="shared" si="1"/>
        <v>29666.666666666668</v>
      </c>
      <c r="J11" s="39">
        <f t="shared" si="2"/>
        <v>0</v>
      </c>
      <c r="K11" s="138">
        <v>4000</v>
      </c>
      <c r="L11" s="138">
        <f t="shared" si="3"/>
        <v>-2333.3333333333321</v>
      </c>
      <c r="M11" s="138">
        <f t="shared" si="4"/>
        <v>62108.333333333328</v>
      </c>
      <c r="N11" s="138">
        <f t="shared" si="5"/>
        <v>0</v>
      </c>
      <c r="O11" s="138">
        <v>4000</v>
      </c>
      <c r="P11" s="39">
        <f t="shared" si="6"/>
        <v>-2333.3333333333321</v>
      </c>
      <c r="Q11" s="27">
        <f t="shared" si="7"/>
        <v>107.86516853932584</v>
      </c>
      <c r="U11" s="4">
        <v>5</v>
      </c>
      <c r="AE11" s="4" t="s">
        <v>48</v>
      </c>
      <c r="AF11" s="23">
        <f>AF10*AF9</f>
        <v>38279.569892473111</v>
      </c>
      <c r="AI11" s="140">
        <v>43561</v>
      </c>
      <c r="AJ11" s="38" t="s">
        <v>33</v>
      </c>
      <c r="AK11" s="39">
        <v>0</v>
      </c>
      <c r="AL11" s="39">
        <f t="shared" si="9"/>
        <v>4000</v>
      </c>
      <c r="AM11" s="23">
        <f t="shared" si="10"/>
        <v>6279.5698924731114</v>
      </c>
      <c r="AN11" t="s">
        <v>570</v>
      </c>
      <c r="AO11" s="40">
        <f t="shared" si="11"/>
        <v>200.62921348314612</v>
      </c>
      <c r="AP11" s="41"/>
      <c r="AQ11" s="15"/>
      <c r="AT11" s="28" t="s">
        <v>50</v>
      </c>
      <c r="AU11" s="60" t="e">
        <f>AU9/AU19</f>
        <v>#REF!</v>
      </c>
      <c r="AV11" s="27"/>
      <c r="AW11">
        <f>AW7/AW10</f>
        <v>19786.497042724073</v>
      </c>
      <c r="AX11" s="140">
        <v>43561</v>
      </c>
      <c r="AY11" s="38" t="s">
        <v>33</v>
      </c>
      <c r="AZ11" s="39">
        <f t="shared" ref="AZ11:BA11" si="18">AK11</f>
        <v>0</v>
      </c>
      <c r="BA11" s="39">
        <f t="shared" si="18"/>
        <v>4000</v>
      </c>
      <c r="BB11" s="39" t="s">
        <v>567</v>
      </c>
      <c r="BC11" t="s">
        <v>567</v>
      </c>
      <c r="BD11" s="125"/>
      <c r="BE11" s="125"/>
      <c r="BF11" s="40" t="e">
        <f t="shared" si="14"/>
        <v>#REF!</v>
      </c>
      <c r="BG11" s="41"/>
      <c r="BH11" s="19"/>
      <c r="BI11" s="19"/>
    </row>
    <row r="12" spans="1:61">
      <c r="A12" s="54"/>
      <c r="B12" s="135"/>
      <c r="C12" s="137"/>
      <c r="D12" s="54"/>
      <c r="E12" s="70" t="s">
        <v>98</v>
      </c>
      <c r="F12" s="141">
        <v>43562</v>
      </c>
      <c r="G12" s="45" t="s">
        <v>37</v>
      </c>
      <c r="H12" s="46">
        <f t="shared" si="0"/>
        <v>100</v>
      </c>
      <c r="I12" s="46">
        <f t="shared" si="1"/>
        <v>29666.666666666668</v>
      </c>
      <c r="J12" s="46">
        <f t="shared" si="2"/>
        <v>0</v>
      </c>
      <c r="K12" s="142">
        <v>4000</v>
      </c>
      <c r="L12" s="142">
        <f t="shared" si="3"/>
        <v>-2333.3333333333321</v>
      </c>
      <c r="M12" s="142">
        <f t="shared" si="4"/>
        <v>62108.333333333328</v>
      </c>
      <c r="N12" s="142">
        <f t="shared" si="5"/>
        <v>0</v>
      </c>
      <c r="O12" s="142">
        <v>4000</v>
      </c>
      <c r="P12" s="46">
        <f t="shared" si="6"/>
        <v>-2333.3333333333321</v>
      </c>
      <c r="Q12" s="87">
        <f t="shared" si="7"/>
        <v>107.86516853932584</v>
      </c>
      <c r="AI12" s="140">
        <v>43562</v>
      </c>
      <c r="AJ12" s="45" t="s">
        <v>37</v>
      </c>
      <c r="AK12" s="39">
        <v>0</v>
      </c>
      <c r="AL12" s="39">
        <f t="shared" si="9"/>
        <v>4000</v>
      </c>
      <c r="AM12" s="23">
        <f t="shared" si="10"/>
        <v>6279.5698924731114</v>
      </c>
      <c r="AN12" t="s">
        <v>561</v>
      </c>
      <c r="AO12" s="40">
        <f t="shared" si="11"/>
        <v>200.62921348314612</v>
      </c>
      <c r="AP12" s="41"/>
      <c r="AQ12" s="15"/>
      <c r="AT12" s="28" t="s">
        <v>52</v>
      </c>
      <c r="AU12" s="61" t="e">
        <f>AU11/AL23</f>
        <v>#REF!</v>
      </c>
      <c r="AV12" s="27"/>
      <c r="AW12" s="4" t="s">
        <v>85</v>
      </c>
      <c r="AX12" s="140">
        <v>43562</v>
      </c>
      <c r="AY12" s="45" t="s">
        <v>37</v>
      </c>
      <c r="AZ12" s="39">
        <f t="shared" ref="AZ12:BA12" si="19">AK12</f>
        <v>0</v>
      </c>
      <c r="BA12" s="39">
        <f t="shared" si="19"/>
        <v>4000</v>
      </c>
      <c r="BB12" s="39" t="s">
        <v>567</v>
      </c>
      <c r="BC12" t="s">
        <v>561</v>
      </c>
      <c r="BD12" s="125"/>
      <c r="BE12" s="125"/>
      <c r="BF12" s="40" t="e">
        <f t="shared" si="14"/>
        <v>#REF!</v>
      </c>
      <c r="BG12" s="41"/>
      <c r="BH12" s="19"/>
      <c r="BI12" s="19"/>
    </row>
    <row r="13" spans="1:61">
      <c r="B13" s="137"/>
      <c r="C13" s="137"/>
      <c r="D13" s="54"/>
      <c r="E13" s="54"/>
      <c r="F13" s="68">
        <v>43563</v>
      </c>
      <c r="G13" s="51" t="s">
        <v>41</v>
      </c>
      <c r="H13" s="105">
        <f t="shared" si="0"/>
        <v>200</v>
      </c>
      <c r="I13" s="105">
        <f t="shared" si="1"/>
        <v>59333.333333333336</v>
      </c>
      <c r="J13" s="105">
        <f t="shared" si="2"/>
        <v>11333.333333333336</v>
      </c>
      <c r="K13" s="136">
        <v>6000</v>
      </c>
      <c r="L13" s="136">
        <f t="shared" si="3"/>
        <v>11333.333333333336</v>
      </c>
      <c r="M13" s="136">
        <f t="shared" si="4"/>
        <v>62108.333333333328</v>
      </c>
      <c r="N13" s="136">
        <f t="shared" si="5"/>
        <v>14108.333333333328</v>
      </c>
      <c r="O13" s="136">
        <v>6000</v>
      </c>
      <c r="P13" s="105">
        <f t="shared" si="6"/>
        <v>11333.333333333336</v>
      </c>
      <c r="Q13" s="18">
        <f t="shared" si="7"/>
        <v>209.35393258426964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 t="s">
        <v>53</v>
      </c>
      <c r="AE13" s="4" t="s">
        <v>54</v>
      </c>
      <c r="AF13" s="4" t="s">
        <v>55</v>
      </c>
      <c r="AI13" s="73">
        <v>43563</v>
      </c>
      <c r="AJ13" s="51" t="s">
        <v>41</v>
      </c>
      <c r="AK13" s="39">
        <f t="shared" ref="AK13:AK18" si="20">AM13</f>
        <v>-9720.4301075268886</v>
      </c>
      <c r="AL13" s="39">
        <f t="shared" si="9"/>
        <v>6000</v>
      </c>
      <c r="AM13" s="23">
        <f t="shared" si="10"/>
        <v>-9720.4301075268886</v>
      </c>
      <c r="AN13" t="s">
        <v>23</v>
      </c>
      <c r="AO13" s="40">
        <f t="shared" si="11"/>
        <v>240</v>
      </c>
      <c r="AP13" s="41"/>
      <c r="AQ13" s="15"/>
      <c r="AT13" s="28" t="s">
        <v>56</v>
      </c>
      <c r="AU13" s="61">
        <f>AU7/AK37</f>
        <v>-5.1075472282962009</v>
      </c>
      <c r="AV13" s="27"/>
      <c r="AW13" t="e">
        <f>AW11/AU10</f>
        <v>#REF!</v>
      </c>
      <c r="AX13" s="73">
        <v>43563</v>
      </c>
      <c r="AY13" s="51" t="s">
        <v>41</v>
      </c>
      <c r="AZ13" s="39" t="str">
        <f t="shared" ref="AZ13:AZ18" si="21">BB13</f>
        <v>#REF!</v>
      </c>
      <c r="BA13" s="39">
        <f t="shared" ref="BA13:BA18" si="22">AL13</f>
        <v>6000</v>
      </c>
      <c r="BB13" s="39" t="s">
        <v>567</v>
      </c>
      <c r="BC13" t="s">
        <v>567</v>
      </c>
      <c r="BD13" s="125"/>
      <c r="BE13" s="125"/>
      <c r="BF13" s="40" t="e">
        <f t="shared" si="14"/>
        <v>#VALUE!</v>
      </c>
      <c r="BG13" s="41"/>
      <c r="BH13" s="19"/>
      <c r="BI13" s="19"/>
    </row>
    <row r="14" spans="1:61">
      <c r="A14" s="70" t="s">
        <v>101</v>
      </c>
      <c r="B14" s="135">
        <v>30</v>
      </c>
      <c r="C14" s="135">
        <v>30</v>
      </c>
      <c r="D14" s="54"/>
      <c r="E14" s="54"/>
      <c r="F14" s="73">
        <v>43564</v>
      </c>
      <c r="G14" s="38" t="s">
        <v>46</v>
      </c>
      <c r="H14" s="39">
        <f t="shared" si="0"/>
        <v>200</v>
      </c>
      <c r="I14" s="39">
        <f t="shared" si="1"/>
        <v>59333.333333333336</v>
      </c>
      <c r="J14" s="39">
        <f t="shared" si="2"/>
        <v>15333.333333333336</v>
      </c>
      <c r="K14" s="138">
        <v>5500</v>
      </c>
      <c r="L14" s="138">
        <f t="shared" si="3"/>
        <v>15333.333333333336</v>
      </c>
      <c r="M14" s="138">
        <f t="shared" si="4"/>
        <v>62108.333333333328</v>
      </c>
      <c r="N14" s="138">
        <f t="shared" si="5"/>
        <v>18108.333333333328</v>
      </c>
      <c r="O14" s="138">
        <v>5500</v>
      </c>
      <c r="P14" s="39">
        <f t="shared" si="6"/>
        <v>15333.333333333336</v>
      </c>
      <c r="Q14" s="27">
        <f t="shared" si="7"/>
        <v>209.35393258426964</v>
      </c>
      <c r="S14" s="4"/>
      <c r="T14" s="4"/>
      <c r="Y14" s="4"/>
      <c r="Z14" s="4"/>
      <c r="AA14" s="4"/>
      <c r="AB14" s="4"/>
      <c r="AC14" s="4"/>
      <c r="AD14" s="4"/>
      <c r="AE14" s="4" t="s">
        <v>57</v>
      </c>
      <c r="AF14" s="62">
        <f>12695/5135</f>
        <v>2.4722492697176239</v>
      </c>
      <c r="AH14" s="63"/>
      <c r="AI14" s="73">
        <v>43564</v>
      </c>
      <c r="AJ14" s="38" t="s">
        <v>46</v>
      </c>
      <c r="AK14" s="39">
        <f t="shared" si="20"/>
        <v>-5720.4301075268886</v>
      </c>
      <c r="AL14" s="39">
        <f t="shared" si="9"/>
        <v>5500</v>
      </c>
      <c r="AM14" s="23">
        <f t="shared" si="10"/>
        <v>-5720.4301075268886</v>
      </c>
      <c r="AN14" t="s">
        <v>23</v>
      </c>
      <c r="AO14" s="40">
        <f t="shared" si="11"/>
        <v>240</v>
      </c>
      <c r="AP14" s="41"/>
      <c r="AQ14" s="15"/>
      <c r="AT14" s="28" t="s">
        <v>86</v>
      </c>
      <c r="AU14" s="127" t="e">
        <f>'[1]WH labor'!AX3</f>
        <v>#REF!</v>
      </c>
      <c r="AV14" s="27"/>
      <c r="AW14" s="63"/>
      <c r="AX14" s="73">
        <v>43564</v>
      </c>
      <c r="AY14" s="38" t="s">
        <v>46</v>
      </c>
      <c r="AZ14" s="39" t="str">
        <f t="shared" si="21"/>
        <v>#REF!</v>
      </c>
      <c r="BA14" s="39">
        <f t="shared" si="22"/>
        <v>5500</v>
      </c>
      <c r="BB14" s="39" t="s">
        <v>567</v>
      </c>
      <c r="BC14" t="s">
        <v>567</v>
      </c>
      <c r="BD14" s="125"/>
      <c r="BE14" s="125"/>
      <c r="BF14" s="40" t="e">
        <f t="shared" si="14"/>
        <v>#VALUE!</v>
      </c>
      <c r="BG14" s="41"/>
      <c r="BH14" s="19"/>
      <c r="BI14" s="19"/>
    </row>
    <row r="15" spans="1:61">
      <c r="A15" s="70" t="s">
        <v>102</v>
      </c>
      <c r="B15" s="137">
        <f>SUM(K6:K36)/B14</f>
        <v>5233.333333333333</v>
      </c>
      <c r="C15" s="137">
        <f>SUM(K6:K36)/C14</f>
        <v>5233.333333333333</v>
      </c>
      <c r="D15" s="54"/>
      <c r="E15" s="54"/>
      <c r="F15" s="73">
        <v>43565</v>
      </c>
      <c r="G15" s="38" t="s">
        <v>49</v>
      </c>
      <c r="H15" s="39">
        <f t="shared" si="0"/>
        <v>200</v>
      </c>
      <c r="I15" s="39">
        <f t="shared" si="1"/>
        <v>59333.333333333336</v>
      </c>
      <c r="J15" s="39">
        <f t="shared" si="2"/>
        <v>19333.333333333336</v>
      </c>
      <c r="K15" s="138">
        <v>5000</v>
      </c>
      <c r="L15" s="138">
        <f t="shared" si="3"/>
        <v>19333.333333333336</v>
      </c>
      <c r="M15" s="138">
        <f t="shared" si="4"/>
        <v>62108.333333333328</v>
      </c>
      <c r="N15" s="138">
        <f t="shared" si="5"/>
        <v>22108.333333333328</v>
      </c>
      <c r="O15" s="138">
        <v>5000</v>
      </c>
      <c r="P15" s="39">
        <f t="shared" si="6"/>
        <v>19333.333333333336</v>
      </c>
      <c r="Q15" s="27">
        <f t="shared" si="7"/>
        <v>209.35393258426964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 t="s">
        <v>58</v>
      </c>
      <c r="AF15" s="4">
        <v>31</v>
      </c>
      <c r="AH15" s="65"/>
      <c r="AI15" s="73">
        <v>43565</v>
      </c>
      <c r="AJ15" s="38" t="s">
        <v>49</v>
      </c>
      <c r="AK15" s="39">
        <f t="shared" si="20"/>
        <v>-1720.4301075268886</v>
      </c>
      <c r="AL15" s="46">
        <f t="shared" si="9"/>
        <v>5000</v>
      </c>
      <c r="AM15" s="47">
        <f t="shared" si="10"/>
        <v>-1720.4301075268886</v>
      </c>
      <c r="AN15" s="34" t="s">
        <v>23</v>
      </c>
      <c r="AO15" s="48">
        <f t="shared" si="11"/>
        <v>240</v>
      </c>
      <c r="AP15" s="66"/>
      <c r="AQ15" s="67"/>
      <c r="AT15" s="128" t="s">
        <v>87</v>
      </c>
      <c r="AU15" s="129">
        <v>266</v>
      </c>
      <c r="AV15" s="27"/>
      <c r="AW15" s="65"/>
      <c r="AX15" s="73">
        <v>43565</v>
      </c>
      <c r="AY15" s="38" t="s">
        <v>49</v>
      </c>
      <c r="AZ15" s="39" t="str">
        <f t="shared" si="21"/>
        <v>#REF!</v>
      </c>
      <c r="BA15" s="39">
        <f t="shared" si="22"/>
        <v>5000</v>
      </c>
      <c r="BB15" s="46" t="s">
        <v>567</v>
      </c>
      <c r="BC15" s="34" t="s">
        <v>567</v>
      </c>
      <c r="BD15" s="125"/>
      <c r="BE15" s="125"/>
      <c r="BF15" s="40" t="e">
        <f t="shared" si="14"/>
        <v>#VALUE!</v>
      </c>
      <c r="BG15" s="66"/>
      <c r="BH15" s="19"/>
      <c r="BI15" s="19"/>
    </row>
    <row r="16" spans="1:61">
      <c r="A16" s="70" t="s">
        <v>103</v>
      </c>
      <c r="B16" s="137">
        <f>SUM(K6:K36)</f>
        <v>157000</v>
      </c>
      <c r="C16" s="137">
        <f>SUM(K6:K36)</f>
        <v>157000</v>
      </c>
      <c r="D16" s="54"/>
      <c r="E16" s="54"/>
      <c r="F16" s="73">
        <v>43566</v>
      </c>
      <c r="G16" s="38" t="s">
        <v>51</v>
      </c>
      <c r="H16" s="39">
        <f t="shared" si="0"/>
        <v>200</v>
      </c>
      <c r="I16" s="39">
        <f t="shared" si="1"/>
        <v>59333.333333333336</v>
      </c>
      <c r="J16" s="39">
        <f t="shared" si="2"/>
        <v>19333.333333333336</v>
      </c>
      <c r="K16" s="138">
        <v>5000</v>
      </c>
      <c r="L16" s="138">
        <f t="shared" si="3"/>
        <v>19333.333333333336</v>
      </c>
      <c r="M16" s="138">
        <f t="shared" si="4"/>
        <v>62108.333333333328</v>
      </c>
      <c r="N16" s="138">
        <f t="shared" si="5"/>
        <v>22108.333333333328</v>
      </c>
      <c r="O16" s="138">
        <v>5000</v>
      </c>
      <c r="P16" s="39">
        <f t="shared" si="6"/>
        <v>19333.333333333336</v>
      </c>
      <c r="Q16" s="27">
        <f t="shared" si="7"/>
        <v>209.35393258426964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 t="s">
        <v>59</v>
      </c>
      <c r="AF16" s="23">
        <f>SUM(K6:K36)</f>
        <v>157000</v>
      </c>
      <c r="AI16" s="73">
        <v>43566</v>
      </c>
      <c r="AJ16" s="38" t="s">
        <v>51</v>
      </c>
      <c r="AK16" s="39">
        <f t="shared" si="20"/>
        <v>-1720.4301075268886</v>
      </c>
      <c r="AL16" s="52">
        <f t="shared" si="9"/>
        <v>5000</v>
      </c>
      <c r="AM16" s="23">
        <f t="shared" si="10"/>
        <v>-1720.4301075268886</v>
      </c>
      <c r="AN16" t="s">
        <v>23</v>
      </c>
      <c r="AO16" s="40">
        <f t="shared" si="11"/>
        <v>240</v>
      </c>
      <c r="AP16" s="69" t="s">
        <v>60</v>
      </c>
      <c r="AQ16" s="70"/>
      <c r="AT16" s="71" t="s">
        <v>61</v>
      </c>
      <c r="AU16" s="47" t="e">
        <f>MAX(BF6:BF36)</f>
        <v>#VALUE!</v>
      </c>
      <c r="AV16" s="72" t="e">
        <f>AU16/AU14</f>
        <v>#VALUE!</v>
      </c>
      <c r="AX16" s="73">
        <v>43566</v>
      </c>
      <c r="AY16" s="38" t="s">
        <v>51</v>
      </c>
      <c r="AZ16" s="39" t="str">
        <f t="shared" si="21"/>
        <v>#REF!</v>
      </c>
      <c r="BA16" s="39">
        <f t="shared" si="22"/>
        <v>5000</v>
      </c>
      <c r="BB16" s="39" t="s">
        <v>567</v>
      </c>
      <c r="BC16" t="s">
        <v>567</v>
      </c>
      <c r="BD16" s="125"/>
      <c r="BE16" s="125"/>
      <c r="BF16" s="40" t="e">
        <f t="shared" si="14"/>
        <v>#VALUE!</v>
      </c>
      <c r="BG16" s="69" t="s">
        <v>60</v>
      </c>
      <c r="BH16" s="19"/>
      <c r="BI16" s="19"/>
    </row>
    <row r="17" spans="1:61">
      <c r="A17" s="70" t="s">
        <v>104</v>
      </c>
      <c r="B17" s="137">
        <f>SUM(J6:J36)</f>
        <v>337000.00000000006</v>
      </c>
      <c r="C17" s="137">
        <f>SUM(J6:J36)</f>
        <v>337000.00000000006</v>
      </c>
      <c r="D17" s="54"/>
      <c r="E17" s="54"/>
      <c r="F17" s="73">
        <v>43567</v>
      </c>
      <c r="G17" s="38" t="s">
        <v>29</v>
      </c>
      <c r="H17" s="39">
        <f t="shared" si="0"/>
        <v>200</v>
      </c>
      <c r="I17" s="39">
        <f t="shared" si="1"/>
        <v>59333.333333333336</v>
      </c>
      <c r="J17" s="39">
        <f t="shared" si="2"/>
        <v>15333.333333333336</v>
      </c>
      <c r="K17" s="138">
        <v>5500</v>
      </c>
      <c r="L17" s="138">
        <f t="shared" si="3"/>
        <v>15333.333333333336</v>
      </c>
      <c r="M17" s="138">
        <f t="shared" si="4"/>
        <v>62108.333333333328</v>
      </c>
      <c r="N17" s="138">
        <f t="shared" si="5"/>
        <v>18108.333333333328</v>
      </c>
      <c r="O17" s="138">
        <v>5500</v>
      </c>
      <c r="P17" s="39">
        <f t="shared" si="6"/>
        <v>15333.333333333336</v>
      </c>
      <c r="Q17" s="27">
        <f t="shared" si="7"/>
        <v>209.35393258426964</v>
      </c>
      <c r="AE17" s="4" t="s">
        <v>62</v>
      </c>
      <c r="AF17" s="60">
        <f>AF16/AF15</f>
        <v>5064.5161290322585</v>
      </c>
      <c r="AI17" s="73">
        <v>43567</v>
      </c>
      <c r="AJ17" s="38" t="s">
        <v>29</v>
      </c>
      <c r="AK17" s="39">
        <f t="shared" si="20"/>
        <v>-5720.4301075268886</v>
      </c>
      <c r="AL17" s="39">
        <f t="shared" si="9"/>
        <v>5500</v>
      </c>
      <c r="AM17" s="23">
        <f t="shared" si="10"/>
        <v>-5720.4301075268886</v>
      </c>
      <c r="AN17" t="s">
        <v>23</v>
      </c>
      <c r="AO17" s="40">
        <f t="shared" si="11"/>
        <v>240</v>
      </c>
      <c r="AP17" s="41"/>
      <c r="AQ17" s="15"/>
      <c r="AX17" s="73">
        <v>43567</v>
      </c>
      <c r="AY17" s="38" t="s">
        <v>29</v>
      </c>
      <c r="AZ17" s="39" t="str">
        <f t="shared" si="21"/>
        <v>#REF!</v>
      </c>
      <c r="BA17" s="39">
        <f t="shared" si="22"/>
        <v>5500</v>
      </c>
      <c r="BB17" s="39" t="s">
        <v>567</v>
      </c>
      <c r="BC17" t="s">
        <v>567</v>
      </c>
      <c r="BD17" s="125"/>
      <c r="BE17" s="125"/>
      <c r="BF17" s="40" t="e">
        <f t="shared" si="14"/>
        <v>#VALUE!</v>
      </c>
      <c r="BG17" s="41"/>
      <c r="BH17" s="19"/>
      <c r="BI17" s="19"/>
    </row>
    <row r="18" spans="1:61">
      <c r="A18" s="70" t="s">
        <v>105</v>
      </c>
      <c r="B18" s="143">
        <f t="shared" ref="B18:C18" si="23">B17/B16</f>
        <v>2.1464968152866244</v>
      </c>
      <c r="C18" s="143">
        <f t="shared" si="23"/>
        <v>2.1464968152866244</v>
      </c>
      <c r="D18" s="54"/>
      <c r="E18" s="54"/>
      <c r="F18" s="73">
        <v>43568</v>
      </c>
      <c r="G18" s="38" t="s">
        <v>33</v>
      </c>
      <c r="H18" s="39">
        <f t="shared" si="0"/>
        <v>200</v>
      </c>
      <c r="I18" s="39">
        <f t="shared" si="1"/>
        <v>59333.333333333336</v>
      </c>
      <c r="J18" s="39">
        <f t="shared" si="2"/>
        <v>23333.333333333336</v>
      </c>
      <c r="K18" s="138">
        <v>4500</v>
      </c>
      <c r="L18" s="138">
        <f t="shared" si="3"/>
        <v>23333.333333333336</v>
      </c>
      <c r="M18" s="138">
        <f t="shared" si="4"/>
        <v>62108.333333333328</v>
      </c>
      <c r="N18" s="138">
        <f t="shared" si="5"/>
        <v>26108.333333333328</v>
      </c>
      <c r="O18" s="138">
        <v>4500</v>
      </c>
      <c r="P18" s="39">
        <f t="shared" si="6"/>
        <v>23333.333333333336</v>
      </c>
      <c r="Q18" s="27">
        <f t="shared" si="7"/>
        <v>209.35393258426964</v>
      </c>
      <c r="AE18" s="76" t="s">
        <v>34</v>
      </c>
      <c r="AF18" s="77">
        <f>AF16*AF14</f>
        <v>388143.13534566696</v>
      </c>
      <c r="AI18" s="73">
        <v>43568</v>
      </c>
      <c r="AJ18" s="38" t="s">
        <v>33</v>
      </c>
      <c r="AK18" s="39">
        <f t="shared" si="20"/>
        <v>2279.5698924731114</v>
      </c>
      <c r="AL18" s="39">
        <f t="shared" si="9"/>
        <v>4500</v>
      </c>
      <c r="AM18" s="23">
        <f t="shared" si="10"/>
        <v>2279.5698924731114</v>
      </c>
      <c r="AN18" t="s">
        <v>23</v>
      </c>
      <c r="AO18" s="40">
        <f t="shared" si="11"/>
        <v>240</v>
      </c>
      <c r="AP18" s="41"/>
      <c r="AQ18" s="15"/>
      <c r="AR18" s="78"/>
      <c r="AS18" s="78" t="s">
        <v>5</v>
      </c>
      <c r="AT18" s="78" t="s">
        <v>6</v>
      </c>
      <c r="AU18" s="79"/>
      <c r="AV18" s="79"/>
      <c r="AX18" s="73">
        <v>43568</v>
      </c>
      <c r="AY18" s="38" t="s">
        <v>33</v>
      </c>
      <c r="AZ18" s="39" t="str">
        <f t="shared" si="21"/>
        <v>#REF!</v>
      </c>
      <c r="BA18" s="39">
        <f t="shared" si="22"/>
        <v>4500</v>
      </c>
      <c r="BB18" s="39" t="s">
        <v>567</v>
      </c>
      <c r="BC18" t="s">
        <v>567</v>
      </c>
      <c r="BD18" s="125"/>
      <c r="BE18" s="125"/>
      <c r="BF18" s="40" t="e">
        <f t="shared" si="14"/>
        <v>#VALUE!</v>
      </c>
      <c r="BG18" s="41"/>
      <c r="BH18" s="19"/>
      <c r="BI18" s="19"/>
    </row>
    <row r="19" spans="1:61">
      <c r="A19" s="70" t="s">
        <v>106</v>
      </c>
      <c r="B19" s="143"/>
      <c r="C19" s="144">
        <v>2.5</v>
      </c>
      <c r="D19" s="54"/>
      <c r="E19" s="70" t="s">
        <v>98</v>
      </c>
      <c r="F19" s="96">
        <v>43569</v>
      </c>
      <c r="G19" s="45" t="s">
        <v>37</v>
      </c>
      <c r="H19" s="46">
        <f t="shared" si="0"/>
        <v>100</v>
      </c>
      <c r="I19" s="46">
        <f t="shared" si="1"/>
        <v>29666.666666666668</v>
      </c>
      <c r="J19" s="46">
        <f t="shared" si="2"/>
        <v>0</v>
      </c>
      <c r="K19" s="142">
        <v>4000</v>
      </c>
      <c r="L19" s="142">
        <f t="shared" si="3"/>
        <v>-2333.3333333333321</v>
      </c>
      <c r="M19" s="142">
        <f t="shared" si="4"/>
        <v>62108.333333333328</v>
      </c>
      <c r="N19" s="142">
        <f t="shared" si="5"/>
        <v>0</v>
      </c>
      <c r="O19" s="142">
        <v>4000</v>
      </c>
      <c r="P19" s="46">
        <f t="shared" si="6"/>
        <v>-2333.3333333333321</v>
      </c>
      <c r="Q19" s="87">
        <f t="shared" si="7"/>
        <v>107.86516853932584</v>
      </c>
      <c r="AE19" s="76" t="s">
        <v>68</v>
      </c>
      <c r="AF19" s="77">
        <f>SUM(AK6:AK36)</f>
        <v>-77688.172043010883</v>
      </c>
      <c r="AI19" s="73">
        <v>43569</v>
      </c>
      <c r="AJ19" s="45" t="s">
        <v>37</v>
      </c>
      <c r="AK19" s="39">
        <v>0</v>
      </c>
      <c r="AL19" s="39">
        <f t="shared" si="9"/>
        <v>4000</v>
      </c>
      <c r="AM19" s="23">
        <f t="shared" si="10"/>
        <v>6279.5698924731114</v>
      </c>
      <c r="AN19" t="s">
        <v>561</v>
      </c>
      <c r="AO19" s="40">
        <f t="shared" si="11"/>
        <v>200.62921348314612</v>
      </c>
      <c r="AP19" s="41"/>
      <c r="AQ19" s="15"/>
      <c r="AR19" s="83"/>
      <c r="AS19" s="83" t="s">
        <v>8</v>
      </c>
      <c r="AT19" s="83" t="s">
        <v>9</v>
      </c>
      <c r="AU19" s="130" t="e">
        <f>'[1]WH labor'!AF17</f>
        <v>#REF!</v>
      </c>
      <c r="AV19" s="79"/>
      <c r="AX19" s="73">
        <v>43569</v>
      </c>
      <c r="AY19" s="45" t="s">
        <v>37</v>
      </c>
      <c r="AZ19" s="39">
        <f t="shared" ref="AZ19:BA19" si="24">AK19</f>
        <v>0</v>
      </c>
      <c r="BA19" s="39">
        <f t="shared" si="24"/>
        <v>4000</v>
      </c>
      <c r="BB19" s="39" t="s">
        <v>567</v>
      </c>
      <c r="BC19" t="s">
        <v>561</v>
      </c>
      <c r="BD19" s="125"/>
      <c r="BE19" s="125"/>
      <c r="BF19" s="40" t="e">
        <f t="shared" si="14"/>
        <v>#REF!</v>
      </c>
      <c r="BG19" s="41"/>
      <c r="BH19" s="19"/>
      <c r="BI19" s="19"/>
    </row>
    <row r="20" spans="1:61">
      <c r="A20" s="70" t="s">
        <v>107</v>
      </c>
      <c r="B20" s="137"/>
      <c r="C20" s="137">
        <f>IF(C18&lt;C19,(C16*C19-C17)/(C14-COUNTIF(E:E,"Break")),0)</f>
        <v>2774.9999999999973</v>
      </c>
      <c r="D20" s="54"/>
      <c r="E20" s="70" t="s">
        <v>108</v>
      </c>
      <c r="F20" s="68">
        <v>43570</v>
      </c>
      <c r="G20" s="51" t="s">
        <v>41</v>
      </c>
      <c r="H20" s="105">
        <f t="shared" si="0"/>
        <v>200</v>
      </c>
      <c r="I20" s="105">
        <f t="shared" si="1"/>
        <v>59333.333333333336</v>
      </c>
      <c r="J20" s="105">
        <v>5000</v>
      </c>
      <c r="K20" s="136">
        <v>6000</v>
      </c>
      <c r="L20" s="136">
        <f t="shared" si="3"/>
        <v>11333.333333333336</v>
      </c>
      <c r="M20" s="136">
        <f t="shared" si="4"/>
        <v>62108.333333333328</v>
      </c>
      <c r="N20" s="136">
        <f t="shared" si="5"/>
        <v>14108.333333333328</v>
      </c>
      <c r="O20" s="136">
        <v>6000</v>
      </c>
      <c r="P20" s="105">
        <f t="shared" si="6"/>
        <v>11333.333333333336</v>
      </c>
      <c r="Q20" s="18">
        <f t="shared" si="7"/>
        <v>209.35393258426964</v>
      </c>
      <c r="AE20" s="88" t="s">
        <v>70</v>
      </c>
      <c r="AF20" s="89">
        <f>AF19-AF18</f>
        <v>-465831.30738867784</v>
      </c>
      <c r="AI20" s="73">
        <v>43570</v>
      </c>
      <c r="AJ20" s="51" t="s">
        <v>41</v>
      </c>
      <c r="AK20" s="39">
        <f>AM20</f>
        <v>-9720.4301075268886</v>
      </c>
      <c r="AL20" s="39">
        <f t="shared" si="9"/>
        <v>6000</v>
      </c>
      <c r="AM20" s="23">
        <f t="shared" si="10"/>
        <v>-9720.4301075268886</v>
      </c>
      <c r="AN20" t="s">
        <v>23</v>
      </c>
      <c r="AO20" s="40">
        <f t="shared" si="11"/>
        <v>240</v>
      </c>
      <c r="AP20" s="53" t="s">
        <v>71</v>
      </c>
      <c r="AQ20" s="54"/>
      <c r="AR20" s="78"/>
      <c r="AS20" s="78"/>
      <c r="AT20" s="78" t="s">
        <v>16</v>
      </c>
      <c r="AU20" s="90">
        <f>SUM(I6:I36)/31</f>
        <v>47849.462365591389</v>
      </c>
      <c r="AV20" s="79"/>
      <c r="AX20" s="73">
        <v>43570</v>
      </c>
      <c r="AY20" s="51" t="s">
        <v>41</v>
      </c>
      <c r="AZ20" s="39" t="str">
        <f>BB20</f>
        <v>#REF!</v>
      </c>
      <c r="BA20" s="39">
        <f>AL20</f>
        <v>6000</v>
      </c>
      <c r="BB20" s="39" t="s">
        <v>567</v>
      </c>
      <c r="BC20" t="s">
        <v>567</v>
      </c>
      <c r="BD20" s="125"/>
      <c r="BE20" s="125"/>
      <c r="BF20" s="40" t="e">
        <f t="shared" si="14"/>
        <v>#VALUE!</v>
      </c>
      <c r="BG20" s="53" t="s">
        <v>71</v>
      </c>
      <c r="BH20" s="19"/>
      <c r="BI20" s="19"/>
    </row>
    <row r="21" spans="1:61">
      <c r="A21" s="70" t="s">
        <v>109</v>
      </c>
      <c r="B21" s="137"/>
      <c r="C21" s="137">
        <f>C20/C11</f>
        <v>9.3539325842696535</v>
      </c>
      <c r="D21" s="54"/>
      <c r="E21" s="70" t="s">
        <v>98</v>
      </c>
      <c r="F21" s="73">
        <v>43571</v>
      </c>
      <c r="G21" s="38" t="s">
        <v>46</v>
      </c>
      <c r="H21" s="39">
        <f t="shared" si="0"/>
        <v>100</v>
      </c>
      <c r="I21" s="39">
        <f t="shared" si="1"/>
        <v>29666.666666666668</v>
      </c>
      <c r="J21" s="39">
        <v>0</v>
      </c>
      <c r="K21" s="145">
        <v>7000</v>
      </c>
      <c r="L21" s="138">
        <f t="shared" si="3"/>
        <v>-26333.333333333332</v>
      </c>
      <c r="M21" s="138">
        <f t="shared" si="4"/>
        <v>62108.333333333328</v>
      </c>
      <c r="N21" s="138">
        <f t="shared" si="5"/>
        <v>0</v>
      </c>
      <c r="O21" s="145">
        <v>7000</v>
      </c>
      <c r="P21" s="39">
        <f t="shared" si="6"/>
        <v>-26333.333333333332</v>
      </c>
      <c r="Q21" s="27">
        <f t="shared" si="7"/>
        <v>188.76404494382021</v>
      </c>
      <c r="AE21" s="88" t="s">
        <v>72</v>
      </c>
      <c r="AF21" s="94">
        <f>AF20/26</f>
        <v>-17916.588745718378</v>
      </c>
      <c r="AI21" s="73">
        <v>43571</v>
      </c>
      <c r="AJ21" s="38" t="s">
        <v>46</v>
      </c>
      <c r="AK21" s="39">
        <v>0</v>
      </c>
      <c r="AL21" s="39">
        <f t="shared" si="9"/>
        <v>7000</v>
      </c>
      <c r="AM21" s="23">
        <f t="shared" si="10"/>
        <v>-17720.430107526889</v>
      </c>
      <c r="AN21" t="s">
        <v>571</v>
      </c>
      <c r="AO21" s="40">
        <f t="shared" si="11"/>
        <v>351.10112359550573</v>
      </c>
      <c r="AP21" s="53" t="s">
        <v>71</v>
      </c>
      <c r="AQ21" s="54"/>
      <c r="AR21" s="78"/>
      <c r="AS21" s="78"/>
      <c r="AT21" s="78" t="s">
        <v>25</v>
      </c>
      <c r="AU21" s="95">
        <v>300</v>
      </c>
      <c r="AV21" s="78" t="s">
        <v>26</v>
      </c>
      <c r="AX21" s="73">
        <v>43571</v>
      </c>
      <c r="AY21" s="38" t="s">
        <v>46</v>
      </c>
      <c r="AZ21" s="39">
        <f t="shared" ref="AZ21:BA21" si="25">AK21</f>
        <v>0</v>
      </c>
      <c r="BA21" s="39">
        <f t="shared" si="25"/>
        <v>7000</v>
      </c>
      <c r="BB21" s="39" t="s">
        <v>567</v>
      </c>
      <c r="BC21" t="s">
        <v>567</v>
      </c>
      <c r="BD21" s="125"/>
      <c r="BE21" s="125"/>
      <c r="BF21" s="40" t="e">
        <f t="shared" si="14"/>
        <v>#REF!</v>
      </c>
      <c r="BG21" s="53" t="s">
        <v>71</v>
      </c>
      <c r="BH21" s="19"/>
      <c r="BI21" s="19"/>
    </row>
    <row r="22" spans="1:61">
      <c r="A22" s="70" t="s">
        <v>110</v>
      </c>
      <c r="B22" s="137"/>
      <c r="C22" s="146">
        <f>C21+C6</f>
        <v>209.35393258426964</v>
      </c>
      <c r="D22" s="54"/>
      <c r="E22" s="54"/>
      <c r="F22" s="73">
        <v>43572</v>
      </c>
      <c r="G22" s="38" t="s">
        <v>49</v>
      </c>
      <c r="H22" s="39">
        <f t="shared" si="0"/>
        <v>200</v>
      </c>
      <c r="I22" s="39">
        <f t="shared" si="1"/>
        <v>59333.333333333336</v>
      </c>
      <c r="J22" s="39">
        <v>0</v>
      </c>
      <c r="K22" s="138">
        <v>6500</v>
      </c>
      <c r="L22" s="138">
        <f t="shared" si="3"/>
        <v>7333.3333333333358</v>
      </c>
      <c r="M22" s="138">
        <f t="shared" si="4"/>
        <v>62108.333333333328</v>
      </c>
      <c r="N22" s="138">
        <f t="shared" si="5"/>
        <v>10108.333333333328</v>
      </c>
      <c r="O22" s="138">
        <v>6500</v>
      </c>
      <c r="P22" s="39">
        <f t="shared" si="6"/>
        <v>7333.3333333333358</v>
      </c>
      <c r="Q22" s="27">
        <f t="shared" si="7"/>
        <v>209.35393258426964</v>
      </c>
      <c r="AI22" s="73">
        <v>43572</v>
      </c>
      <c r="AJ22" s="38" t="s">
        <v>49</v>
      </c>
      <c r="AK22" s="39">
        <v>3000</v>
      </c>
      <c r="AL22" s="46">
        <f t="shared" si="9"/>
        <v>6500</v>
      </c>
      <c r="AM22" s="47">
        <f t="shared" si="10"/>
        <v>-13720.430107526889</v>
      </c>
      <c r="AN22" s="34" t="s">
        <v>572</v>
      </c>
      <c r="AO22" s="48">
        <f t="shared" si="11"/>
        <v>344.83146067415737</v>
      </c>
      <c r="AP22" s="98" t="s">
        <v>71</v>
      </c>
      <c r="AQ22" s="54"/>
      <c r="AR22" s="78"/>
      <c r="AS22" s="78"/>
      <c r="AT22" s="78" t="s">
        <v>28</v>
      </c>
      <c r="AU22" s="95">
        <v>0</v>
      </c>
      <c r="AV22" s="78" t="s">
        <v>26</v>
      </c>
      <c r="AX22" s="73">
        <v>43572</v>
      </c>
      <c r="AY22" s="38" t="s">
        <v>49</v>
      </c>
      <c r="AZ22" s="39">
        <f t="shared" ref="AZ22:BA22" si="26">AK22</f>
        <v>3000</v>
      </c>
      <c r="BA22" s="39">
        <f t="shared" si="26"/>
        <v>6500</v>
      </c>
      <c r="BB22" s="46" t="s">
        <v>567</v>
      </c>
      <c r="BC22" s="34" t="s">
        <v>567</v>
      </c>
      <c r="BD22" s="125"/>
      <c r="BE22" s="125"/>
      <c r="BF22" s="40" t="e">
        <f t="shared" si="14"/>
        <v>#REF!</v>
      </c>
      <c r="BG22" s="98" t="s">
        <v>71</v>
      </c>
      <c r="BH22" s="19"/>
      <c r="BI22" s="19"/>
    </row>
    <row r="23" spans="1:61">
      <c r="A23" s="70" t="s">
        <v>110</v>
      </c>
      <c r="B23" s="54"/>
      <c r="C23" s="147">
        <f>MAX(Q6:Q35)</f>
        <v>215.73033707865167</v>
      </c>
      <c r="D23" s="54"/>
      <c r="E23" s="70" t="s">
        <v>98</v>
      </c>
      <c r="F23" s="73">
        <v>43573</v>
      </c>
      <c r="G23" s="38" t="s">
        <v>51</v>
      </c>
      <c r="H23" s="39">
        <f t="shared" si="0"/>
        <v>100</v>
      </c>
      <c r="I23" s="39">
        <f t="shared" si="1"/>
        <v>29666.666666666668</v>
      </c>
      <c r="J23" s="39">
        <v>0</v>
      </c>
      <c r="K23" s="145">
        <v>8000</v>
      </c>
      <c r="L23" s="138">
        <f t="shared" si="3"/>
        <v>-34333.333333333328</v>
      </c>
      <c r="M23" s="138">
        <f t="shared" si="4"/>
        <v>62108.333333333328</v>
      </c>
      <c r="N23" s="138">
        <f t="shared" si="5"/>
        <v>0</v>
      </c>
      <c r="O23" s="145">
        <v>8000</v>
      </c>
      <c r="P23" s="39">
        <f t="shared" si="6"/>
        <v>-34333.333333333328</v>
      </c>
      <c r="Q23" s="27">
        <f t="shared" si="7"/>
        <v>215.73033707865167</v>
      </c>
      <c r="AI23" s="73">
        <v>43573</v>
      </c>
      <c r="AJ23" s="38" t="s">
        <v>51</v>
      </c>
      <c r="AK23" s="39">
        <v>0</v>
      </c>
      <c r="AL23" s="52">
        <v>8000</v>
      </c>
      <c r="AM23" s="23">
        <f t="shared" si="10"/>
        <v>-25720.430107526889</v>
      </c>
      <c r="AN23" t="s">
        <v>573</v>
      </c>
      <c r="AO23" s="40">
        <f t="shared" si="11"/>
        <v>401.25842696629223</v>
      </c>
      <c r="AP23" s="53" t="s">
        <v>73</v>
      </c>
      <c r="AQ23" s="54"/>
      <c r="AR23" s="78"/>
      <c r="AS23" s="78"/>
      <c r="AT23" s="78" t="s">
        <v>32</v>
      </c>
      <c r="AU23" s="102">
        <v>0.5</v>
      </c>
      <c r="AV23" s="78" t="s">
        <v>26</v>
      </c>
      <c r="AX23" s="73">
        <v>43573</v>
      </c>
      <c r="AY23" s="38" t="s">
        <v>51</v>
      </c>
      <c r="AZ23" s="39">
        <f t="shared" ref="AZ23:BA23" si="27">AK23</f>
        <v>0</v>
      </c>
      <c r="BA23" s="39">
        <f t="shared" si="27"/>
        <v>8000</v>
      </c>
      <c r="BB23" s="39" t="s">
        <v>567</v>
      </c>
      <c r="BC23" t="s">
        <v>567</v>
      </c>
      <c r="BD23" s="125"/>
      <c r="BE23" s="125"/>
      <c r="BF23" s="40" t="e">
        <f t="shared" si="14"/>
        <v>#REF!</v>
      </c>
      <c r="BG23" s="53" t="s">
        <v>73</v>
      </c>
      <c r="BH23" s="19"/>
      <c r="BI23" s="19"/>
    </row>
    <row r="24" spans="1:61">
      <c r="A24" s="54"/>
      <c r="B24" s="54"/>
      <c r="C24" s="54"/>
      <c r="D24" s="54"/>
      <c r="E24" s="54"/>
      <c r="F24" s="73">
        <v>43574</v>
      </c>
      <c r="G24" s="38" t="s">
        <v>29</v>
      </c>
      <c r="H24" s="39">
        <f t="shared" si="0"/>
        <v>200</v>
      </c>
      <c r="I24" s="39">
        <f t="shared" si="1"/>
        <v>59333.333333333336</v>
      </c>
      <c r="J24" s="39">
        <f t="shared" ref="J24:J35" si="28">IF(E24="break",0,L24)</f>
        <v>23333.333333333336</v>
      </c>
      <c r="K24" s="138">
        <v>4500</v>
      </c>
      <c r="L24" s="138">
        <f t="shared" si="3"/>
        <v>23333.333333333336</v>
      </c>
      <c r="M24" s="138">
        <f t="shared" si="4"/>
        <v>62108.333333333328</v>
      </c>
      <c r="N24" s="138">
        <f t="shared" si="5"/>
        <v>26108.333333333328</v>
      </c>
      <c r="O24" s="138">
        <v>4500</v>
      </c>
      <c r="P24" s="39">
        <f t="shared" si="6"/>
        <v>23333.333333333336</v>
      </c>
      <c r="Q24" s="27">
        <f t="shared" si="7"/>
        <v>209.35393258426964</v>
      </c>
      <c r="AI24" s="73">
        <v>43574</v>
      </c>
      <c r="AJ24" s="38" t="s">
        <v>29</v>
      </c>
      <c r="AK24" s="39">
        <f t="shared" ref="AK24:AK25" si="29">AM24</f>
        <v>-21720.430107526889</v>
      </c>
      <c r="AL24" s="52">
        <v>7500</v>
      </c>
      <c r="AM24" s="23">
        <f t="shared" si="10"/>
        <v>-21720.430107526889</v>
      </c>
      <c r="AN24" t="s">
        <v>23</v>
      </c>
      <c r="AO24" s="40">
        <f t="shared" si="11"/>
        <v>240</v>
      </c>
      <c r="AP24" s="69" t="s">
        <v>74</v>
      </c>
      <c r="AQ24" s="70"/>
      <c r="AR24" s="78"/>
      <c r="AS24" s="78"/>
      <c r="AT24" s="78" t="s">
        <v>36</v>
      </c>
      <c r="AU24" s="90">
        <f>AU21+AU22*AU23</f>
        <v>300</v>
      </c>
      <c r="AV24" s="79"/>
      <c r="AX24" s="73">
        <v>43574</v>
      </c>
      <c r="AY24" s="38" t="s">
        <v>29</v>
      </c>
      <c r="AZ24" s="39">
        <f t="shared" ref="AZ24:BA24" si="30">AK24</f>
        <v>-21720.430107526889</v>
      </c>
      <c r="BA24" s="39">
        <f t="shared" si="30"/>
        <v>7500</v>
      </c>
      <c r="BB24" s="39" t="s">
        <v>567</v>
      </c>
      <c r="BC24" t="s">
        <v>567</v>
      </c>
      <c r="BD24" s="125"/>
      <c r="BE24" s="125"/>
      <c r="BF24" s="40" t="e">
        <f t="shared" si="14"/>
        <v>#REF!</v>
      </c>
      <c r="BG24" s="69" t="s">
        <v>74</v>
      </c>
      <c r="BH24" s="19"/>
      <c r="BI24" s="19"/>
    </row>
    <row r="25" spans="1:61">
      <c r="A25" s="70" t="s">
        <v>111</v>
      </c>
      <c r="B25" s="54"/>
      <c r="C25" s="137">
        <f>SUM(N6:N35)</f>
        <v>406166.6666666664</v>
      </c>
      <c r="D25" s="54"/>
      <c r="E25" s="54"/>
      <c r="F25" s="73">
        <v>43575</v>
      </c>
      <c r="G25" s="38" t="s">
        <v>33</v>
      </c>
      <c r="H25" s="39">
        <f t="shared" si="0"/>
        <v>200</v>
      </c>
      <c r="I25" s="39">
        <f t="shared" si="1"/>
        <v>59333.333333333336</v>
      </c>
      <c r="J25" s="39">
        <f t="shared" si="28"/>
        <v>27333.333333333336</v>
      </c>
      <c r="K25" s="138">
        <v>4000</v>
      </c>
      <c r="L25" s="138">
        <f t="shared" si="3"/>
        <v>27333.333333333336</v>
      </c>
      <c r="M25" s="138">
        <f t="shared" si="4"/>
        <v>62108.333333333328</v>
      </c>
      <c r="N25" s="138">
        <f t="shared" si="5"/>
        <v>30108.333333333328</v>
      </c>
      <c r="O25" s="138">
        <v>4000</v>
      </c>
      <c r="P25" s="39">
        <f t="shared" si="6"/>
        <v>27333.333333333336</v>
      </c>
      <c r="Q25" s="27">
        <f t="shared" si="7"/>
        <v>209.35393258426964</v>
      </c>
      <c r="AI25" s="73">
        <v>43575</v>
      </c>
      <c r="AJ25" s="38" t="s">
        <v>33</v>
      </c>
      <c r="AK25" s="39">
        <f t="shared" si="29"/>
        <v>6279.5698924731114</v>
      </c>
      <c r="AL25" s="39">
        <f t="shared" ref="AL25:AL36" si="31">K25</f>
        <v>4000</v>
      </c>
      <c r="AM25" s="23">
        <f t="shared" si="10"/>
        <v>6279.5698924731114</v>
      </c>
      <c r="AN25" t="s">
        <v>23</v>
      </c>
      <c r="AO25" s="40">
        <f t="shared" si="11"/>
        <v>240</v>
      </c>
      <c r="AP25" s="53" t="s">
        <v>75</v>
      </c>
      <c r="AQ25" s="54"/>
      <c r="AR25" s="78"/>
      <c r="AS25" s="78"/>
      <c r="AT25" s="78" t="s">
        <v>40</v>
      </c>
      <c r="AU25" s="90">
        <f>AU20/AU24</f>
        <v>159.49820788530462</v>
      </c>
      <c r="AV25" s="79"/>
      <c r="AX25" s="73">
        <v>43575</v>
      </c>
      <c r="AY25" s="38" t="s">
        <v>33</v>
      </c>
      <c r="AZ25" s="39" t="str">
        <f>BB25</f>
        <v>#REF!</v>
      </c>
      <c r="BA25" s="39">
        <f>AL25</f>
        <v>4000</v>
      </c>
      <c r="BB25" s="39" t="s">
        <v>567</v>
      </c>
      <c r="BC25" t="s">
        <v>567</v>
      </c>
      <c r="BD25" s="125"/>
      <c r="BE25" s="125"/>
      <c r="BF25" s="40" t="e">
        <f t="shared" si="14"/>
        <v>#VALUE!</v>
      </c>
      <c r="BG25" s="53" t="s">
        <v>75</v>
      </c>
      <c r="BH25" s="19"/>
      <c r="BI25" s="19"/>
    </row>
    <row r="26" spans="1:61">
      <c r="A26" s="54"/>
      <c r="B26" s="54"/>
      <c r="C26" s="54">
        <f>C25/C16</f>
        <v>2.5870488322717606</v>
      </c>
      <c r="D26" s="54"/>
      <c r="E26" s="70" t="s">
        <v>98</v>
      </c>
      <c r="F26" s="96">
        <v>43576</v>
      </c>
      <c r="G26" s="45" t="s">
        <v>37</v>
      </c>
      <c r="H26" s="46">
        <f t="shared" si="0"/>
        <v>100</v>
      </c>
      <c r="I26" s="46">
        <f t="shared" si="1"/>
        <v>29666.666666666668</v>
      </c>
      <c r="J26" s="46">
        <f t="shared" si="28"/>
        <v>0</v>
      </c>
      <c r="K26" s="142">
        <v>4000</v>
      </c>
      <c r="L26" s="142">
        <f t="shared" si="3"/>
        <v>-2333.3333333333321</v>
      </c>
      <c r="M26" s="142">
        <f t="shared" si="4"/>
        <v>62108.333333333328</v>
      </c>
      <c r="N26" s="142">
        <f t="shared" si="5"/>
        <v>0</v>
      </c>
      <c r="O26" s="142">
        <v>4000</v>
      </c>
      <c r="P26" s="46">
        <f t="shared" si="6"/>
        <v>-2333.3333333333321</v>
      </c>
      <c r="Q26" s="87">
        <f t="shared" si="7"/>
        <v>107.86516853932584</v>
      </c>
      <c r="AI26" s="73">
        <v>43576</v>
      </c>
      <c r="AJ26" s="45" t="s">
        <v>37</v>
      </c>
      <c r="AK26" s="39">
        <v>0</v>
      </c>
      <c r="AL26" s="39">
        <f t="shared" si="31"/>
        <v>4000</v>
      </c>
      <c r="AM26" s="23">
        <f t="shared" si="10"/>
        <v>6279.5698924731114</v>
      </c>
      <c r="AN26" t="s">
        <v>561</v>
      </c>
      <c r="AO26" s="40">
        <f t="shared" si="11"/>
        <v>200.62921348314612</v>
      </c>
      <c r="AP26" s="53" t="s">
        <v>75</v>
      </c>
      <c r="AQ26" s="54"/>
      <c r="AR26" s="78"/>
      <c r="AS26" s="78" t="s">
        <v>11</v>
      </c>
      <c r="AT26" s="78" t="s">
        <v>45</v>
      </c>
      <c r="AU26" s="90">
        <f>AU24*(1-AV26)</f>
        <v>180</v>
      </c>
      <c r="AV26" s="107">
        <v>0.4</v>
      </c>
      <c r="AX26" s="73">
        <v>43576</v>
      </c>
      <c r="AY26" s="45" t="s">
        <v>37</v>
      </c>
      <c r="AZ26" s="39">
        <f t="shared" ref="AZ26:BA26" si="32">AK26</f>
        <v>0</v>
      </c>
      <c r="BA26" s="39">
        <f t="shared" si="32"/>
        <v>4000</v>
      </c>
      <c r="BB26" s="39" t="s">
        <v>567</v>
      </c>
      <c r="BC26" t="s">
        <v>561</v>
      </c>
      <c r="BD26" s="125"/>
      <c r="BE26" s="125"/>
      <c r="BF26" s="40" t="e">
        <f t="shared" si="14"/>
        <v>#REF!</v>
      </c>
      <c r="BG26" s="53" t="s">
        <v>75</v>
      </c>
      <c r="BH26" s="19"/>
      <c r="BI26" s="19"/>
    </row>
    <row r="27" spans="1:61">
      <c r="A27" s="54"/>
      <c r="B27" s="54"/>
      <c r="C27" s="54"/>
      <c r="D27" s="54"/>
      <c r="E27" s="54"/>
      <c r="F27" s="68">
        <v>43577</v>
      </c>
      <c r="G27" s="51" t="s">
        <v>41</v>
      </c>
      <c r="H27" s="105">
        <f t="shared" si="0"/>
        <v>200</v>
      </c>
      <c r="I27" s="105">
        <f t="shared" si="1"/>
        <v>59333.333333333336</v>
      </c>
      <c r="J27" s="105">
        <f t="shared" si="28"/>
        <v>15333.333333333336</v>
      </c>
      <c r="K27" s="136">
        <v>5500</v>
      </c>
      <c r="L27" s="136">
        <f t="shared" si="3"/>
        <v>15333.333333333336</v>
      </c>
      <c r="M27" s="136">
        <f t="shared" si="4"/>
        <v>62108.333333333328</v>
      </c>
      <c r="N27" s="136">
        <f t="shared" si="5"/>
        <v>18108.333333333328</v>
      </c>
      <c r="O27" s="136">
        <v>5500</v>
      </c>
      <c r="P27" s="105">
        <f t="shared" si="6"/>
        <v>15333.333333333336</v>
      </c>
      <c r="Q27" s="18">
        <f t="shared" si="7"/>
        <v>209.35393258426964</v>
      </c>
      <c r="AI27" s="73">
        <v>43577</v>
      </c>
      <c r="AJ27" s="51" t="s">
        <v>41</v>
      </c>
      <c r="AK27" s="39">
        <f t="shared" ref="AK27:AK32" si="33">AM27</f>
        <v>-5720.4301075268886</v>
      </c>
      <c r="AL27" s="39">
        <f t="shared" si="31"/>
        <v>5500</v>
      </c>
      <c r="AM27" s="23">
        <f t="shared" si="10"/>
        <v>-5720.4301075268886</v>
      </c>
      <c r="AN27" t="s">
        <v>23</v>
      </c>
      <c r="AO27" s="40">
        <f t="shared" si="11"/>
        <v>240</v>
      </c>
      <c r="AP27" s="41"/>
      <c r="AQ27" s="15"/>
      <c r="AR27" s="79"/>
      <c r="AS27" s="79"/>
      <c r="AT27" s="78" t="s">
        <v>48</v>
      </c>
      <c r="AU27" s="79"/>
      <c r="AV27" s="79"/>
      <c r="AX27" s="73">
        <v>43577</v>
      </c>
      <c r="AY27" s="51" t="s">
        <v>41</v>
      </c>
      <c r="AZ27" s="39" t="str">
        <f t="shared" ref="AZ27:AZ32" si="34">BB27</f>
        <v>#REF!</v>
      </c>
      <c r="BA27" s="39">
        <f t="shared" ref="BA27:BA32" si="35">AL27</f>
        <v>5500</v>
      </c>
      <c r="BB27" s="39" t="s">
        <v>567</v>
      </c>
      <c r="BC27" t="s">
        <v>567</v>
      </c>
      <c r="BD27" s="125"/>
      <c r="BE27" s="125"/>
      <c r="BF27" s="40" t="e">
        <f t="shared" si="14"/>
        <v>#VALUE!</v>
      </c>
      <c r="BG27" s="41"/>
      <c r="BH27" s="19"/>
      <c r="BI27" s="19"/>
    </row>
    <row r="28" spans="1:61">
      <c r="A28" s="54"/>
      <c r="B28" s="54"/>
      <c r="C28" s="54"/>
      <c r="D28" s="54"/>
      <c r="E28" s="54"/>
      <c r="F28" s="73">
        <v>43578</v>
      </c>
      <c r="G28" s="38" t="s">
        <v>46</v>
      </c>
      <c r="H28" s="39">
        <f t="shared" si="0"/>
        <v>200</v>
      </c>
      <c r="I28" s="39">
        <f t="shared" si="1"/>
        <v>59333.333333333336</v>
      </c>
      <c r="J28" s="39">
        <f t="shared" si="28"/>
        <v>15333.333333333336</v>
      </c>
      <c r="K28" s="138">
        <v>5500</v>
      </c>
      <c r="L28" s="138">
        <f t="shared" si="3"/>
        <v>15333.333333333336</v>
      </c>
      <c r="M28" s="138">
        <f t="shared" si="4"/>
        <v>62108.333333333328</v>
      </c>
      <c r="N28" s="138">
        <f t="shared" si="5"/>
        <v>18108.333333333328</v>
      </c>
      <c r="O28" s="138">
        <v>5500</v>
      </c>
      <c r="P28" s="39">
        <f t="shared" si="6"/>
        <v>15333.333333333336</v>
      </c>
      <c r="Q28" s="27">
        <f t="shared" si="7"/>
        <v>209.35393258426964</v>
      </c>
      <c r="AI28" s="73">
        <v>43578</v>
      </c>
      <c r="AJ28" s="38" t="s">
        <v>46</v>
      </c>
      <c r="AK28" s="39">
        <f t="shared" si="33"/>
        <v>-5720.4301075268886</v>
      </c>
      <c r="AL28" s="39">
        <f t="shared" si="31"/>
        <v>5500</v>
      </c>
      <c r="AM28" s="23">
        <f t="shared" si="10"/>
        <v>-5720.4301075268886</v>
      </c>
      <c r="AN28" t="s">
        <v>23</v>
      </c>
      <c r="AO28" s="40">
        <f t="shared" si="11"/>
        <v>240</v>
      </c>
      <c r="AP28" s="41"/>
      <c r="AQ28" s="15"/>
      <c r="AR28" s="79"/>
      <c r="AS28" s="79"/>
      <c r="AT28" s="79"/>
      <c r="AV28" s="79"/>
      <c r="AX28" s="73">
        <v>43578</v>
      </c>
      <c r="AY28" s="38" t="s">
        <v>46</v>
      </c>
      <c r="AZ28" s="39" t="str">
        <f t="shared" si="34"/>
        <v>#REF!</v>
      </c>
      <c r="BA28" s="39">
        <f t="shared" si="35"/>
        <v>5500</v>
      </c>
      <c r="BB28" s="39" t="s">
        <v>567</v>
      </c>
      <c r="BC28" t="s">
        <v>567</v>
      </c>
      <c r="BD28" s="125"/>
      <c r="BE28" s="125"/>
      <c r="BF28" s="40" t="e">
        <f t="shared" si="14"/>
        <v>#VALUE!</v>
      </c>
      <c r="BG28" s="41"/>
      <c r="BH28" s="19"/>
      <c r="BI28" s="19"/>
    </row>
    <row r="29" spans="1:61">
      <c r="A29" s="54"/>
      <c r="B29" s="54"/>
      <c r="C29" s="54"/>
      <c r="D29" s="54"/>
      <c r="E29" s="54"/>
      <c r="F29" s="73">
        <v>43579</v>
      </c>
      <c r="G29" s="38" t="s">
        <v>49</v>
      </c>
      <c r="H29" s="39">
        <f t="shared" si="0"/>
        <v>200</v>
      </c>
      <c r="I29" s="39">
        <f t="shared" si="1"/>
        <v>59333.333333333336</v>
      </c>
      <c r="J29" s="39">
        <f t="shared" si="28"/>
        <v>19333.333333333336</v>
      </c>
      <c r="K29" s="138">
        <v>5000</v>
      </c>
      <c r="L29" s="138">
        <f t="shared" si="3"/>
        <v>19333.333333333336</v>
      </c>
      <c r="M29" s="138">
        <f t="shared" si="4"/>
        <v>62108.333333333328</v>
      </c>
      <c r="N29" s="138">
        <f t="shared" si="5"/>
        <v>22108.333333333328</v>
      </c>
      <c r="O29" s="138">
        <v>5000</v>
      </c>
      <c r="P29" s="39">
        <f t="shared" si="6"/>
        <v>19333.333333333336</v>
      </c>
      <c r="Q29" s="27">
        <f t="shared" si="7"/>
        <v>209.35393258426964</v>
      </c>
      <c r="AI29" s="73">
        <v>43579</v>
      </c>
      <c r="AJ29" s="38" t="s">
        <v>49</v>
      </c>
      <c r="AK29" s="39">
        <f t="shared" si="33"/>
        <v>-1720.4301075268886</v>
      </c>
      <c r="AL29" s="46">
        <f t="shared" si="31"/>
        <v>5000</v>
      </c>
      <c r="AM29" s="47">
        <f t="shared" si="10"/>
        <v>-1720.4301075268886</v>
      </c>
      <c r="AN29" s="34" t="s">
        <v>23</v>
      </c>
      <c r="AO29" s="48">
        <f t="shared" si="11"/>
        <v>240</v>
      </c>
      <c r="AP29" s="49"/>
      <c r="AQ29" s="15"/>
      <c r="AR29" s="78"/>
      <c r="AS29" s="78" t="s">
        <v>53</v>
      </c>
      <c r="AT29" s="78" t="s">
        <v>54</v>
      </c>
      <c r="AU29" s="78" t="s">
        <v>55</v>
      </c>
      <c r="AV29" s="79"/>
      <c r="AX29" s="73">
        <v>43579</v>
      </c>
      <c r="AY29" s="38" t="s">
        <v>49</v>
      </c>
      <c r="AZ29" s="39" t="str">
        <f t="shared" si="34"/>
        <v>#REF!</v>
      </c>
      <c r="BA29" s="39">
        <f t="shared" si="35"/>
        <v>5000</v>
      </c>
      <c r="BB29" s="46" t="s">
        <v>567</v>
      </c>
      <c r="BC29" s="34" t="s">
        <v>567</v>
      </c>
      <c r="BD29" s="125"/>
      <c r="BE29" s="125"/>
      <c r="BF29" s="40" t="e">
        <f t="shared" si="14"/>
        <v>#VALUE!</v>
      </c>
      <c r="BG29" s="49"/>
      <c r="BH29" s="19"/>
      <c r="BI29" s="19"/>
    </row>
    <row r="30" spans="1:61">
      <c r="A30" s="54"/>
      <c r="B30" s="54"/>
      <c r="C30" s="54"/>
      <c r="D30" s="54"/>
      <c r="E30" s="54"/>
      <c r="F30" s="73">
        <v>43580</v>
      </c>
      <c r="G30" s="38" t="s">
        <v>51</v>
      </c>
      <c r="H30" s="39">
        <f t="shared" si="0"/>
        <v>200</v>
      </c>
      <c r="I30" s="39">
        <f t="shared" si="1"/>
        <v>59333.333333333336</v>
      </c>
      <c r="J30" s="39">
        <f t="shared" si="28"/>
        <v>19333.333333333336</v>
      </c>
      <c r="K30" s="138">
        <v>5000</v>
      </c>
      <c r="L30" s="138">
        <f t="shared" si="3"/>
        <v>19333.333333333336</v>
      </c>
      <c r="M30" s="138">
        <f t="shared" si="4"/>
        <v>62108.333333333328</v>
      </c>
      <c r="N30" s="138">
        <f t="shared" si="5"/>
        <v>22108.333333333328</v>
      </c>
      <c r="O30" s="138">
        <v>5000</v>
      </c>
      <c r="P30" s="39">
        <f t="shared" si="6"/>
        <v>19333.333333333336</v>
      </c>
      <c r="Q30" s="27">
        <f t="shared" si="7"/>
        <v>209.35393258426964</v>
      </c>
      <c r="AI30" s="73">
        <v>43580</v>
      </c>
      <c r="AJ30" s="38" t="s">
        <v>51</v>
      </c>
      <c r="AK30" s="39">
        <f t="shared" si="33"/>
        <v>-1720.4301075268886</v>
      </c>
      <c r="AL30" s="52">
        <f t="shared" si="31"/>
        <v>5000</v>
      </c>
      <c r="AM30" s="23">
        <f t="shared" si="10"/>
        <v>-1720.4301075268886</v>
      </c>
      <c r="AN30" t="s">
        <v>23</v>
      </c>
      <c r="AO30" s="40">
        <f t="shared" si="11"/>
        <v>240</v>
      </c>
      <c r="AP30" s="69" t="s">
        <v>60</v>
      </c>
      <c r="AQ30" s="70"/>
      <c r="AR30" s="78"/>
      <c r="AS30" s="78"/>
      <c r="AT30" s="78" t="s">
        <v>57</v>
      </c>
      <c r="AU30" s="102">
        <f>12695/5135</f>
        <v>2.4722492697176239</v>
      </c>
      <c r="AV30" s="79"/>
      <c r="AX30" s="73">
        <v>43580</v>
      </c>
      <c r="AY30" s="38" t="s">
        <v>51</v>
      </c>
      <c r="AZ30" s="39" t="str">
        <f t="shared" si="34"/>
        <v>#REF!</v>
      </c>
      <c r="BA30" s="39">
        <f t="shared" si="35"/>
        <v>5000</v>
      </c>
      <c r="BB30" s="39" t="s">
        <v>567</v>
      </c>
      <c r="BC30" t="s">
        <v>567</v>
      </c>
      <c r="BD30" s="125"/>
      <c r="BE30" s="125"/>
      <c r="BF30" s="40" t="e">
        <f t="shared" si="14"/>
        <v>#VALUE!</v>
      </c>
      <c r="BG30" s="69" t="s">
        <v>60</v>
      </c>
      <c r="BH30" s="19"/>
      <c r="BI30" s="19"/>
    </row>
    <row r="31" spans="1:61">
      <c r="A31" s="54"/>
      <c r="B31" s="54"/>
      <c r="C31" s="54"/>
      <c r="D31" s="54"/>
      <c r="E31" s="54"/>
      <c r="F31" s="73">
        <v>43581</v>
      </c>
      <c r="G31" s="38" t="s">
        <v>29</v>
      </c>
      <c r="H31" s="39">
        <f t="shared" si="0"/>
        <v>200</v>
      </c>
      <c r="I31" s="39">
        <f t="shared" si="1"/>
        <v>59333.333333333336</v>
      </c>
      <c r="J31" s="39">
        <f t="shared" si="28"/>
        <v>23333.333333333336</v>
      </c>
      <c r="K31" s="138">
        <v>4500</v>
      </c>
      <c r="L31" s="138">
        <f t="shared" si="3"/>
        <v>23333.333333333336</v>
      </c>
      <c r="M31" s="138">
        <f t="shared" si="4"/>
        <v>62108.333333333328</v>
      </c>
      <c r="N31" s="138">
        <f t="shared" si="5"/>
        <v>26108.333333333328</v>
      </c>
      <c r="O31" s="138">
        <v>4500</v>
      </c>
      <c r="P31" s="39">
        <f t="shared" si="6"/>
        <v>23333.333333333336</v>
      </c>
      <c r="Q31" s="27">
        <f t="shared" si="7"/>
        <v>209.35393258426964</v>
      </c>
      <c r="AI31" s="73">
        <v>43581</v>
      </c>
      <c r="AJ31" s="38" t="s">
        <v>29</v>
      </c>
      <c r="AK31" s="39">
        <f t="shared" si="33"/>
        <v>2279.5698924731114</v>
      </c>
      <c r="AL31" s="39">
        <f t="shared" si="31"/>
        <v>4500</v>
      </c>
      <c r="AM31" s="23">
        <f t="shared" si="10"/>
        <v>2279.5698924731114</v>
      </c>
      <c r="AN31" t="s">
        <v>23</v>
      </c>
      <c r="AO31" s="40">
        <f t="shared" si="11"/>
        <v>240</v>
      </c>
      <c r="AP31" s="41"/>
      <c r="AQ31" s="15"/>
      <c r="AR31" s="78"/>
      <c r="AS31" s="78"/>
      <c r="AT31" s="78" t="s">
        <v>58</v>
      </c>
      <c r="AU31" s="78">
        <v>31</v>
      </c>
      <c r="AV31" s="79"/>
      <c r="AX31" s="73">
        <v>43581</v>
      </c>
      <c r="AY31" s="38" t="s">
        <v>29</v>
      </c>
      <c r="AZ31" s="39" t="str">
        <f t="shared" si="34"/>
        <v>#REF!</v>
      </c>
      <c r="BA31" s="39">
        <f t="shared" si="35"/>
        <v>4500</v>
      </c>
      <c r="BB31" s="39" t="s">
        <v>567</v>
      </c>
      <c r="BC31" t="s">
        <v>567</v>
      </c>
      <c r="BD31" s="125"/>
      <c r="BE31" s="125"/>
      <c r="BF31" s="40" t="e">
        <f t="shared" si="14"/>
        <v>#VALUE!</v>
      </c>
      <c r="BG31" s="41"/>
      <c r="BH31" s="19"/>
      <c r="BI31" s="19"/>
    </row>
    <row r="32" spans="1:61">
      <c r="A32" s="54"/>
      <c r="B32" s="54"/>
      <c r="C32" s="54"/>
      <c r="D32" s="54"/>
      <c r="E32" s="54"/>
      <c r="F32" s="73">
        <v>43582</v>
      </c>
      <c r="G32" s="38" t="s">
        <v>33</v>
      </c>
      <c r="H32" s="39">
        <f t="shared" si="0"/>
        <v>200</v>
      </c>
      <c r="I32" s="39">
        <f t="shared" si="1"/>
        <v>59333.333333333336</v>
      </c>
      <c r="J32" s="39">
        <f t="shared" si="28"/>
        <v>27333.333333333336</v>
      </c>
      <c r="K32" s="138">
        <v>4000</v>
      </c>
      <c r="L32" s="138">
        <f t="shared" si="3"/>
        <v>27333.333333333336</v>
      </c>
      <c r="M32" s="138">
        <f t="shared" si="4"/>
        <v>62108.333333333328</v>
      </c>
      <c r="N32" s="138">
        <f t="shared" si="5"/>
        <v>30108.333333333328</v>
      </c>
      <c r="O32" s="138">
        <v>4000</v>
      </c>
      <c r="P32" s="39">
        <f t="shared" si="6"/>
        <v>27333.333333333336</v>
      </c>
      <c r="Q32" s="27">
        <f t="shared" si="7"/>
        <v>209.35393258426964</v>
      </c>
      <c r="AI32" s="73">
        <v>43582</v>
      </c>
      <c r="AJ32" s="38" t="s">
        <v>33</v>
      </c>
      <c r="AK32" s="39">
        <f t="shared" si="33"/>
        <v>6279.5698924731114</v>
      </c>
      <c r="AL32" s="39">
        <f t="shared" si="31"/>
        <v>4000</v>
      </c>
      <c r="AM32" s="23">
        <f t="shared" si="10"/>
        <v>6279.5698924731114</v>
      </c>
      <c r="AN32" t="s">
        <v>23</v>
      </c>
      <c r="AO32" s="40">
        <f t="shared" si="11"/>
        <v>240</v>
      </c>
      <c r="AP32" s="41"/>
      <c r="AQ32" s="15"/>
      <c r="AR32" s="78"/>
      <c r="AS32" s="78"/>
      <c r="AT32" s="78" t="s">
        <v>59</v>
      </c>
      <c r="AU32" s="90">
        <f>SUM(K6:K36)</f>
        <v>157000</v>
      </c>
      <c r="AV32" s="79"/>
      <c r="AX32" s="73">
        <v>43582</v>
      </c>
      <c r="AY32" s="38" t="s">
        <v>33</v>
      </c>
      <c r="AZ32" s="39" t="str">
        <f t="shared" si="34"/>
        <v>#REF!</v>
      </c>
      <c r="BA32" s="39">
        <f t="shared" si="35"/>
        <v>4000</v>
      </c>
      <c r="BB32" s="39" t="s">
        <v>567</v>
      </c>
      <c r="BC32" t="s">
        <v>567</v>
      </c>
      <c r="BD32" s="125"/>
      <c r="BE32" s="125"/>
      <c r="BF32" s="40" t="e">
        <f t="shared" si="14"/>
        <v>#VALUE!</v>
      </c>
      <c r="BG32" s="41"/>
      <c r="BH32" s="19"/>
      <c r="BI32" s="19"/>
    </row>
    <row r="33" spans="1:61">
      <c r="A33" s="54"/>
      <c r="B33" s="54"/>
      <c r="C33" s="54"/>
      <c r="D33" s="54"/>
      <c r="E33" s="70" t="s">
        <v>98</v>
      </c>
      <c r="F33" s="96">
        <v>43583</v>
      </c>
      <c r="G33" s="45" t="s">
        <v>37</v>
      </c>
      <c r="H33" s="46">
        <f t="shared" si="0"/>
        <v>100</v>
      </c>
      <c r="I33" s="46">
        <f t="shared" si="1"/>
        <v>29666.666666666668</v>
      </c>
      <c r="J33" s="46">
        <f t="shared" si="28"/>
        <v>0</v>
      </c>
      <c r="K33" s="142">
        <v>4000</v>
      </c>
      <c r="L33" s="142">
        <f t="shared" si="3"/>
        <v>-2333.3333333333321</v>
      </c>
      <c r="M33" s="142">
        <f t="shared" si="4"/>
        <v>62108.333333333328</v>
      </c>
      <c r="N33" s="142">
        <f t="shared" si="5"/>
        <v>0</v>
      </c>
      <c r="O33" s="142">
        <v>4000</v>
      </c>
      <c r="P33" s="46">
        <f t="shared" si="6"/>
        <v>-2333.3333333333321</v>
      </c>
      <c r="Q33" s="87">
        <f t="shared" si="7"/>
        <v>107.86516853932584</v>
      </c>
      <c r="AI33" s="73">
        <v>43583</v>
      </c>
      <c r="AJ33" s="45" t="s">
        <v>37</v>
      </c>
      <c r="AK33" s="39">
        <v>0</v>
      </c>
      <c r="AL33" s="39">
        <f t="shared" si="31"/>
        <v>4000</v>
      </c>
      <c r="AM33" s="23">
        <f t="shared" si="10"/>
        <v>6279.5698924731114</v>
      </c>
      <c r="AN33" t="s">
        <v>561</v>
      </c>
      <c r="AO33" s="40">
        <f t="shared" si="11"/>
        <v>200.62921348314612</v>
      </c>
      <c r="AP33" s="41"/>
      <c r="AQ33" s="15"/>
      <c r="AR33" s="79"/>
      <c r="AS33" s="79"/>
      <c r="AT33" s="78" t="s">
        <v>62</v>
      </c>
      <c r="AU33" s="90">
        <f>AU32/AU31</f>
        <v>5064.5161290322585</v>
      </c>
      <c r="AV33" s="79"/>
      <c r="AX33" s="73">
        <v>43583</v>
      </c>
      <c r="AY33" s="45" t="s">
        <v>37</v>
      </c>
      <c r="AZ33" s="39">
        <f t="shared" ref="AZ33:BA33" si="36">AK33</f>
        <v>0</v>
      </c>
      <c r="BA33" s="39">
        <f t="shared" si="36"/>
        <v>4000</v>
      </c>
      <c r="BB33" s="39" t="s">
        <v>567</v>
      </c>
      <c r="BC33" t="s">
        <v>561</v>
      </c>
      <c r="BD33" s="125"/>
      <c r="BE33" s="125"/>
      <c r="BF33" s="40" t="e">
        <f t="shared" si="14"/>
        <v>#REF!</v>
      </c>
      <c r="BG33" s="41"/>
      <c r="BH33" s="19"/>
      <c r="BI33" s="19"/>
    </row>
    <row r="34" spans="1:61">
      <c r="A34" s="54"/>
      <c r="B34" s="54"/>
      <c r="C34" s="54"/>
      <c r="D34" s="54"/>
      <c r="E34" s="54"/>
      <c r="F34" s="68">
        <v>43584</v>
      </c>
      <c r="G34" s="51" t="s">
        <v>41</v>
      </c>
      <c r="H34" s="105">
        <f t="shared" si="0"/>
        <v>200</v>
      </c>
      <c r="I34" s="105">
        <f t="shared" si="1"/>
        <v>59333.333333333336</v>
      </c>
      <c r="J34" s="105">
        <f t="shared" si="28"/>
        <v>11333.333333333336</v>
      </c>
      <c r="K34" s="136">
        <v>6000</v>
      </c>
      <c r="L34" s="136">
        <f t="shared" si="3"/>
        <v>11333.333333333336</v>
      </c>
      <c r="M34" s="136">
        <f t="shared" si="4"/>
        <v>62108.333333333328</v>
      </c>
      <c r="N34" s="136">
        <f t="shared" si="5"/>
        <v>14108.333333333328</v>
      </c>
      <c r="O34" s="136">
        <v>6000</v>
      </c>
      <c r="P34" s="105">
        <f t="shared" si="6"/>
        <v>11333.333333333336</v>
      </c>
      <c r="Q34" s="18">
        <f t="shared" si="7"/>
        <v>209.35393258426964</v>
      </c>
      <c r="AI34" s="73">
        <v>43584</v>
      </c>
      <c r="AJ34" s="51" t="s">
        <v>41</v>
      </c>
      <c r="AK34" s="39">
        <f>AM34</f>
        <v>-9720.4301075268886</v>
      </c>
      <c r="AL34" s="39">
        <f t="shared" si="31"/>
        <v>6000</v>
      </c>
      <c r="AM34" s="23">
        <f t="shared" si="10"/>
        <v>-9720.4301075268886</v>
      </c>
      <c r="AN34" t="s">
        <v>23</v>
      </c>
      <c r="AO34" s="40">
        <f t="shared" si="11"/>
        <v>240</v>
      </c>
      <c r="AP34" s="41"/>
      <c r="AQ34" s="15"/>
      <c r="AR34" s="79"/>
      <c r="AS34" s="79"/>
      <c r="AT34" s="109" t="s">
        <v>34</v>
      </c>
      <c r="AU34" s="110">
        <f>AU32*AU30</f>
        <v>388143.13534566696</v>
      </c>
      <c r="AV34" s="79"/>
      <c r="AX34" s="73">
        <v>43584</v>
      </c>
      <c r="AY34" s="51" t="s">
        <v>41</v>
      </c>
      <c r="AZ34" s="39" t="str">
        <f>BB34</f>
        <v>#REF!</v>
      </c>
      <c r="BA34" s="39">
        <f>AL34</f>
        <v>6000</v>
      </c>
      <c r="BB34" s="39" t="s">
        <v>567</v>
      </c>
      <c r="BC34" t="s">
        <v>567</v>
      </c>
      <c r="BD34" s="125"/>
      <c r="BE34" s="125"/>
      <c r="BF34" s="40" t="e">
        <f t="shared" si="14"/>
        <v>#VALUE!</v>
      </c>
      <c r="BG34" s="41"/>
      <c r="BH34" s="19"/>
      <c r="BI34" s="19"/>
    </row>
    <row r="35" spans="1:61">
      <c r="A35" s="54"/>
      <c r="B35" s="54"/>
      <c r="C35" s="54"/>
      <c r="D35" s="54"/>
      <c r="E35" s="70" t="s">
        <v>98</v>
      </c>
      <c r="F35" s="96">
        <v>43585</v>
      </c>
      <c r="G35" s="45" t="s">
        <v>46</v>
      </c>
      <c r="H35" s="46">
        <f t="shared" si="0"/>
        <v>100</v>
      </c>
      <c r="I35" s="46">
        <f t="shared" si="1"/>
        <v>29666.666666666668</v>
      </c>
      <c r="J35" s="46">
        <f t="shared" si="28"/>
        <v>0</v>
      </c>
      <c r="K35" s="148">
        <v>8000</v>
      </c>
      <c r="L35" s="142">
        <f t="shared" si="3"/>
        <v>-34333.333333333328</v>
      </c>
      <c r="M35" s="142">
        <f t="shared" si="4"/>
        <v>62108.333333333328</v>
      </c>
      <c r="N35" s="142">
        <f t="shared" si="5"/>
        <v>0</v>
      </c>
      <c r="O35" s="148">
        <v>8000</v>
      </c>
      <c r="P35" s="46">
        <f t="shared" si="6"/>
        <v>-34333.333333333328</v>
      </c>
      <c r="Q35" s="87">
        <f t="shared" si="7"/>
        <v>215.73033707865167</v>
      </c>
      <c r="AI35" s="73">
        <v>43585</v>
      </c>
      <c r="AJ35" s="38" t="s">
        <v>46</v>
      </c>
      <c r="AK35" s="39">
        <v>0</v>
      </c>
      <c r="AL35" s="39">
        <f t="shared" si="31"/>
        <v>8000</v>
      </c>
      <c r="AM35" s="23">
        <f t="shared" si="10"/>
        <v>-25720.430107526889</v>
      </c>
      <c r="AN35" t="s">
        <v>573</v>
      </c>
      <c r="AO35" s="40">
        <f t="shared" si="11"/>
        <v>401.25842696629223</v>
      </c>
      <c r="AP35" s="41"/>
      <c r="AQ35" s="15"/>
      <c r="AR35" s="79"/>
      <c r="AS35" s="79"/>
      <c r="AT35" s="109" t="s">
        <v>68</v>
      </c>
      <c r="AU35" s="131">
        <f>SUM(AZ6:AZ36)</f>
        <v>-18720.430107526889</v>
      </c>
      <c r="AV35" s="79"/>
      <c r="AX35" s="73">
        <v>43585</v>
      </c>
      <c r="AY35" s="38" t="s">
        <v>46</v>
      </c>
      <c r="AZ35" s="39">
        <f t="shared" ref="AZ35:BA35" si="37">AK35</f>
        <v>0</v>
      </c>
      <c r="BA35" s="39">
        <f t="shared" si="37"/>
        <v>8000</v>
      </c>
      <c r="BB35" s="39" t="s">
        <v>567</v>
      </c>
      <c r="BC35" t="s">
        <v>567</v>
      </c>
      <c r="BD35" s="125"/>
      <c r="BE35" s="125"/>
      <c r="BF35" s="40" t="e">
        <f t="shared" si="14"/>
        <v>#REF!</v>
      </c>
      <c r="BG35" s="41"/>
      <c r="BH35" s="19"/>
      <c r="BI35" s="19"/>
    </row>
    <row r="36" spans="1:61">
      <c r="A36" s="54"/>
      <c r="B36" s="54"/>
      <c r="C36" s="54"/>
      <c r="D36" s="54"/>
      <c r="E36" s="54"/>
      <c r="F36" s="96"/>
      <c r="G36" s="45"/>
      <c r="H36" s="39"/>
      <c r="I36" s="39"/>
      <c r="J36" s="39"/>
      <c r="K36" s="120"/>
      <c r="L36" s="39"/>
      <c r="AI36" s="96"/>
      <c r="AJ36" s="45"/>
      <c r="AK36" s="39"/>
      <c r="AL36" s="46">
        <f t="shared" si="31"/>
        <v>0</v>
      </c>
      <c r="AM36" s="47"/>
      <c r="AN36" s="34" t="s">
        <v>23</v>
      </c>
      <c r="AO36" s="48">
        <f t="shared" si="11"/>
        <v>0</v>
      </c>
      <c r="AP36" s="49"/>
      <c r="AQ36" s="15"/>
      <c r="AR36" s="79"/>
      <c r="AS36" s="79"/>
      <c r="AT36" s="78" t="s">
        <v>70</v>
      </c>
      <c r="AU36" s="90">
        <f>AU35-AU34</f>
        <v>-406863.56545319385</v>
      </c>
      <c r="AV36" s="79"/>
      <c r="AX36" s="96"/>
      <c r="AY36" s="45"/>
      <c r="AZ36" s="46"/>
      <c r="BA36" s="46"/>
      <c r="BB36" s="46"/>
      <c r="BC36" s="34"/>
      <c r="BD36" s="125"/>
      <c r="BE36" s="125"/>
      <c r="BF36" s="40" t="e">
        <f t="shared" si="14"/>
        <v>#REF!</v>
      </c>
      <c r="BG36" s="49"/>
      <c r="BH36" s="19"/>
      <c r="BI36" s="19"/>
    </row>
    <row r="37" spans="1:6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AI37" s="112"/>
      <c r="AJ37" s="113"/>
      <c r="AK37" s="114">
        <f t="shared" ref="AK37:AL37" si="38">SUM(AK6:AK36)</f>
        <v>-77688.172043010883</v>
      </c>
      <c r="AL37" s="114">
        <f t="shared" si="38"/>
        <v>160000</v>
      </c>
      <c r="AM37">
        <f>AL37/30</f>
        <v>5333.333333333333</v>
      </c>
      <c r="AR37" s="79"/>
      <c r="AS37" s="79"/>
      <c r="AT37" s="78" t="s">
        <v>72</v>
      </c>
      <c r="AU37" s="115">
        <f>AU36/26</f>
        <v>-15648.598671276686</v>
      </c>
      <c r="AV37" s="79"/>
      <c r="AX37" s="112"/>
      <c r="AY37" s="113"/>
      <c r="AZ37" s="114">
        <f t="shared" ref="AZ37:BA37" si="39">SUM(AZ6:AZ36)</f>
        <v>-18720.430107526889</v>
      </c>
      <c r="BA37" s="114">
        <f t="shared" si="39"/>
        <v>160000</v>
      </c>
      <c r="BB37" s="114"/>
      <c r="BH37" s="9"/>
      <c r="BI37" s="9"/>
    </row>
    <row r="38" spans="1:6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AK38">
        <f>AK37/26</f>
        <v>-2988.00661703888</v>
      </c>
      <c r="AL38">
        <f>AK37/AL37</f>
        <v>-0.48555107526881802</v>
      </c>
      <c r="BA38">
        <f>AZ37/BA37</f>
        <v>-0.11700268817204305</v>
      </c>
      <c r="BH38" s="9"/>
      <c r="BI38" s="9"/>
    </row>
    <row r="39" spans="1:6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AE39" s="4" t="s">
        <v>78</v>
      </c>
      <c r="BH39" s="9"/>
      <c r="BI39" s="9"/>
    </row>
    <row r="40" spans="1:6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AE40" s="4" t="s">
        <v>79</v>
      </c>
      <c r="BH40" s="9"/>
      <c r="BI40" s="9"/>
    </row>
    <row r="41" spans="1:6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AE41" s="119" t="s">
        <v>80</v>
      </c>
      <c r="AT41" s="119"/>
      <c r="BH41" s="9"/>
      <c r="BI41" s="9"/>
    </row>
    <row r="42" spans="1:6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BH42" s="9"/>
      <c r="BI42" s="9"/>
    </row>
    <row r="43" spans="1:6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BH43" s="9"/>
      <c r="BI43" s="9"/>
    </row>
    <row r="44" spans="1:6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BH44" s="9"/>
      <c r="BI44" s="9"/>
    </row>
    <row r="45" spans="1:6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BH45" s="9"/>
      <c r="BI45" s="9"/>
    </row>
    <row r="46" spans="1:6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BH46" s="9"/>
      <c r="BI46" s="9"/>
    </row>
    <row r="47" spans="1:6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BH47" s="9"/>
      <c r="BI47" s="9"/>
    </row>
    <row r="48" spans="1:6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BH48" s="9"/>
      <c r="BI48" s="9"/>
    </row>
    <row r="49" spans="1:6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BH49" s="9"/>
      <c r="BI49" s="9"/>
    </row>
    <row r="50" spans="1:6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BH50" s="9"/>
      <c r="BI50" s="9"/>
    </row>
    <row r="51" spans="1:61" ht="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BH51" s="9"/>
      <c r="BI51" s="9"/>
    </row>
    <row r="52" spans="1:61" ht="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BH52" s="9"/>
      <c r="BI52" s="9"/>
    </row>
    <row r="53" spans="1:61" ht="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BH53" s="9"/>
      <c r="BI53" s="9"/>
    </row>
    <row r="54" spans="1:61" ht="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BH54" s="9"/>
      <c r="BI54" s="9"/>
    </row>
    <row r="55" spans="1:61" ht="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 t="s">
        <v>82</v>
      </c>
      <c r="AF55" s="113"/>
      <c r="BH55" s="9"/>
      <c r="BI55" s="9"/>
    </row>
    <row r="56" spans="1:61" ht="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BH56" s="9"/>
      <c r="BI56" s="9"/>
    </row>
    <row r="57" spans="1:61" ht="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BH57" s="9"/>
      <c r="BI57" s="9"/>
    </row>
    <row r="58" spans="1:61" ht="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BH58" s="9"/>
      <c r="BI58" s="9"/>
    </row>
    <row r="59" spans="1:61" ht="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BH59" s="9"/>
      <c r="BI59" s="9"/>
    </row>
    <row r="60" spans="1:61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BH60" s="9"/>
      <c r="BI60" s="9"/>
    </row>
    <row r="61" spans="1:61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BH61" s="9"/>
      <c r="BI61" s="9"/>
    </row>
    <row r="62" spans="1:61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BH62" s="9"/>
      <c r="BI62" s="9"/>
    </row>
    <row r="63" spans="1:61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BH63" s="9"/>
      <c r="BI63" s="9"/>
    </row>
    <row r="64" spans="1:61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BH64" s="9"/>
      <c r="BI64" s="9"/>
    </row>
    <row r="65" spans="1:61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BH65" s="9"/>
      <c r="BI65" s="9"/>
    </row>
    <row r="66" spans="1:61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BH66" s="9"/>
      <c r="BI66" s="9"/>
    </row>
    <row r="67" spans="1:61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BH67" s="9"/>
      <c r="BI67" s="9"/>
    </row>
    <row r="68" spans="1:61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BH68" s="9"/>
      <c r="BI68" s="9"/>
    </row>
    <row r="69" spans="1:61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BH69" s="9"/>
      <c r="BI69" s="9"/>
    </row>
    <row r="70" spans="1:61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BH70" s="9"/>
      <c r="BI70" s="9"/>
    </row>
    <row r="71" spans="1:61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BH71" s="9"/>
      <c r="BI71" s="9"/>
    </row>
    <row r="72" spans="1:61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BH72" s="9"/>
      <c r="BI72" s="9"/>
    </row>
    <row r="73" spans="1:61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BH73" s="9"/>
      <c r="BI73" s="9"/>
    </row>
    <row r="74" spans="1:61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BH74" s="9"/>
      <c r="BI74" s="9"/>
    </row>
    <row r="75" spans="1:61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BH75" s="9"/>
      <c r="BI75" s="9"/>
    </row>
    <row r="76" spans="1:61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BH76" s="9"/>
      <c r="BI76" s="9"/>
    </row>
    <row r="77" spans="1:61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BH77" s="9"/>
      <c r="BI77" s="9"/>
    </row>
    <row r="78" spans="1:61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BH78" s="9"/>
      <c r="BI78" s="9"/>
    </row>
    <row r="79" spans="1:61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BH79" s="9"/>
      <c r="BI79" s="9"/>
    </row>
    <row r="80" spans="1:61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BH80" s="9"/>
      <c r="BI80" s="9"/>
    </row>
    <row r="81" spans="1:61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BH81" s="9"/>
      <c r="BI81" s="9"/>
    </row>
    <row r="82" spans="1:61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BH82" s="9"/>
      <c r="BI82" s="9"/>
    </row>
    <row r="83" spans="1:61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BH83" s="9"/>
      <c r="BI83" s="9"/>
    </row>
    <row r="84" spans="1:61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BH84" s="9"/>
      <c r="BI84" s="9"/>
    </row>
    <row r="85" spans="1:61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BH85" s="9"/>
      <c r="BI85" s="9"/>
    </row>
    <row r="86" spans="1:61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BH86" s="9"/>
      <c r="BI86" s="9"/>
    </row>
    <row r="87" spans="1:61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BH87" s="9"/>
      <c r="BI87" s="9"/>
    </row>
    <row r="88" spans="1:61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BH88" s="9"/>
      <c r="BI88" s="9"/>
    </row>
    <row r="89" spans="1:61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BH89" s="9"/>
      <c r="BI89" s="9"/>
    </row>
    <row r="90" spans="1:61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BH90" s="9"/>
      <c r="BI90" s="9"/>
    </row>
    <row r="91" spans="1:61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BH91" s="9"/>
      <c r="BI91" s="9"/>
    </row>
    <row r="92" spans="1:61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BH92" s="9"/>
      <c r="BI92" s="9"/>
    </row>
    <row r="93" spans="1:61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BH93" s="9"/>
      <c r="BI93" s="9"/>
    </row>
    <row r="94" spans="1:61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BH94" s="9"/>
      <c r="BI94" s="9"/>
    </row>
    <row r="95" spans="1:61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BH95" s="9"/>
      <c r="BI95" s="9"/>
    </row>
    <row r="96" spans="1:61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BH96" s="9"/>
      <c r="BI96" s="9"/>
    </row>
    <row r="97" spans="1:61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BH97" s="9"/>
      <c r="BI97" s="9"/>
    </row>
    <row r="98" spans="1:61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BH98" s="9"/>
      <c r="BI98" s="9"/>
    </row>
    <row r="99" spans="1:61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BH99" s="9"/>
      <c r="BI99" s="9"/>
    </row>
    <row r="100" spans="1:61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BH100" s="9"/>
      <c r="BI100" s="9"/>
    </row>
    <row r="101" spans="1:61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BH101" s="9"/>
      <c r="BI101" s="9"/>
    </row>
    <row r="102" spans="1:61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BH102" s="9"/>
      <c r="BI102" s="9"/>
    </row>
    <row r="103" spans="1:61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BH103" s="9"/>
      <c r="BI103" s="9"/>
    </row>
    <row r="104" spans="1:61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BH104" s="9"/>
      <c r="BI104" s="9"/>
    </row>
    <row r="105" spans="1:61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BH105" s="9"/>
      <c r="BI105" s="9"/>
    </row>
    <row r="106" spans="1:61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BH106" s="9"/>
      <c r="BI106" s="9"/>
    </row>
    <row r="107" spans="1:61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BH107" s="9"/>
      <c r="BI107" s="9"/>
    </row>
    <row r="108" spans="1:61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BH108" s="9"/>
      <c r="BI108" s="9"/>
    </row>
    <row r="109" spans="1:61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BH109" s="9"/>
      <c r="BI109" s="9"/>
    </row>
    <row r="110" spans="1:61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BH110" s="9"/>
      <c r="BI110" s="9"/>
    </row>
    <row r="111" spans="1:61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BH111" s="9"/>
      <c r="BI111" s="9"/>
    </row>
    <row r="112" spans="1:61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BH112" s="9"/>
      <c r="BI112" s="9"/>
    </row>
    <row r="113" spans="1:61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BH113" s="9"/>
      <c r="BI113" s="9"/>
    </row>
    <row r="114" spans="1:61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BH114" s="9"/>
      <c r="BI114" s="9"/>
    </row>
    <row r="115" spans="1:61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BH115" s="9"/>
      <c r="BI115" s="9"/>
    </row>
    <row r="116" spans="1:61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BH116" s="9"/>
      <c r="BI116" s="9"/>
    </row>
    <row r="117" spans="1:61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BH117" s="9"/>
      <c r="BI117" s="9"/>
    </row>
    <row r="118" spans="1:61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BH118" s="9"/>
      <c r="BI118" s="9"/>
    </row>
    <row r="119" spans="1:61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BH119" s="9"/>
      <c r="BI119" s="9"/>
    </row>
    <row r="120" spans="1:61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BH120" s="9"/>
      <c r="BI120" s="9"/>
    </row>
    <row r="121" spans="1:61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BH121" s="9"/>
      <c r="BI121" s="9"/>
    </row>
    <row r="122" spans="1:61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BH122" s="9"/>
      <c r="BI122" s="9"/>
    </row>
    <row r="123" spans="1:61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BH123" s="9"/>
      <c r="BI123" s="9"/>
    </row>
    <row r="124" spans="1:61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BH124" s="9"/>
      <c r="BI124" s="9"/>
    </row>
    <row r="125" spans="1:61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BH125" s="9"/>
      <c r="BI125" s="9"/>
    </row>
    <row r="126" spans="1:61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BH126" s="9"/>
      <c r="BI126" s="9"/>
    </row>
    <row r="127" spans="1:61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BH127" s="9"/>
      <c r="BI127" s="9"/>
    </row>
    <row r="128" spans="1:61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BH128" s="9"/>
      <c r="BI128" s="9"/>
    </row>
    <row r="129" spans="1:61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BH129" s="9"/>
      <c r="BI129" s="9"/>
    </row>
    <row r="130" spans="1:61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BH130" s="9"/>
      <c r="BI130" s="9"/>
    </row>
    <row r="131" spans="1:61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BH131" s="9"/>
      <c r="BI131" s="9"/>
    </row>
    <row r="132" spans="1:61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BH132" s="9"/>
      <c r="BI132" s="9"/>
    </row>
    <row r="133" spans="1:61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BH133" s="9"/>
      <c r="BI133" s="9"/>
    </row>
    <row r="134" spans="1:61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BH134" s="9"/>
      <c r="BI134" s="9"/>
    </row>
    <row r="135" spans="1:61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BH135" s="9"/>
      <c r="BI135" s="9"/>
    </row>
    <row r="136" spans="1:61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BH136" s="9"/>
      <c r="BI136" s="9"/>
    </row>
    <row r="137" spans="1:61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BH137" s="9"/>
      <c r="BI137" s="9"/>
    </row>
    <row r="138" spans="1:61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BH138" s="9"/>
      <c r="BI138" s="9"/>
    </row>
    <row r="139" spans="1:61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BH139" s="9"/>
      <c r="BI139" s="9"/>
    </row>
    <row r="140" spans="1:61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BH140" s="9"/>
      <c r="BI140" s="9"/>
    </row>
    <row r="141" spans="1:61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BH141" s="9"/>
      <c r="BI141" s="9"/>
    </row>
    <row r="142" spans="1:61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BH142" s="9"/>
      <c r="BI142" s="9"/>
    </row>
    <row r="143" spans="1:61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BH143" s="9"/>
      <c r="BI143" s="9"/>
    </row>
    <row r="144" spans="1:61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BH144" s="9"/>
      <c r="BI144" s="9"/>
    </row>
    <row r="145" spans="1:61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BH145" s="9"/>
      <c r="BI145" s="9"/>
    </row>
    <row r="146" spans="1:61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BH146" s="9"/>
      <c r="BI146" s="9"/>
    </row>
    <row r="147" spans="1:61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BH147" s="9"/>
      <c r="BI147" s="9"/>
    </row>
    <row r="148" spans="1:61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BH148" s="9"/>
      <c r="BI148" s="9"/>
    </row>
    <row r="149" spans="1:61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BH149" s="9"/>
      <c r="BI149" s="9"/>
    </row>
    <row r="150" spans="1:61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BH150" s="9"/>
      <c r="BI150" s="9"/>
    </row>
    <row r="151" spans="1:61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BH151" s="9"/>
      <c r="BI151" s="9"/>
    </row>
    <row r="152" spans="1:61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BH152" s="9"/>
      <c r="BI152" s="9"/>
    </row>
    <row r="153" spans="1:61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BH153" s="9"/>
      <c r="BI153" s="9"/>
    </row>
    <row r="154" spans="1:61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BH154" s="9"/>
      <c r="BI154" s="9"/>
    </row>
    <row r="155" spans="1:61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BH155" s="9"/>
      <c r="BI155" s="9"/>
    </row>
    <row r="156" spans="1:61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BH156" s="9"/>
      <c r="BI156" s="9"/>
    </row>
    <row r="157" spans="1:61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BH157" s="9"/>
      <c r="BI157" s="9"/>
    </row>
    <row r="158" spans="1:61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BH158" s="9"/>
      <c r="BI158" s="9"/>
    </row>
    <row r="159" spans="1:61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BH159" s="9"/>
      <c r="BI159" s="9"/>
    </row>
    <row r="160" spans="1:61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BH160" s="9"/>
      <c r="BI160" s="9"/>
    </row>
    <row r="161" spans="1:61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BH161" s="9"/>
      <c r="BI161" s="9"/>
    </row>
    <row r="162" spans="1:61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BH162" s="9"/>
      <c r="BI162" s="9"/>
    </row>
    <row r="163" spans="1:61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BH163" s="9"/>
      <c r="BI163" s="9"/>
    </row>
    <row r="164" spans="1:61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BH164" s="9"/>
      <c r="BI164" s="9"/>
    </row>
    <row r="165" spans="1:61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BH165" s="9"/>
      <c r="BI165" s="9"/>
    </row>
    <row r="166" spans="1:61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BH166" s="9"/>
      <c r="BI166" s="9"/>
    </row>
    <row r="167" spans="1:61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BH167" s="9"/>
      <c r="BI167" s="9"/>
    </row>
    <row r="168" spans="1:61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BH168" s="9"/>
      <c r="BI168" s="9"/>
    </row>
    <row r="169" spans="1:61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BH169" s="9"/>
      <c r="BI169" s="9"/>
    </row>
    <row r="170" spans="1:61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BH170" s="9"/>
      <c r="BI170" s="9"/>
    </row>
    <row r="171" spans="1:61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BH171" s="9"/>
      <c r="BI171" s="9"/>
    </row>
    <row r="172" spans="1:61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BH172" s="9"/>
      <c r="BI172" s="9"/>
    </row>
    <row r="173" spans="1:61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BH173" s="9"/>
      <c r="BI173" s="9"/>
    </row>
    <row r="174" spans="1:61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BH174" s="9"/>
      <c r="BI174" s="9"/>
    </row>
    <row r="175" spans="1:61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BH175" s="9"/>
      <c r="BI175" s="9"/>
    </row>
    <row r="176" spans="1:61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BH176" s="9"/>
      <c r="BI176" s="9"/>
    </row>
    <row r="177" spans="1:61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BH177" s="9"/>
      <c r="BI177" s="9"/>
    </row>
    <row r="178" spans="1:61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BH178" s="9"/>
      <c r="BI178" s="9"/>
    </row>
    <row r="179" spans="1:61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BH179" s="9"/>
      <c r="BI179" s="9"/>
    </row>
    <row r="180" spans="1:61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BH180" s="9"/>
      <c r="BI180" s="9"/>
    </row>
    <row r="181" spans="1:61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BH181" s="9"/>
      <c r="BI181" s="9"/>
    </row>
    <row r="182" spans="1:61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BH182" s="9"/>
      <c r="BI182" s="9"/>
    </row>
    <row r="183" spans="1:61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BH183" s="9"/>
      <c r="BI183" s="9"/>
    </row>
    <row r="184" spans="1:61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BH184" s="9"/>
      <c r="BI184" s="9"/>
    </row>
    <row r="185" spans="1:61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BH185" s="9"/>
      <c r="BI185" s="9"/>
    </row>
    <row r="186" spans="1:61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BH186" s="9"/>
      <c r="BI186" s="9"/>
    </row>
    <row r="187" spans="1:61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BH187" s="9"/>
      <c r="BI187" s="9"/>
    </row>
    <row r="188" spans="1:61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BH188" s="9"/>
      <c r="BI188" s="9"/>
    </row>
    <row r="189" spans="1:61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BH189" s="9"/>
      <c r="BI189" s="9"/>
    </row>
    <row r="190" spans="1:61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BH190" s="9"/>
      <c r="BI190" s="9"/>
    </row>
    <row r="191" spans="1:61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BH191" s="9"/>
      <c r="BI191" s="9"/>
    </row>
    <row r="192" spans="1:61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BH192" s="9"/>
      <c r="BI192" s="9"/>
    </row>
    <row r="193" spans="1:61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BH193" s="9"/>
      <c r="BI193" s="9"/>
    </row>
    <row r="194" spans="1:61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BH194" s="9"/>
      <c r="BI194" s="9"/>
    </row>
    <row r="195" spans="1:61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BH195" s="9"/>
      <c r="BI195" s="9"/>
    </row>
    <row r="196" spans="1:61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BH196" s="9"/>
      <c r="BI196" s="9"/>
    </row>
    <row r="197" spans="1:61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BH197" s="9"/>
      <c r="BI197" s="9"/>
    </row>
    <row r="198" spans="1:61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BH198" s="9"/>
      <c r="BI198" s="9"/>
    </row>
    <row r="199" spans="1:61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BH199" s="9"/>
      <c r="BI199" s="9"/>
    </row>
    <row r="200" spans="1:61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BH200" s="9"/>
      <c r="BI200" s="9"/>
    </row>
    <row r="201" spans="1:61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BH201" s="9"/>
      <c r="BI201" s="9"/>
    </row>
    <row r="202" spans="1:61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BH202" s="9"/>
      <c r="BI202" s="9"/>
    </row>
    <row r="203" spans="1:61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BH203" s="9"/>
      <c r="BI203" s="9"/>
    </row>
    <row r="204" spans="1:61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BH204" s="9"/>
      <c r="BI204" s="9"/>
    </row>
    <row r="205" spans="1:61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BH205" s="9"/>
      <c r="BI205" s="9"/>
    </row>
    <row r="206" spans="1:61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BH206" s="9"/>
      <c r="BI206" s="9"/>
    </row>
    <row r="207" spans="1:61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BH207" s="9"/>
      <c r="BI207" s="9"/>
    </row>
    <row r="208" spans="1:61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BH208" s="9"/>
      <c r="BI208" s="9"/>
    </row>
    <row r="209" spans="1:61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BH209" s="9"/>
      <c r="BI209" s="9"/>
    </row>
    <row r="210" spans="1:61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BH210" s="9"/>
      <c r="BI210" s="9"/>
    </row>
    <row r="211" spans="1:61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BH211" s="9"/>
      <c r="BI211" s="9"/>
    </row>
    <row r="212" spans="1:61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BH212" s="9"/>
      <c r="BI212" s="9"/>
    </row>
    <row r="213" spans="1:61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BH213" s="9"/>
      <c r="BI213" s="9"/>
    </row>
    <row r="214" spans="1:61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BH214" s="9"/>
      <c r="BI214" s="9"/>
    </row>
    <row r="215" spans="1:61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BH215" s="9"/>
      <c r="BI215" s="9"/>
    </row>
    <row r="216" spans="1:61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BH216" s="9"/>
      <c r="BI216" s="9"/>
    </row>
    <row r="217" spans="1:61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BH217" s="9"/>
      <c r="BI217" s="9"/>
    </row>
    <row r="218" spans="1:61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BH218" s="9"/>
      <c r="BI218" s="9"/>
    </row>
    <row r="219" spans="1:61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BH219" s="9"/>
      <c r="BI219" s="9"/>
    </row>
    <row r="220" spans="1:61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BH220" s="9"/>
      <c r="BI220" s="9"/>
    </row>
    <row r="221" spans="1:61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BH221" s="9"/>
      <c r="BI221" s="9"/>
    </row>
    <row r="222" spans="1:61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BH222" s="9"/>
      <c r="BI222" s="9"/>
    </row>
    <row r="223" spans="1:61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BH223" s="9"/>
      <c r="BI223" s="9"/>
    </row>
    <row r="224" spans="1:61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BH224" s="9"/>
      <c r="BI224" s="9"/>
    </row>
    <row r="225" spans="1:61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BH225" s="9"/>
      <c r="BI225" s="9"/>
    </row>
    <row r="226" spans="1:61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BH226" s="9"/>
      <c r="BI226" s="9"/>
    </row>
    <row r="227" spans="1:61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BH227" s="9"/>
      <c r="BI227" s="9"/>
    </row>
    <row r="228" spans="1:61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BH228" s="9"/>
      <c r="BI228" s="9"/>
    </row>
    <row r="229" spans="1:61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BH229" s="9"/>
      <c r="BI229" s="9"/>
    </row>
    <row r="230" spans="1:61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BH230" s="9"/>
      <c r="BI230" s="9"/>
    </row>
    <row r="231" spans="1:61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BH231" s="9"/>
      <c r="BI231" s="9"/>
    </row>
    <row r="232" spans="1:61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BH232" s="9"/>
      <c r="BI232" s="9"/>
    </row>
    <row r="233" spans="1:61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BH233" s="9"/>
      <c r="BI233" s="9"/>
    </row>
    <row r="234" spans="1:61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BH234" s="9"/>
      <c r="BI234" s="9"/>
    </row>
    <row r="235" spans="1:61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BH235" s="9"/>
      <c r="BI235" s="9"/>
    </row>
    <row r="236" spans="1:61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BH236" s="9"/>
      <c r="BI236" s="9"/>
    </row>
    <row r="237" spans="1:61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BH237" s="9"/>
      <c r="BI237" s="9"/>
    </row>
    <row r="238" spans="1:61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BH238" s="9"/>
      <c r="BI238" s="9"/>
    </row>
    <row r="239" spans="1:61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BH239" s="9"/>
      <c r="BI239" s="9"/>
    </row>
    <row r="240" spans="1:61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BH240" s="9"/>
      <c r="BI240" s="9"/>
    </row>
    <row r="241" spans="1:61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BH241" s="9"/>
      <c r="BI241" s="9"/>
    </row>
    <row r="242" spans="1:61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BH242" s="9"/>
      <c r="BI242" s="9"/>
    </row>
    <row r="243" spans="1:61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BH243" s="9"/>
      <c r="BI243" s="9"/>
    </row>
    <row r="244" spans="1:61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BH244" s="9"/>
      <c r="BI244" s="9"/>
    </row>
    <row r="245" spans="1:61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BH245" s="9"/>
      <c r="BI245" s="9"/>
    </row>
    <row r="246" spans="1:61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BH246" s="9"/>
      <c r="BI246" s="9"/>
    </row>
    <row r="247" spans="1:61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BH247" s="9"/>
      <c r="BI247" s="9"/>
    </row>
    <row r="248" spans="1:61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BH248" s="9"/>
      <c r="BI248" s="9"/>
    </row>
    <row r="249" spans="1:61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BH249" s="9"/>
      <c r="BI249" s="9"/>
    </row>
    <row r="250" spans="1:61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BH250" s="9"/>
      <c r="BI250" s="9"/>
    </row>
    <row r="251" spans="1:61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BH251" s="9"/>
      <c r="BI251" s="9"/>
    </row>
    <row r="252" spans="1:61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BH252" s="9"/>
      <c r="BI252" s="9"/>
    </row>
    <row r="253" spans="1:61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BH253" s="9"/>
      <c r="BI253" s="9"/>
    </row>
    <row r="254" spans="1:61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BH254" s="9"/>
      <c r="BI254" s="9"/>
    </row>
    <row r="255" spans="1:61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BH255" s="9"/>
      <c r="BI255" s="9"/>
    </row>
    <row r="256" spans="1:61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BH256" s="9"/>
      <c r="BI256" s="9"/>
    </row>
    <row r="257" spans="1:61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BH257" s="9"/>
      <c r="BI257" s="9"/>
    </row>
    <row r="258" spans="1:61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BH258" s="9"/>
      <c r="BI258" s="9"/>
    </row>
    <row r="259" spans="1:61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BH259" s="9"/>
      <c r="BI259" s="9"/>
    </row>
    <row r="260" spans="1:61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BH260" s="9"/>
      <c r="BI260" s="9"/>
    </row>
    <row r="261" spans="1:61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BH261" s="9"/>
      <c r="BI261" s="9"/>
    </row>
    <row r="262" spans="1:61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BH262" s="9"/>
      <c r="BI262" s="9"/>
    </row>
    <row r="263" spans="1:61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BH263" s="9"/>
      <c r="BI263" s="9"/>
    </row>
    <row r="264" spans="1:61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BH264" s="9"/>
      <c r="BI264" s="9"/>
    </row>
    <row r="265" spans="1:61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BH265" s="9"/>
      <c r="BI265" s="9"/>
    </row>
    <row r="266" spans="1:61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BH266" s="9"/>
      <c r="BI266" s="9"/>
    </row>
    <row r="267" spans="1:61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BH267" s="9"/>
      <c r="BI267" s="9"/>
    </row>
    <row r="268" spans="1:61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BH268" s="9"/>
      <c r="BI268" s="9"/>
    </row>
    <row r="269" spans="1:61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BH269" s="9"/>
      <c r="BI269" s="9"/>
    </row>
    <row r="270" spans="1:61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BH270" s="9"/>
      <c r="BI270" s="9"/>
    </row>
    <row r="271" spans="1:61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BH271" s="9"/>
      <c r="BI271" s="9"/>
    </row>
    <row r="272" spans="1:61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BH272" s="9"/>
      <c r="BI272" s="9"/>
    </row>
    <row r="273" spans="1:61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BH273" s="9"/>
      <c r="BI273" s="9"/>
    </row>
    <row r="274" spans="1:61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BH274" s="9"/>
      <c r="BI274" s="9"/>
    </row>
    <row r="275" spans="1:61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BH275" s="9"/>
      <c r="BI275" s="9"/>
    </row>
    <row r="276" spans="1:61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BH276" s="9"/>
      <c r="BI276" s="9"/>
    </row>
    <row r="277" spans="1:61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BH277" s="9"/>
      <c r="BI277" s="9"/>
    </row>
    <row r="278" spans="1:61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BH278" s="9"/>
      <c r="BI278" s="9"/>
    </row>
    <row r="279" spans="1:61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BH279" s="9"/>
      <c r="BI279" s="9"/>
    </row>
    <row r="280" spans="1:61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BH280" s="9"/>
      <c r="BI280" s="9"/>
    </row>
    <row r="281" spans="1:61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BH281" s="9"/>
      <c r="BI281" s="9"/>
    </row>
    <row r="282" spans="1:61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BH282" s="9"/>
      <c r="BI282" s="9"/>
    </row>
    <row r="283" spans="1:61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BH283" s="9"/>
      <c r="BI283" s="9"/>
    </row>
    <row r="284" spans="1:61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BH284" s="9"/>
      <c r="BI284" s="9"/>
    </row>
    <row r="285" spans="1:61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BH285" s="9"/>
      <c r="BI285" s="9"/>
    </row>
    <row r="286" spans="1:61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BH286" s="9"/>
      <c r="BI286" s="9"/>
    </row>
    <row r="287" spans="1:61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BH287" s="9"/>
      <c r="BI287" s="9"/>
    </row>
    <row r="288" spans="1:61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BH288" s="9"/>
      <c r="BI288" s="9"/>
    </row>
    <row r="289" spans="1:61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BH289" s="9"/>
      <c r="BI289" s="9"/>
    </row>
    <row r="290" spans="1:61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BH290" s="9"/>
      <c r="BI290" s="9"/>
    </row>
    <row r="291" spans="1:61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BH291" s="9"/>
      <c r="BI291" s="9"/>
    </row>
    <row r="292" spans="1:61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BH292" s="9"/>
      <c r="BI292" s="9"/>
    </row>
    <row r="293" spans="1:61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BH293" s="9"/>
      <c r="BI293" s="9"/>
    </row>
    <row r="294" spans="1:61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BH294" s="9"/>
      <c r="BI294" s="9"/>
    </row>
    <row r="295" spans="1:61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BH295" s="9"/>
      <c r="BI295" s="9"/>
    </row>
    <row r="296" spans="1:61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BH296" s="9"/>
      <c r="BI296" s="9"/>
    </row>
    <row r="297" spans="1:61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BH297" s="9"/>
      <c r="BI297" s="9"/>
    </row>
    <row r="298" spans="1:61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BH298" s="9"/>
      <c r="BI298" s="9"/>
    </row>
    <row r="299" spans="1:61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BH299" s="9"/>
      <c r="BI299" s="9"/>
    </row>
    <row r="300" spans="1:61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BH300" s="9"/>
      <c r="BI300" s="9"/>
    </row>
    <row r="301" spans="1:61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BH301" s="9"/>
      <c r="BI301" s="9"/>
    </row>
    <row r="302" spans="1:61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BH302" s="9"/>
      <c r="BI302" s="9"/>
    </row>
    <row r="303" spans="1:61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BH303" s="9"/>
      <c r="BI303" s="9"/>
    </row>
    <row r="304" spans="1:61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BH304" s="9"/>
      <c r="BI304" s="9"/>
    </row>
    <row r="305" spans="1:61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BH305" s="9"/>
      <c r="BI305" s="9"/>
    </row>
    <row r="306" spans="1:61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BH306" s="9"/>
      <c r="BI306" s="9"/>
    </row>
    <row r="307" spans="1:61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BH307" s="9"/>
      <c r="BI307" s="9"/>
    </row>
    <row r="308" spans="1:61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BH308" s="9"/>
      <c r="BI308" s="9"/>
    </row>
    <row r="309" spans="1:61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BH309" s="9"/>
      <c r="BI309" s="9"/>
    </row>
    <row r="310" spans="1:61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BH310" s="9"/>
      <c r="BI310" s="9"/>
    </row>
    <row r="311" spans="1:61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BH311" s="9"/>
      <c r="BI311" s="9"/>
    </row>
    <row r="312" spans="1:61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BH312" s="9"/>
      <c r="BI312" s="9"/>
    </row>
    <row r="313" spans="1:61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BH313" s="9"/>
      <c r="BI313" s="9"/>
    </row>
    <row r="314" spans="1:61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BH314" s="9"/>
      <c r="BI314" s="9"/>
    </row>
    <row r="315" spans="1:61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BH315" s="9"/>
      <c r="BI315" s="9"/>
    </row>
    <row r="316" spans="1:61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BH316" s="9"/>
      <c r="BI316" s="9"/>
    </row>
    <row r="317" spans="1:61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BH317" s="9"/>
      <c r="BI317" s="9"/>
    </row>
    <row r="318" spans="1:61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BH318" s="9"/>
      <c r="BI318" s="9"/>
    </row>
    <row r="319" spans="1:61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BH319" s="9"/>
      <c r="BI319" s="9"/>
    </row>
    <row r="320" spans="1:61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BH320" s="9"/>
      <c r="BI320" s="9"/>
    </row>
    <row r="321" spans="1:61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BH321" s="9"/>
      <c r="BI321" s="9"/>
    </row>
    <row r="322" spans="1:61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BH322" s="9"/>
      <c r="BI322" s="9"/>
    </row>
    <row r="323" spans="1:61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BH323" s="9"/>
      <c r="BI323" s="9"/>
    </row>
    <row r="324" spans="1:61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BH324" s="9"/>
      <c r="BI324" s="9"/>
    </row>
    <row r="325" spans="1:61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BH325" s="9"/>
      <c r="BI325" s="9"/>
    </row>
    <row r="326" spans="1:61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BH326" s="9"/>
      <c r="BI326" s="9"/>
    </row>
    <row r="327" spans="1:61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BH327" s="9"/>
      <c r="BI327" s="9"/>
    </row>
    <row r="328" spans="1:61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BH328" s="9"/>
      <c r="BI328" s="9"/>
    </row>
    <row r="329" spans="1:61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BH329" s="9"/>
      <c r="BI329" s="9"/>
    </row>
    <row r="330" spans="1:61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BH330" s="9"/>
      <c r="BI330" s="9"/>
    </row>
    <row r="331" spans="1:61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BH331" s="9"/>
      <c r="BI331" s="9"/>
    </row>
    <row r="332" spans="1:61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BH332" s="9"/>
      <c r="BI332" s="9"/>
    </row>
    <row r="333" spans="1:61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BH333" s="9"/>
      <c r="BI333" s="9"/>
    </row>
    <row r="334" spans="1:61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BH334" s="9"/>
      <c r="BI334" s="9"/>
    </row>
    <row r="335" spans="1:61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BH335" s="9"/>
      <c r="BI335" s="9"/>
    </row>
    <row r="336" spans="1:61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BH336" s="9"/>
      <c r="BI336" s="9"/>
    </row>
    <row r="337" spans="1:61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BH337" s="9"/>
      <c r="BI337" s="9"/>
    </row>
    <row r="338" spans="1:61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BH338" s="9"/>
      <c r="BI338" s="9"/>
    </row>
    <row r="339" spans="1:61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BH339" s="9"/>
      <c r="BI339" s="9"/>
    </row>
    <row r="340" spans="1:61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BH340" s="9"/>
      <c r="BI340" s="9"/>
    </row>
    <row r="341" spans="1:61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BH341" s="9"/>
      <c r="BI341" s="9"/>
    </row>
    <row r="342" spans="1:61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BH342" s="9"/>
      <c r="BI342" s="9"/>
    </row>
    <row r="343" spans="1:61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BH343" s="9"/>
      <c r="BI343" s="9"/>
    </row>
    <row r="344" spans="1:61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BH344" s="9"/>
      <c r="BI344" s="9"/>
    </row>
    <row r="345" spans="1:61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BH345" s="9"/>
      <c r="BI345" s="9"/>
    </row>
    <row r="346" spans="1:61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BH346" s="9"/>
      <c r="BI346" s="9"/>
    </row>
    <row r="347" spans="1:61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BH347" s="9"/>
      <c r="BI347" s="9"/>
    </row>
    <row r="348" spans="1:61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BH348" s="9"/>
      <c r="BI348" s="9"/>
    </row>
    <row r="349" spans="1:61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BH349" s="9"/>
      <c r="BI349" s="9"/>
    </row>
    <row r="350" spans="1:61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BH350" s="9"/>
      <c r="BI350" s="9"/>
    </row>
    <row r="351" spans="1:61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BH351" s="9"/>
      <c r="BI351" s="9"/>
    </row>
    <row r="352" spans="1:61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BH352" s="9"/>
      <c r="BI352" s="9"/>
    </row>
    <row r="353" spans="1:61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BH353" s="9"/>
      <c r="BI353" s="9"/>
    </row>
    <row r="354" spans="1:61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BH354" s="9"/>
      <c r="BI354" s="9"/>
    </row>
    <row r="355" spans="1:61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BH355" s="9"/>
      <c r="BI355" s="9"/>
    </row>
    <row r="356" spans="1:61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BH356" s="9"/>
      <c r="BI356" s="9"/>
    </row>
    <row r="357" spans="1:61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BH357" s="9"/>
      <c r="BI357" s="9"/>
    </row>
    <row r="358" spans="1:61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BH358" s="9"/>
      <c r="BI358" s="9"/>
    </row>
    <row r="359" spans="1:61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BH359" s="9"/>
      <c r="BI359" s="9"/>
    </row>
    <row r="360" spans="1:61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BH360" s="9"/>
      <c r="BI360" s="9"/>
    </row>
    <row r="361" spans="1:61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BH361" s="9"/>
      <c r="BI361" s="9"/>
    </row>
    <row r="362" spans="1:61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BH362" s="9"/>
      <c r="BI362" s="9"/>
    </row>
    <row r="363" spans="1:61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BH363" s="9"/>
      <c r="BI363" s="9"/>
    </row>
    <row r="364" spans="1:61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BH364" s="9"/>
      <c r="BI364" s="9"/>
    </row>
    <row r="365" spans="1:61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BH365" s="9"/>
      <c r="BI365" s="9"/>
    </row>
    <row r="366" spans="1:61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BH366" s="9"/>
      <c r="BI366" s="9"/>
    </row>
    <row r="367" spans="1:61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BH367" s="9"/>
      <c r="BI367" s="9"/>
    </row>
    <row r="368" spans="1:61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BH368" s="9"/>
      <c r="BI368" s="9"/>
    </row>
    <row r="369" spans="1:61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BH369" s="9"/>
      <c r="BI369" s="9"/>
    </row>
    <row r="370" spans="1:61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BH370" s="9"/>
      <c r="BI370" s="9"/>
    </row>
    <row r="371" spans="1:61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BH371" s="9"/>
      <c r="BI371" s="9"/>
    </row>
    <row r="372" spans="1:61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BH372" s="9"/>
      <c r="BI372" s="9"/>
    </row>
    <row r="373" spans="1:61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BH373" s="9"/>
      <c r="BI373" s="9"/>
    </row>
    <row r="374" spans="1:61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BH374" s="9"/>
      <c r="BI374" s="9"/>
    </row>
    <row r="375" spans="1:61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BH375" s="9"/>
      <c r="BI375" s="9"/>
    </row>
    <row r="376" spans="1:61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BH376" s="9"/>
      <c r="BI376" s="9"/>
    </row>
    <row r="377" spans="1:61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BH377" s="9"/>
      <c r="BI377" s="9"/>
    </row>
    <row r="378" spans="1:61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BH378" s="9"/>
      <c r="BI378" s="9"/>
    </row>
    <row r="379" spans="1:61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BH379" s="9"/>
      <c r="BI379" s="9"/>
    </row>
    <row r="380" spans="1:61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BH380" s="9"/>
      <c r="BI380" s="9"/>
    </row>
    <row r="381" spans="1:61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BH381" s="9"/>
      <c r="BI381" s="9"/>
    </row>
    <row r="382" spans="1:61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BH382" s="9"/>
      <c r="BI382" s="9"/>
    </row>
    <row r="383" spans="1:61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BH383" s="9"/>
      <c r="BI383" s="9"/>
    </row>
    <row r="384" spans="1:61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BH384" s="9"/>
      <c r="BI384" s="9"/>
    </row>
    <row r="385" spans="1:61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BH385" s="9"/>
      <c r="BI385" s="9"/>
    </row>
    <row r="386" spans="1:61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BH386" s="9"/>
      <c r="BI386" s="9"/>
    </row>
    <row r="387" spans="1:61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BH387" s="9"/>
      <c r="BI387" s="9"/>
    </row>
    <row r="388" spans="1:61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BH388" s="9"/>
      <c r="BI388" s="9"/>
    </row>
    <row r="389" spans="1:61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BH389" s="9"/>
      <c r="BI389" s="9"/>
    </row>
    <row r="390" spans="1:61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BH390" s="9"/>
      <c r="BI390" s="9"/>
    </row>
    <row r="391" spans="1:61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BH391" s="9"/>
      <c r="BI391" s="9"/>
    </row>
    <row r="392" spans="1:61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BH392" s="9"/>
      <c r="BI392" s="9"/>
    </row>
    <row r="393" spans="1:61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BH393" s="9"/>
      <c r="BI393" s="9"/>
    </row>
    <row r="394" spans="1:61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BH394" s="9"/>
      <c r="BI394" s="9"/>
    </row>
    <row r="395" spans="1:61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BH395" s="9"/>
      <c r="BI395" s="9"/>
    </row>
    <row r="396" spans="1:61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BH396" s="9"/>
      <c r="BI396" s="9"/>
    </row>
    <row r="397" spans="1:61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BH397" s="9"/>
      <c r="BI397" s="9"/>
    </row>
    <row r="398" spans="1:61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BH398" s="9"/>
      <c r="BI398" s="9"/>
    </row>
    <row r="399" spans="1:61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BH399" s="9"/>
      <c r="BI399" s="9"/>
    </row>
    <row r="400" spans="1:61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BH400" s="9"/>
      <c r="BI400" s="9"/>
    </row>
    <row r="401" spans="1:61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BH401" s="9"/>
      <c r="BI401" s="9"/>
    </row>
    <row r="402" spans="1:61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BH402" s="9"/>
      <c r="BI402" s="9"/>
    </row>
    <row r="403" spans="1:61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BH403" s="9"/>
      <c r="BI403" s="9"/>
    </row>
    <row r="404" spans="1:61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BH404" s="9"/>
      <c r="BI404" s="9"/>
    </row>
    <row r="405" spans="1:61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BH405" s="9"/>
      <c r="BI405" s="9"/>
    </row>
    <row r="406" spans="1:61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BH406" s="9"/>
      <c r="BI406" s="9"/>
    </row>
    <row r="407" spans="1:61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BH407" s="9"/>
      <c r="BI407" s="9"/>
    </row>
    <row r="408" spans="1:61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BH408" s="9"/>
      <c r="BI408" s="9"/>
    </row>
    <row r="409" spans="1:61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BH409" s="9"/>
      <c r="BI409" s="9"/>
    </row>
    <row r="410" spans="1:61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BH410" s="9"/>
      <c r="BI410" s="9"/>
    </row>
    <row r="411" spans="1:61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BH411" s="9"/>
      <c r="BI411" s="9"/>
    </row>
    <row r="412" spans="1:61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BH412" s="9"/>
      <c r="BI412" s="9"/>
    </row>
    <row r="413" spans="1:61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BH413" s="9"/>
      <c r="BI413" s="9"/>
    </row>
    <row r="414" spans="1:61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BH414" s="9"/>
      <c r="BI414" s="9"/>
    </row>
    <row r="415" spans="1:61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BH415" s="9"/>
      <c r="BI415" s="9"/>
    </row>
    <row r="416" spans="1:61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BH416" s="9"/>
      <c r="BI416" s="9"/>
    </row>
    <row r="417" spans="1:61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BH417" s="9"/>
      <c r="BI417" s="9"/>
    </row>
    <row r="418" spans="1:61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BH418" s="9"/>
      <c r="BI418" s="9"/>
    </row>
    <row r="419" spans="1:61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BH419" s="9"/>
      <c r="BI419" s="9"/>
    </row>
    <row r="420" spans="1:61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BH420" s="9"/>
      <c r="BI420" s="9"/>
    </row>
    <row r="421" spans="1:61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BH421" s="9"/>
      <c r="BI421" s="9"/>
    </row>
    <row r="422" spans="1:61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BH422" s="9"/>
      <c r="BI422" s="9"/>
    </row>
    <row r="423" spans="1:61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BH423" s="9"/>
      <c r="BI423" s="9"/>
    </row>
    <row r="424" spans="1:61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BH424" s="9"/>
      <c r="BI424" s="9"/>
    </row>
    <row r="425" spans="1:61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BH425" s="9"/>
      <c r="BI425" s="9"/>
    </row>
    <row r="426" spans="1:61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BH426" s="9"/>
      <c r="BI426" s="9"/>
    </row>
    <row r="427" spans="1:61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BH427" s="9"/>
      <c r="BI427" s="9"/>
    </row>
    <row r="428" spans="1:61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BH428" s="9"/>
      <c r="BI428" s="9"/>
    </row>
    <row r="429" spans="1:61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BH429" s="9"/>
      <c r="BI429" s="9"/>
    </row>
    <row r="430" spans="1:61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BH430" s="9"/>
      <c r="BI430" s="9"/>
    </row>
    <row r="431" spans="1:61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BH431" s="9"/>
      <c r="BI431" s="9"/>
    </row>
    <row r="432" spans="1:61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BH432" s="9"/>
      <c r="BI432" s="9"/>
    </row>
    <row r="433" spans="1:61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BH433" s="9"/>
      <c r="BI433" s="9"/>
    </row>
    <row r="434" spans="1:61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BH434" s="9"/>
      <c r="BI434" s="9"/>
    </row>
    <row r="435" spans="1:61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BH435" s="9"/>
      <c r="BI435" s="9"/>
    </row>
    <row r="436" spans="1:61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BH436" s="9"/>
      <c r="BI436" s="9"/>
    </row>
    <row r="437" spans="1:61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BH437" s="9"/>
      <c r="BI437" s="9"/>
    </row>
    <row r="438" spans="1:61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BH438" s="9"/>
      <c r="BI438" s="9"/>
    </row>
    <row r="439" spans="1:61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BH439" s="9"/>
      <c r="BI439" s="9"/>
    </row>
    <row r="440" spans="1:61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BH440" s="9"/>
      <c r="BI440" s="9"/>
    </row>
    <row r="441" spans="1:61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BH441" s="9"/>
      <c r="BI441" s="9"/>
    </row>
    <row r="442" spans="1:61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BH442" s="9"/>
      <c r="BI442" s="9"/>
    </row>
    <row r="443" spans="1:61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BH443" s="9"/>
      <c r="BI443" s="9"/>
    </row>
    <row r="444" spans="1:61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BH444" s="9"/>
      <c r="BI444" s="9"/>
    </row>
    <row r="445" spans="1:61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BH445" s="9"/>
      <c r="BI445" s="9"/>
    </row>
    <row r="446" spans="1:61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BH446" s="9"/>
      <c r="BI446" s="9"/>
    </row>
    <row r="447" spans="1:61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BH447" s="9"/>
      <c r="BI447" s="9"/>
    </row>
    <row r="448" spans="1:61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BH448" s="9"/>
      <c r="BI448" s="9"/>
    </row>
    <row r="449" spans="1:61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BH449" s="9"/>
      <c r="BI449" s="9"/>
    </row>
    <row r="450" spans="1:61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BH450" s="9"/>
      <c r="BI450" s="9"/>
    </row>
    <row r="451" spans="1:61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BH451" s="9"/>
      <c r="BI451" s="9"/>
    </row>
    <row r="452" spans="1:61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BH452" s="9"/>
      <c r="BI452" s="9"/>
    </row>
    <row r="453" spans="1:61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BH453" s="9"/>
      <c r="BI453" s="9"/>
    </row>
    <row r="454" spans="1:61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BH454" s="9"/>
      <c r="BI454" s="9"/>
    </row>
    <row r="455" spans="1:61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BH455" s="9"/>
      <c r="BI455" s="9"/>
    </row>
    <row r="456" spans="1:61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BH456" s="9"/>
      <c r="BI456" s="9"/>
    </row>
    <row r="457" spans="1:61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BH457" s="9"/>
      <c r="BI457" s="9"/>
    </row>
    <row r="458" spans="1:61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BH458" s="9"/>
      <c r="BI458" s="9"/>
    </row>
    <row r="459" spans="1:61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BH459" s="9"/>
      <c r="BI459" s="9"/>
    </row>
    <row r="460" spans="1:61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BH460" s="9"/>
      <c r="BI460" s="9"/>
    </row>
    <row r="461" spans="1:61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BH461" s="9"/>
      <c r="BI461" s="9"/>
    </row>
    <row r="462" spans="1:61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BH462" s="9"/>
      <c r="BI462" s="9"/>
    </row>
    <row r="463" spans="1:61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BH463" s="9"/>
      <c r="BI463" s="9"/>
    </row>
    <row r="464" spans="1:61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BH464" s="9"/>
      <c r="BI464" s="9"/>
    </row>
    <row r="465" spans="1:61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BH465" s="9"/>
      <c r="BI465" s="9"/>
    </row>
    <row r="466" spans="1:61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BH466" s="9"/>
      <c r="BI466" s="9"/>
    </row>
    <row r="467" spans="1:61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BH467" s="9"/>
      <c r="BI467" s="9"/>
    </row>
    <row r="468" spans="1:61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BH468" s="9"/>
      <c r="BI468" s="9"/>
    </row>
    <row r="469" spans="1:61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BH469" s="9"/>
      <c r="BI469" s="9"/>
    </row>
    <row r="470" spans="1:61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BH470" s="9"/>
      <c r="BI470" s="9"/>
    </row>
    <row r="471" spans="1:61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BH471" s="9"/>
      <c r="BI471" s="9"/>
    </row>
    <row r="472" spans="1:61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BH472" s="9"/>
      <c r="BI472" s="9"/>
    </row>
    <row r="473" spans="1:61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BH473" s="9"/>
      <c r="BI473" s="9"/>
    </row>
    <row r="474" spans="1:61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BH474" s="9"/>
      <c r="BI474" s="9"/>
    </row>
    <row r="475" spans="1:61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BH475" s="9"/>
      <c r="BI475" s="9"/>
    </row>
    <row r="476" spans="1:61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BH476" s="9"/>
      <c r="BI476" s="9"/>
    </row>
    <row r="477" spans="1:61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BH477" s="9"/>
      <c r="BI477" s="9"/>
    </row>
    <row r="478" spans="1:61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BH478" s="9"/>
      <c r="BI478" s="9"/>
    </row>
    <row r="479" spans="1:61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BH479" s="9"/>
      <c r="BI479" s="9"/>
    </row>
    <row r="480" spans="1:61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BH480" s="9"/>
      <c r="BI480" s="9"/>
    </row>
    <row r="481" spans="1:61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BH481" s="9"/>
      <c r="BI481" s="9"/>
    </row>
    <row r="482" spans="1:61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BH482" s="9"/>
      <c r="BI482" s="9"/>
    </row>
    <row r="483" spans="1:61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BH483" s="9"/>
      <c r="BI483" s="9"/>
    </row>
    <row r="484" spans="1:61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BH484" s="9"/>
      <c r="BI484" s="9"/>
    </row>
    <row r="485" spans="1:61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BH485" s="9"/>
      <c r="BI485" s="9"/>
    </row>
    <row r="486" spans="1:61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BH486" s="9"/>
      <c r="BI486" s="9"/>
    </row>
    <row r="487" spans="1:61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BH487" s="9"/>
      <c r="BI487" s="9"/>
    </row>
    <row r="488" spans="1:61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BH488" s="9"/>
      <c r="BI488" s="9"/>
    </row>
    <row r="489" spans="1:61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BH489" s="9"/>
      <c r="BI489" s="9"/>
    </row>
    <row r="490" spans="1:61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BH490" s="9"/>
      <c r="BI490" s="9"/>
    </row>
    <row r="491" spans="1:61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BH491" s="9"/>
      <c r="BI491" s="9"/>
    </row>
    <row r="492" spans="1:61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BH492" s="9"/>
      <c r="BI492" s="9"/>
    </row>
    <row r="493" spans="1:61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BH493" s="9"/>
      <c r="BI493" s="9"/>
    </row>
    <row r="494" spans="1:61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BH494" s="9"/>
      <c r="BI494" s="9"/>
    </row>
    <row r="495" spans="1:61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BH495" s="9"/>
      <c r="BI495" s="9"/>
    </row>
    <row r="496" spans="1:61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BH496" s="9"/>
      <c r="BI496" s="9"/>
    </row>
    <row r="497" spans="1:61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BH497" s="9"/>
      <c r="BI497" s="9"/>
    </row>
    <row r="498" spans="1:61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BH498" s="9"/>
      <c r="BI498" s="9"/>
    </row>
    <row r="499" spans="1:61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BH499" s="9"/>
      <c r="BI499" s="9"/>
    </row>
    <row r="500" spans="1:61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BH500" s="9"/>
      <c r="BI500" s="9"/>
    </row>
    <row r="501" spans="1:61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BH501" s="9"/>
      <c r="BI501" s="9"/>
    </row>
    <row r="502" spans="1:61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BH502" s="9"/>
      <c r="BI502" s="9"/>
    </row>
    <row r="503" spans="1:61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BH503" s="9"/>
      <c r="BI503" s="9"/>
    </row>
    <row r="504" spans="1:61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BH504" s="9"/>
      <c r="BI504" s="9"/>
    </row>
    <row r="505" spans="1:61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BH505" s="9"/>
      <c r="BI505" s="9"/>
    </row>
    <row r="506" spans="1:61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BH506" s="9"/>
      <c r="BI506" s="9"/>
    </row>
    <row r="507" spans="1:61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BH507" s="9"/>
      <c r="BI507" s="9"/>
    </row>
    <row r="508" spans="1:61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BH508" s="9"/>
      <c r="BI508" s="9"/>
    </row>
    <row r="509" spans="1:61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BH509" s="9"/>
      <c r="BI509" s="9"/>
    </row>
    <row r="510" spans="1:61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BH510" s="9"/>
      <c r="BI510" s="9"/>
    </row>
    <row r="511" spans="1:61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BH511" s="9"/>
      <c r="BI511" s="9"/>
    </row>
    <row r="512" spans="1:61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BH512" s="9"/>
      <c r="BI512" s="9"/>
    </row>
    <row r="513" spans="1:61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BH513" s="9"/>
      <c r="BI513" s="9"/>
    </row>
    <row r="514" spans="1:61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BH514" s="9"/>
      <c r="BI514" s="9"/>
    </row>
    <row r="515" spans="1:61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BH515" s="9"/>
      <c r="BI515" s="9"/>
    </row>
    <row r="516" spans="1:61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BH516" s="9"/>
      <c r="BI516" s="9"/>
    </row>
    <row r="517" spans="1:61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BH517" s="9"/>
      <c r="BI517" s="9"/>
    </row>
    <row r="518" spans="1:61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BH518" s="9"/>
      <c r="BI518" s="9"/>
    </row>
    <row r="519" spans="1:61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BH519" s="9"/>
      <c r="BI519" s="9"/>
    </row>
    <row r="520" spans="1:61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BH520" s="9"/>
      <c r="BI520" s="9"/>
    </row>
    <row r="521" spans="1:61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BH521" s="9"/>
      <c r="BI521" s="9"/>
    </row>
    <row r="522" spans="1:61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BH522" s="9"/>
      <c r="BI522" s="9"/>
    </row>
    <row r="523" spans="1:61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BH523" s="9"/>
      <c r="BI523" s="9"/>
    </row>
    <row r="524" spans="1:61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BH524" s="9"/>
      <c r="BI524" s="9"/>
    </row>
    <row r="525" spans="1:61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BH525" s="9"/>
      <c r="BI525" s="9"/>
    </row>
    <row r="526" spans="1:61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BH526" s="9"/>
      <c r="BI526" s="9"/>
    </row>
    <row r="527" spans="1:61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BH527" s="9"/>
      <c r="BI527" s="9"/>
    </row>
    <row r="528" spans="1:61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BH528" s="9"/>
      <c r="BI528" s="9"/>
    </row>
    <row r="529" spans="1:61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BH529" s="9"/>
      <c r="BI529" s="9"/>
    </row>
    <row r="530" spans="1:61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BH530" s="9"/>
      <c r="BI530" s="9"/>
    </row>
    <row r="531" spans="1:61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BH531" s="9"/>
      <c r="BI531" s="9"/>
    </row>
    <row r="532" spans="1:61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BH532" s="9"/>
      <c r="BI532" s="9"/>
    </row>
    <row r="533" spans="1:61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BH533" s="9"/>
      <c r="BI533" s="9"/>
    </row>
    <row r="534" spans="1:61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BH534" s="9"/>
      <c r="BI534" s="9"/>
    </row>
    <row r="535" spans="1:61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BH535" s="9"/>
      <c r="BI535" s="9"/>
    </row>
    <row r="536" spans="1:61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BH536" s="9"/>
      <c r="BI536" s="9"/>
    </row>
    <row r="537" spans="1:61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BH537" s="9"/>
      <c r="BI537" s="9"/>
    </row>
    <row r="538" spans="1:61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BH538" s="9"/>
      <c r="BI538" s="9"/>
    </row>
    <row r="539" spans="1:61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BH539" s="9"/>
      <c r="BI539" s="9"/>
    </row>
    <row r="540" spans="1:61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BH540" s="9"/>
      <c r="BI540" s="9"/>
    </row>
    <row r="541" spans="1:61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BH541" s="9"/>
      <c r="BI541" s="9"/>
    </row>
    <row r="542" spans="1:61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BH542" s="9"/>
      <c r="BI542" s="9"/>
    </row>
    <row r="543" spans="1:61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BH543" s="9"/>
      <c r="BI543" s="9"/>
    </row>
    <row r="544" spans="1:61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BH544" s="9"/>
      <c r="BI544" s="9"/>
    </row>
    <row r="545" spans="1:61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BH545" s="9"/>
      <c r="BI545" s="9"/>
    </row>
    <row r="546" spans="1:61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BH546" s="9"/>
      <c r="BI546" s="9"/>
    </row>
    <row r="547" spans="1:61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BH547" s="9"/>
      <c r="BI547" s="9"/>
    </row>
    <row r="548" spans="1:61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BH548" s="9"/>
      <c r="BI548" s="9"/>
    </row>
    <row r="549" spans="1:61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BH549" s="9"/>
      <c r="BI549" s="9"/>
    </row>
    <row r="550" spans="1:61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BH550" s="9"/>
      <c r="BI550" s="9"/>
    </row>
    <row r="551" spans="1:61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BH551" s="9"/>
      <c r="BI551" s="9"/>
    </row>
    <row r="552" spans="1:61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BH552" s="9"/>
      <c r="BI552" s="9"/>
    </row>
    <row r="553" spans="1:61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BH553" s="9"/>
      <c r="BI553" s="9"/>
    </row>
    <row r="554" spans="1:61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BH554" s="9"/>
      <c r="BI554" s="9"/>
    </row>
    <row r="555" spans="1:61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BH555" s="9"/>
      <c r="BI555" s="9"/>
    </row>
    <row r="556" spans="1:61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BH556" s="9"/>
      <c r="BI556" s="9"/>
    </row>
    <row r="557" spans="1:61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BH557" s="9"/>
      <c r="BI557" s="9"/>
    </row>
    <row r="558" spans="1:61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BH558" s="9"/>
      <c r="BI558" s="9"/>
    </row>
    <row r="559" spans="1:61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BH559" s="9"/>
      <c r="BI559" s="9"/>
    </row>
    <row r="560" spans="1:61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BH560" s="9"/>
      <c r="BI560" s="9"/>
    </row>
    <row r="561" spans="1:61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BH561" s="9"/>
      <c r="BI561" s="9"/>
    </row>
    <row r="562" spans="1:61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BH562" s="9"/>
      <c r="BI562" s="9"/>
    </row>
    <row r="563" spans="1:61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BH563" s="9"/>
      <c r="BI563" s="9"/>
    </row>
    <row r="564" spans="1:61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BH564" s="9"/>
      <c r="BI564" s="9"/>
    </row>
    <row r="565" spans="1:61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BH565" s="9"/>
      <c r="BI565" s="9"/>
    </row>
    <row r="566" spans="1:61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BH566" s="9"/>
      <c r="BI566" s="9"/>
    </row>
    <row r="567" spans="1:61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BH567" s="9"/>
      <c r="BI567" s="9"/>
    </row>
    <row r="568" spans="1:61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BH568" s="9"/>
      <c r="BI568" s="9"/>
    </row>
    <row r="569" spans="1:61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BH569" s="9"/>
      <c r="BI569" s="9"/>
    </row>
    <row r="570" spans="1:61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BH570" s="9"/>
      <c r="BI570" s="9"/>
    </row>
    <row r="571" spans="1:61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BH571" s="9"/>
      <c r="BI571" s="9"/>
    </row>
    <row r="572" spans="1:61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BH572" s="9"/>
      <c r="BI572" s="9"/>
    </row>
    <row r="573" spans="1:61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BH573" s="9"/>
      <c r="BI573" s="9"/>
    </row>
    <row r="574" spans="1:61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BH574" s="9"/>
      <c r="BI574" s="9"/>
    </row>
    <row r="575" spans="1:61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BH575" s="9"/>
      <c r="BI575" s="9"/>
    </row>
    <row r="576" spans="1:61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BH576" s="9"/>
      <c r="BI576" s="9"/>
    </row>
    <row r="577" spans="1:61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BH577" s="9"/>
      <c r="BI577" s="9"/>
    </row>
    <row r="578" spans="1:61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BH578" s="9"/>
      <c r="BI578" s="9"/>
    </row>
    <row r="579" spans="1:61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BH579" s="9"/>
      <c r="BI579" s="9"/>
    </row>
    <row r="580" spans="1:61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BH580" s="9"/>
      <c r="BI580" s="9"/>
    </row>
    <row r="581" spans="1:61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BH581" s="9"/>
      <c r="BI581" s="9"/>
    </row>
    <row r="582" spans="1:61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BH582" s="9"/>
      <c r="BI582" s="9"/>
    </row>
    <row r="583" spans="1:61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BH583" s="9"/>
      <c r="BI583" s="9"/>
    </row>
    <row r="584" spans="1:61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BH584" s="9"/>
      <c r="BI584" s="9"/>
    </row>
    <row r="585" spans="1:61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BH585" s="9"/>
      <c r="BI585" s="9"/>
    </row>
    <row r="586" spans="1:61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BH586" s="9"/>
      <c r="BI586" s="9"/>
    </row>
    <row r="587" spans="1:61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BH587" s="9"/>
      <c r="BI587" s="9"/>
    </row>
    <row r="588" spans="1:61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BH588" s="9"/>
      <c r="BI588" s="9"/>
    </row>
    <row r="589" spans="1:61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BH589" s="9"/>
      <c r="BI589" s="9"/>
    </row>
    <row r="590" spans="1:61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BH590" s="9"/>
      <c r="BI590" s="9"/>
    </row>
    <row r="591" spans="1:61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BH591" s="9"/>
      <c r="BI591" s="9"/>
    </row>
    <row r="592" spans="1:61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BH592" s="9"/>
      <c r="BI592" s="9"/>
    </row>
    <row r="593" spans="1:61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BH593" s="9"/>
      <c r="BI593" s="9"/>
    </row>
    <row r="594" spans="1:61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BH594" s="9"/>
      <c r="BI594" s="9"/>
    </row>
    <row r="595" spans="1:61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BH595" s="9"/>
      <c r="BI595" s="9"/>
    </row>
    <row r="596" spans="1:61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BH596" s="9"/>
      <c r="BI596" s="9"/>
    </row>
    <row r="597" spans="1:61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BH597" s="9"/>
      <c r="BI597" s="9"/>
    </row>
    <row r="598" spans="1:61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BH598" s="9"/>
      <c r="BI598" s="9"/>
    </row>
    <row r="599" spans="1:61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BH599" s="9"/>
      <c r="BI599" s="9"/>
    </row>
    <row r="600" spans="1:61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BH600" s="9"/>
      <c r="BI600" s="9"/>
    </row>
    <row r="601" spans="1:61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BH601" s="9"/>
      <c r="BI601" s="9"/>
    </row>
    <row r="602" spans="1:61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BH602" s="9"/>
      <c r="BI602" s="9"/>
    </row>
    <row r="603" spans="1:61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BH603" s="9"/>
      <c r="BI603" s="9"/>
    </row>
    <row r="604" spans="1:61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BH604" s="9"/>
      <c r="BI604" s="9"/>
    </row>
    <row r="605" spans="1:61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BH605" s="9"/>
      <c r="BI605" s="9"/>
    </row>
    <row r="606" spans="1:61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BH606" s="9"/>
      <c r="BI606" s="9"/>
    </row>
    <row r="607" spans="1:61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BH607" s="9"/>
      <c r="BI607" s="9"/>
    </row>
    <row r="608" spans="1:61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BH608" s="9"/>
      <c r="BI608" s="9"/>
    </row>
    <row r="609" spans="1:61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BH609" s="9"/>
      <c r="BI609" s="9"/>
    </row>
    <row r="610" spans="1:61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BH610" s="9"/>
      <c r="BI610" s="9"/>
    </row>
    <row r="611" spans="1:61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BH611" s="9"/>
      <c r="BI611" s="9"/>
    </row>
    <row r="612" spans="1:61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BH612" s="9"/>
      <c r="BI612" s="9"/>
    </row>
    <row r="613" spans="1:61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BH613" s="9"/>
      <c r="BI613" s="9"/>
    </row>
    <row r="614" spans="1:61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BH614" s="9"/>
      <c r="BI614" s="9"/>
    </row>
    <row r="615" spans="1:61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BH615" s="9"/>
      <c r="BI615" s="9"/>
    </row>
    <row r="616" spans="1:61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BH616" s="9"/>
      <c r="BI616" s="9"/>
    </row>
    <row r="617" spans="1:61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BH617" s="9"/>
      <c r="BI617" s="9"/>
    </row>
    <row r="618" spans="1:61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BH618" s="9"/>
      <c r="BI618" s="9"/>
    </row>
    <row r="619" spans="1:61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BH619" s="9"/>
      <c r="BI619" s="9"/>
    </row>
    <row r="620" spans="1:61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BH620" s="9"/>
      <c r="BI620" s="9"/>
    </row>
    <row r="621" spans="1:61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BH621" s="9"/>
      <c r="BI621" s="9"/>
    </row>
    <row r="622" spans="1:61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BH622" s="9"/>
      <c r="BI622" s="9"/>
    </row>
    <row r="623" spans="1:61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BH623" s="9"/>
      <c r="BI623" s="9"/>
    </row>
    <row r="624" spans="1:61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BH624" s="9"/>
      <c r="BI624" s="9"/>
    </row>
    <row r="625" spans="1:61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BH625" s="9"/>
      <c r="BI625" s="9"/>
    </row>
    <row r="626" spans="1:61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BH626" s="9"/>
      <c r="BI626" s="9"/>
    </row>
    <row r="627" spans="1:61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BH627" s="9"/>
      <c r="BI627" s="9"/>
    </row>
    <row r="628" spans="1:61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BH628" s="9"/>
      <c r="BI628" s="9"/>
    </row>
    <row r="629" spans="1:61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BH629" s="9"/>
      <c r="BI629" s="9"/>
    </row>
    <row r="630" spans="1:61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BH630" s="9"/>
      <c r="BI630" s="9"/>
    </row>
    <row r="631" spans="1:61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BH631" s="9"/>
      <c r="BI631" s="9"/>
    </row>
    <row r="632" spans="1:61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BH632" s="9"/>
      <c r="BI632" s="9"/>
    </row>
    <row r="633" spans="1:61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BH633" s="9"/>
      <c r="BI633" s="9"/>
    </row>
    <row r="634" spans="1:61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BH634" s="9"/>
      <c r="BI634" s="9"/>
    </row>
    <row r="635" spans="1:61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BH635" s="9"/>
      <c r="BI635" s="9"/>
    </row>
    <row r="636" spans="1:61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BH636" s="9"/>
      <c r="BI636" s="9"/>
    </row>
    <row r="637" spans="1:61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BH637" s="9"/>
      <c r="BI637" s="9"/>
    </row>
    <row r="638" spans="1:61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BH638" s="9"/>
      <c r="BI638" s="9"/>
    </row>
    <row r="639" spans="1:61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BH639" s="9"/>
      <c r="BI639" s="9"/>
    </row>
    <row r="640" spans="1:61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BH640" s="9"/>
      <c r="BI640" s="9"/>
    </row>
    <row r="641" spans="1:61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BH641" s="9"/>
      <c r="BI641" s="9"/>
    </row>
    <row r="642" spans="1:61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BH642" s="9"/>
      <c r="BI642" s="9"/>
    </row>
    <row r="643" spans="1:61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BH643" s="9"/>
      <c r="BI643" s="9"/>
    </row>
    <row r="644" spans="1:61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BH644" s="9"/>
      <c r="BI644" s="9"/>
    </row>
    <row r="645" spans="1:61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BH645" s="9"/>
      <c r="BI645" s="9"/>
    </row>
    <row r="646" spans="1:61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BH646" s="9"/>
      <c r="BI646" s="9"/>
    </row>
    <row r="647" spans="1:61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BH647" s="9"/>
      <c r="BI647" s="9"/>
    </row>
    <row r="648" spans="1:61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BH648" s="9"/>
      <c r="BI648" s="9"/>
    </row>
    <row r="649" spans="1:61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BH649" s="9"/>
      <c r="BI649" s="9"/>
    </row>
    <row r="650" spans="1:61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BH650" s="9"/>
      <c r="BI650" s="9"/>
    </row>
    <row r="651" spans="1:61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BH651" s="9"/>
      <c r="BI651" s="9"/>
    </row>
    <row r="652" spans="1:61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BH652" s="9"/>
      <c r="BI652" s="9"/>
    </row>
    <row r="653" spans="1:61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BH653" s="9"/>
      <c r="BI653" s="9"/>
    </row>
    <row r="654" spans="1:61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BH654" s="9"/>
      <c r="BI654" s="9"/>
    </row>
    <row r="655" spans="1:61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BH655" s="9"/>
      <c r="BI655" s="9"/>
    </row>
    <row r="656" spans="1:61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BH656" s="9"/>
      <c r="BI656" s="9"/>
    </row>
    <row r="657" spans="1:61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BH657" s="9"/>
      <c r="BI657" s="9"/>
    </row>
    <row r="658" spans="1:61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BH658" s="9"/>
      <c r="BI658" s="9"/>
    </row>
    <row r="659" spans="1:61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BH659" s="9"/>
      <c r="BI659" s="9"/>
    </row>
    <row r="660" spans="1:61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BH660" s="9"/>
      <c r="BI660" s="9"/>
    </row>
    <row r="661" spans="1:61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BH661" s="9"/>
      <c r="BI661" s="9"/>
    </row>
    <row r="662" spans="1:61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BH662" s="9"/>
      <c r="BI662" s="9"/>
    </row>
    <row r="663" spans="1:61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BH663" s="9"/>
      <c r="BI663" s="9"/>
    </row>
    <row r="664" spans="1:61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BH664" s="9"/>
      <c r="BI664" s="9"/>
    </row>
    <row r="665" spans="1:61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BH665" s="9"/>
      <c r="BI665" s="9"/>
    </row>
    <row r="666" spans="1:61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BH666" s="9"/>
      <c r="BI666" s="9"/>
    </row>
    <row r="667" spans="1:61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BH667" s="9"/>
      <c r="BI667" s="9"/>
    </row>
    <row r="668" spans="1:61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BH668" s="9"/>
      <c r="BI668" s="9"/>
    </row>
    <row r="669" spans="1:61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BH669" s="9"/>
      <c r="BI669" s="9"/>
    </row>
    <row r="670" spans="1:61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BH670" s="9"/>
      <c r="BI670" s="9"/>
    </row>
    <row r="671" spans="1:61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BH671" s="9"/>
      <c r="BI671" s="9"/>
    </row>
    <row r="672" spans="1:61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BH672" s="9"/>
      <c r="BI672" s="9"/>
    </row>
    <row r="673" spans="1:61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BH673" s="9"/>
      <c r="BI673" s="9"/>
    </row>
    <row r="674" spans="1:61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BH674" s="9"/>
      <c r="BI674" s="9"/>
    </row>
    <row r="675" spans="1:61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BH675" s="9"/>
      <c r="BI675" s="9"/>
    </row>
    <row r="676" spans="1:61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BH676" s="9"/>
      <c r="BI676" s="9"/>
    </row>
    <row r="677" spans="1:61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BH677" s="9"/>
      <c r="BI677" s="9"/>
    </row>
    <row r="678" spans="1:61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BH678" s="9"/>
      <c r="BI678" s="9"/>
    </row>
    <row r="679" spans="1:61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BH679" s="9"/>
      <c r="BI679" s="9"/>
    </row>
    <row r="680" spans="1:61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BH680" s="9"/>
      <c r="BI680" s="9"/>
    </row>
    <row r="681" spans="1:61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BH681" s="9"/>
      <c r="BI681" s="9"/>
    </row>
    <row r="682" spans="1:61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BH682" s="9"/>
      <c r="BI682" s="9"/>
    </row>
    <row r="683" spans="1:61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BH683" s="9"/>
      <c r="BI683" s="9"/>
    </row>
    <row r="684" spans="1:61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BH684" s="9"/>
      <c r="BI684" s="9"/>
    </row>
    <row r="685" spans="1:61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BH685" s="9"/>
      <c r="BI685" s="9"/>
    </row>
    <row r="686" spans="1:61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BH686" s="9"/>
      <c r="BI686" s="9"/>
    </row>
    <row r="687" spans="1:61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BH687" s="9"/>
      <c r="BI687" s="9"/>
    </row>
    <row r="688" spans="1:61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BH688" s="9"/>
      <c r="BI688" s="9"/>
    </row>
    <row r="689" spans="1:61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BH689" s="9"/>
      <c r="BI689" s="9"/>
    </row>
    <row r="690" spans="1:61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BH690" s="9"/>
      <c r="BI690" s="9"/>
    </row>
    <row r="691" spans="1:61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BH691" s="9"/>
      <c r="BI691" s="9"/>
    </row>
    <row r="692" spans="1:61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BH692" s="9"/>
      <c r="BI692" s="9"/>
    </row>
    <row r="693" spans="1:61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BH693" s="9"/>
      <c r="BI693" s="9"/>
    </row>
    <row r="694" spans="1:61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BH694" s="9"/>
      <c r="BI694" s="9"/>
    </row>
    <row r="695" spans="1:61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BH695" s="9"/>
      <c r="BI695" s="9"/>
    </row>
    <row r="696" spans="1:61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BH696" s="9"/>
      <c r="BI696" s="9"/>
    </row>
    <row r="697" spans="1:61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BH697" s="9"/>
      <c r="BI697" s="9"/>
    </row>
    <row r="698" spans="1:61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BH698" s="9"/>
      <c r="BI698" s="9"/>
    </row>
    <row r="699" spans="1:61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BH699" s="9"/>
      <c r="BI699" s="9"/>
    </row>
    <row r="700" spans="1:61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BH700" s="9"/>
      <c r="BI700" s="9"/>
    </row>
    <row r="701" spans="1:61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BH701" s="9"/>
      <c r="BI701" s="9"/>
    </row>
    <row r="702" spans="1:61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BH702" s="9"/>
      <c r="BI702" s="9"/>
    </row>
    <row r="703" spans="1:61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BH703" s="9"/>
      <c r="BI703" s="9"/>
    </row>
    <row r="704" spans="1:61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BH704" s="9"/>
      <c r="BI704" s="9"/>
    </row>
    <row r="705" spans="1:61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BH705" s="9"/>
      <c r="BI705" s="9"/>
    </row>
    <row r="706" spans="1:61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BH706" s="9"/>
      <c r="BI706" s="9"/>
    </row>
    <row r="707" spans="1:61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BH707" s="9"/>
      <c r="BI707" s="9"/>
    </row>
    <row r="708" spans="1:61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BH708" s="9"/>
      <c r="BI708" s="9"/>
    </row>
    <row r="709" spans="1:61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BH709" s="9"/>
      <c r="BI709" s="9"/>
    </row>
    <row r="710" spans="1:61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BH710" s="9"/>
      <c r="BI710" s="9"/>
    </row>
    <row r="711" spans="1:61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BH711" s="9"/>
      <c r="BI711" s="9"/>
    </row>
    <row r="712" spans="1:61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BH712" s="9"/>
      <c r="BI712" s="9"/>
    </row>
    <row r="713" spans="1:61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BH713" s="9"/>
      <c r="BI713" s="9"/>
    </row>
    <row r="714" spans="1:61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BH714" s="9"/>
      <c r="BI714" s="9"/>
    </row>
    <row r="715" spans="1:61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BH715" s="9"/>
      <c r="BI715" s="9"/>
    </row>
    <row r="716" spans="1:61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BH716" s="9"/>
      <c r="BI716" s="9"/>
    </row>
    <row r="717" spans="1:61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BH717" s="9"/>
      <c r="BI717" s="9"/>
    </row>
    <row r="718" spans="1:61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BH718" s="9"/>
      <c r="BI718" s="9"/>
    </row>
    <row r="719" spans="1:61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BH719" s="9"/>
      <c r="BI719" s="9"/>
    </row>
    <row r="720" spans="1:61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BH720" s="9"/>
      <c r="BI720" s="9"/>
    </row>
    <row r="721" spans="1:61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BH721" s="9"/>
      <c r="BI721" s="9"/>
    </row>
    <row r="722" spans="1:61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BH722" s="9"/>
      <c r="BI722" s="9"/>
    </row>
    <row r="723" spans="1:61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BH723" s="9"/>
      <c r="BI723" s="9"/>
    </row>
    <row r="724" spans="1:61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BH724" s="9"/>
      <c r="BI724" s="9"/>
    </row>
    <row r="725" spans="1:61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BH725" s="9"/>
      <c r="BI725" s="9"/>
    </row>
    <row r="726" spans="1:61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BH726" s="9"/>
      <c r="BI726" s="9"/>
    </row>
    <row r="727" spans="1:61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BH727" s="9"/>
      <c r="BI727" s="9"/>
    </row>
    <row r="728" spans="1:61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BH728" s="9"/>
      <c r="BI728" s="9"/>
    </row>
    <row r="729" spans="1:61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BH729" s="9"/>
      <c r="BI729" s="9"/>
    </row>
    <row r="730" spans="1:61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BH730" s="9"/>
      <c r="BI730" s="9"/>
    </row>
    <row r="731" spans="1:61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BH731" s="9"/>
      <c r="BI731" s="9"/>
    </row>
    <row r="732" spans="1:61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BH732" s="9"/>
      <c r="BI732" s="9"/>
    </row>
    <row r="733" spans="1:61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BH733" s="9"/>
      <c r="BI733" s="9"/>
    </row>
    <row r="734" spans="1:61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BH734" s="9"/>
      <c r="BI734" s="9"/>
    </row>
    <row r="735" spans="1:61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BH735" s="9"/>
      <c r="BI735" s="9"/>
    </row>
    <row r="736" spans="1:61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BH736" s="9"/>
      <c r="BI736" s="9"/>
    </row>
    <row r="737" spans="1:61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BH737" s="9"/>
      <c r="BI737" s="9"/>
    </row>
    <row r="738" spans="1:61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BH738" s="9"/>
      <c r="BI738" s="9"/>
    </row>
    <row r="739" spans="1:61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BH739" s="9"/>
      <c r="BI739" s="9"/>
    </row>
    <row r="740" spans="1:61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BH740" s="9"/>
      <c r="BI740" s="9"/>
    </row>
    <row r="741" spans="1:61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BH741" s="9"/>
      <c r="BI741" s="9"/>
    </row>
    <row r="742" spans="1:61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BH742" s="9"/>
      <c r="BI742" s="9"/>
    </row>
    <row r="743" spans="1:61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BH743" s="9"/>
      <c r="BI743" s="9"/>
    </row>
    <row r="744" spans="1:61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BH744" s="9"/>
      <c r="BI744" s="9"/>
    </row>
    <row r="745" spans="1:61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BH745" s="9"/>
      <c r="BI745" s="9"/>
    </row>
    <row r="746" spans="1:61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BH746" s="9"/>
      <c r="BI746" s="9"/>
    </row>
    <row r="747" spans="1:61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BH747" s="9"/>
      <c r="BI747" s="9"/>
    </row>
    <row r="748" spans="1:61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BH748" s="9"/>
      <c r="BI748" s="9"/>
    </row>
    <row r="749" spans="1:61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BH749" s="9"/>
      <c r="BI749" s="9"/>
    </row>
    <row r="750" spans="1:61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BH750" s="9"/>
      <c r="BI750" s="9"/>
    </row>
    <row r="751" spans="1:61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BH751" s="9"/>
      <c r="BI751" s="9"/>
    </row>
    <row r="752" spans="1:61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BH752" s="9"/>
      <c r="BI752" s="9"/>
    </row>
    <row r="753" spans="1:61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BH753" s="9"/>
      <c r="BI753" s="9"/>
    </row>
    <row r="754" spans="1:61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BH754" s="9"/>
      <c r="BI754" s="9"/>
    </row>
    <row r="755" spans="1:61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BH755" s="9"/>
      <c r="BI755" s="9"/>
    </row>
    <row r="756" spans="1:61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BH756" s="9"/>
      <c r="BI756" s="9"/>
    </row>
    <row r="757" spans="1:61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BH757" s="9"/>
      <c r="BI757" s="9"/>
    </row>
    <row r="758" spans="1:61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BH758" s="9"/>
      <c r="BI758" s="9"/>
    </row>
    <row r="759" spans="1:61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BH759" s="9"/>
      <c r="BI759" s="9"/>
    </row>
    <row r="760" spans="1:61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BH760" s="9"/>
      <c r="BI760" s="9"/>
    </row>
    <row r="761" spans="1:61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BH761" s="9"/>
      <c r="BI761" s="9"/>
    </row>
    <row r="762" spans="1:61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BH762" s="9"/>
      <c r="BI762" s="9"/>
    </row>
    <row r="763" spans="1:61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BH763" s="9"/>
      <c r="BI763" s="9"/>
    </row>
    <row r="764" spans="1:61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BH764" s="9"/>
      <c r="BI764" s="9"/>
    </row>
    <row r="765" spans="1:61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BH765" s="9"/>
      <c r="BI765" s="9"/>
    </row>
    <row r="766" spans="1:61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BH766" s="9"/>
      <c r="BI766" s="9"/>
    </row>
    <row r="767" spans="1:61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BH767" s="9"/>
      <c r="BI767" s="9"/>
    </row>
    <row r="768" spans="1:61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BH768" s="9"/>
      <c r="BI768" s="9"/>
    </row>
    <row r="769" spans="1:61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BH769" s="9"/>
      <c r="BI769" s="9"/>
    </row>
    <row r="770" spans="1:61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BH770" s="9"/>
      <c r="BI770" s="9"/>
    </row>
    <row r="771" spans="1:61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BH771" s="9"/>
      <c r="BI771" s="9"/>
    </row>
    <row r="772" spans="1:61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BH772" s="9"/>
      <c r="BI772" s="9"/>
    </row>
    <row r="773" spans="1:61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BH773" s="9"/>
      <c r="BI773" s="9"/>
    </row>
    <row r="774" spans="1:61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BH774" s="9"/>
      <c r="BI774" s="9"/>
    </row>
    <row r="775" spans="1:61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BH775" s="9"/>
      <c r="BI775" s="9"/>
    </row>
    <row r="776" spans="1:61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BH776" s="9"/>
      <c r="BI776" s="9"/>
    </row>
    <row r="777" spans="1:61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BH777" s="9"/>
      <c r="BI777" s="9"/>
    </row>
    <row r="778" spans="1:61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BH778" s="9"/>
      <c r="BI778" s="9"/>
    </row>
    <row r="779" spans="1:61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BH779" s="9"/>
      <c r="BI779" s="9"/>
    </row>
    <row r="780" spans="1:61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BH780" s="9"/>
      <c r="BI780" s="9"/>
    </row>
    <row r="781" spans="1:61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BH781" s="9"/>
      <c r="BI781" s="9"/>
    </row>
    <row r="782" spans="1:61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BH782" s="9"/>
      <c r="BI782" s="9"/>
    </row>
    <row r="783" spans="1:61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BH783" s="9"/>
      <c r="BI783" s="9"/>
    </row>
    <row r="784" spans="1:61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BH784" s="9"/>
      <c r="BI784" s="9"/>
    </row>
    <row r="785" spans="1:61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BH785" s="9"/>
      <c r="BI785" s="9"/>
    </row>
    <row r="786" spans="1:61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BH786" s="9"/>
      <c r="BI786" s="9"/>
    </row>
    <row r="787" spans="1:61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BH787" s="9"/>
      <c r="BI787" s="9"/>
    </row>
    <row r="788" spans="1:61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BH788" s="9"/>
      <c r="BI788" s="9"/>
    </row>
    <row r="789" spans="1:61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BH789" s="9"/>
      <c r="BI789" s="9"/>
    </row>
    <row r="790" spans="1:61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BH790" s="9"/>
      <c r="BI790" s="9"/>
    </row>
    <row r="791" spans="1:61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BH791" s="9"/>
      <c r="BI791" s="9"/>
    </row>
    <row r="792" spans="1:61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BH792" s="9"/>
      <c r="BI792" s="9"/>
    </row>
    <row r="793" spans="1:61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BH793" s="9"/>
      <c r="BI793" s="9"/>
    </row>
    <row r="794" spans="1:61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BH794" s="9"/>
      <c r="BI794" s="9"/>
    </row>
    <row r="795" spans="1:61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BH795" s="9"/>
      <c r="BI795" s="9"/>
    </row>
    <row r="796" spans="1:61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BH796" s="9"/>
      <c r="BI796" s="9"/>
    </row>
    <row r="797" spans="1:61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BH797" s="9"/>
      <c r="BI797" s="9"/>
    </row>
    <row r="798" spans="1:61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BH798" s="9"/>
      <c r="BI798" s="9"/>
    </row>
    <row r="799" spans="1:61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BH799" s="9"/>
      <c r="BI799" s="9"/>
    </row>
    <row r="800" spans="1:61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BH800" s="9"/>
      <c r="BI800" s="9"/>
    </row>
    <row r="801" spans="1:61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BH801" s="9"/>
      <c r="BI801" s="9"/>
    </row>
    <row r="802" spans="1:61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BH802" s="9"/>
      <c r="BI802" s="9"/>
    </row>
    <row r="803" spans="1:61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BH803" s="9"/>
      <c r="BI803" s="9"/>
    </row>
    <row r="804" spans="1:61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BH804" s="9"/>
      <c r="BI804" s="9"/>
    </row>
    <row r="805" spans="1:61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BH805" s="9"/>
      <c r="BI805" s="9"/>
    </row>
    <row r="806" spans="1:61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BH806" s="9"/>
      <c r="BI806" s="9"/>
    </row>
    <row r="807" spans="1:61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BH807" s="9"/>
      <c r="BI807" s="9"/>
    </row>
    <row r="808" spans="1:61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BH808" s="9"/>
      <c r="BI808" s="9"/>
    </row>
    <row r="809" spans="1:61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BH809" s="9"/>
      <c r="BI809" s="9"/>
    </row>
    <row r="810" spans="1:61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BH810" s="9"/>
      <c r="BI810" s="9"/>
    </row>
    <row r="811" spans="1:61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BH811" s="9"/>
      <c r="BI811" s="9"/>
    </row>
    <row r="812" spans="1:61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BH812" s="9"/>
      <c r="BI812" s="9"/>
    </row>
    <row r="813" spans="1:61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BH813" s="9"/>
      <c r="BI813" s="9"/>
    </row>
    <row r="814" spans="1:61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BH814" s="9"/>
      <c r="BI814" s="9"/>
    </row>
    <row r="815" spans="1:61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BH815" s="9"/>
      <c r="BI815" s="9"/>
    </row>
    <row r="816" spans="1:61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BH816" s="9"/>
      <c r="BI816" s="9"/>
    </row>
    <row r="817" spans="1:61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BH817" s="9"/>
      <c r="BI817" s="9"/>
    </row>
    <row r="818" spans="1:61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BH818" s="9"/>
      <c r="BI818" s="9"/>
    </row>
    <row r="819" spans="1:61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BH819" s="9"/>
      <c r="BI819" s="9"/>
    </row>
    <row r="820" spans="1:61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BH820" s="9"/>
      <c r="BI820" s="9"/>
    </row>
    <row r="821" spans="1:61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BH821" s="9"/>
      <c r="BI821" s="9"/>
    </row>
    <row r="822" spans="1:61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BH822" s="9"/>
      <c r="BI822" s="9"/>
    </row>
    <row r="823" spans="1:61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BH823" s="9"/>
      <c r="BI823" s="9"/>
    </row>
    <row r="824" spans="1:61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BH824" s="9"/>
      <c r="BI824" s="9"/>
    </row>
    <row r="825" spans="1:61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BH825" s="9"/>
      <c r="BI825" s="9"/>
    </row>
    <row r="826" spans="1:61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BH826" s="9"/>
      <c r="BI826" s="9"/>
    </row>
    <row r="827" spans="1:61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BH827" s="9"/>
      <c r="BI827" s="9"/>
    </row>
    <row r="828" spans="1:61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BH828" s="9"/>
      <c r="BI828" s="9"/>
    </row>
    <row r="829" spans="1:61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BH829" s="9"/>
      <c r="BI829" s="9"/>
    </row>
    <row r="830" spans="1:61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BH830" s="9"/>
      <c r="BI830" s="9"/>
    </row>
    <row r="831" spans="1:61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BH831" s="9"/>
      <c r="BI831" s="9"/>
    </row>
    <row r="832" spans="1:61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BH832" s="9"/>
      <c r="BI832" s="9"/>
    </row>
    <row r="833" spans="1:61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BH833" s="9"/>
      <c r="BI833" s="9"/>
    </row>
    <row r="834" spans="1:61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BH834" s="9"/>
      <c r="BI834" s="9"/>
    </row>
    <row r="835" spans="1:61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BH835" s="9"/>
      <c r="BI835" s="9"/>
    </row>
    <row r="836" spans="1:61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BH836" s="9"/>
      <c r="BI836" s="9"/>
    </row>
    <row r="837" spans="1:61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BH837" s="9"/>
      <c r="BI837" s="9"/>
    </row>
    <row r="838" spans="1:61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BH838" s="9"/>
      <c r="BI838" s="9"/>
    </row>
    <row r="839" spans="1:61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BH839" s="9"/>
      <c r="BI839" s="9"/>
    </row>
    <row r="840" spans="1:61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BH840" s="9"/>
      <c r="BI840" s="9"/>
    </row>
    <row r="841" spans="1:61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BH841" s="9"/>
      <c r="BI841" s="9"/>
    </row>
    <row r="842" spans="1:61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BH842" s="9"/>
      <c r="BI842" s="9"/>
    </row>
    <row r="843" spans="1:61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BH843" s="9"/>
      <c r="BI843" s="9"/>
    </row>
    <row r="844" spans="1:61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BH844" s="9"/>
      <c r="BI844" s="9"/>
    </row>
    <row r="845" spans="1:61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BH845" s="9"/>
      <c r="BI845" s="9"/>
    </row>
    <row r="846" spans="1:61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BH846" s="9"/>
      <c r="BI846" s="9"/>
    </row>
    <row r="847" spans="1:61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BH847" s="9"/>
      <c r="BI847" s="9"/>
    </row>
    <row r="848" spans="1:61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BH848" s="9"/>
      <c r="BI848" s="9"/>
    </row>
    <row r="849" spans="1:61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BH849" s="9"/>
      <c r="BI849" s="9"/>
    </row>
    <row r="850" spans="1:61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BH850" s="9"/>
      <c r="BI850" s="9"/>
    </row>
    <row r="851" spans="1:61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BH851" s="9"/>
      <c r="BI851" s="9"/>
    </row>
    <row r="852" spans="1:61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BH852" s="9"/>
      <c r="BI852" s="9"/>
    </row>
    <row r="853" spans="1:61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BH853" s="9"/>
      <c r="BI853" s="9"/>
    </row>
    <row r="854" spans="1:61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BH854" s="9"/>
      <c r="BI854" s="9"/>
    </row>
    <row r="855" spans="1:61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BH855" s="9"/>
      <c r="BI855" s="9"/>
    </row>
    <row r="856" spans="1:61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BH856" s="9"/>
      <c r="BI856" s="9"/>
    </row>
    <row r="857" spans="1:61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BH857" s="9"/>
      <c r="BI857" s="9"/>
    </row>
    <row r="858" spans="1:61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BH858" s="9"/>
      <c r="BI858" s="9"/>
    </row>
    <row r="859" spans="1:61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BH859" s="9"/>
      <c r="BI859" s="9"/>
    </row>
    <row r="860" spans="1:61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BH860" s="9"/>
      <c r="BI860" s="9"/>
    </row>
    <row r="861" spans="1:61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BH861" s="9"/>
      <c r="BI861" s="9"/>
    </row>
    <row r="862" spans="1:61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BH862" s="9"/>
      <c r="BI862" s="9"/>
    </row>
    <row r="863" spans="1:61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BH863" s="9"/>
      <c r="BI863" s="9"/>
    </row>
    <row r="864" spans="1:61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BH864" s="9"/>
      <c r="BI864" s="9"/>
    </row>
    <row r="865" spans="1:61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BH865" s="9"/>
      <c r="BI865" s="9"/>
    </row>
    <row r="866" spans="1:61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BH866" s="9"/>
      <c r="BI866" s="9"/>
    </row>
    <row r="867" spans="1:61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BH867" s="9"/>
      <c r="BI867" s="9"/>
    </row>
    <row r="868" spans="1:61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BH868" s="9"/>
      <c r="BI868" s="9"/>
    </row>
    <row r="869" spans="1:61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BH869" s="9"/>
      <c r="BI869" s="9"/>
    </row>
    <row r="870" spans="1:61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BH870" s="9"/>
      <c r="BI870" s="9"/>
    </row>
    <row r="871" spans="1:61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BH871" s="9"/>
      <c r="BI871" s="9"/>
    </row>
    <row r="872" spans="1:61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BH872" s="9"/>
      <c r="BI872" s="9"/>
    </row>
    <row r="873" spans="1:61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BH873" s="9"/>
      <c r="BI873" s="9"/>
    </row>
    <row r="874" spans="1:61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BH874" s="9"/>
      <c r="BI874" s="9"/>
    </row>
    <row r="875" spans="1:61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BH875" s="9"/>
      <c r="BI875" s="9"/>
    </row>
    <row r="876" spans="1:61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BH876" s="9"/>
      <c r="BI876" s="9"/>
    </row>
    <row r="877" spans="1:61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BH877" s="9"/>
      <c r="BI877" s="9"/>
    </row>
    <row r="878" spans="1:61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BH878" s="9"/>
      <c r="BI878" s="9"/>
    </row>
    <row r="879" spans="1:61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BH879" s="9"/>
      <c r="BI879" s="9"/>
    </row>
    <row r="880" spans="1:61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BH880" s="9"/>
      <c r="BI880" s="9"/>
    </row>
    <row r="881" spans="1:61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BH881" s="9"/>
      <c r="BI881" s="9"/>
    </row>
    <row r="882" spans="1:61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BH882" s="9"/>
      <c r="BI882" s="9"/>
    </row>
    <row r="883" spans="1:61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BH883" s="9"/>
      <c r="BI883" s="9"/>
    </row>
    <row r="884" spans="1:61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BH884" s="9"/>
      <c r="BI884" s="9"/>
    </row>
    <row r="885" spans="1:61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BH885" s="9"/>
      <c r="BI885" s="9"/>
    </row>
    <row r="886" spans="1:61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BH886" s="9"/>
      <c r="BI886" s="9"/>
    </row>
    <row r="887" spans="1:61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BH887" s="9"/>
      <c r="BI887" s="9"/>
    </row>
    <row r="888" spans="1:61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BH888" s="9"/>
      <c r="BI888" s="9"/>
    </row>
    <row r="889" spans="1:61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BH889" s="9"/>
      <c r="BI889" s="9"/>
    </row>
    <row r="890" spans="1:61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BH890" s="9"/>
      <c r="BI890" s="9"/>
    </row>
    <row r="891" spans="1:61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BH891" s="9"/>
      <c r="BI891" s="9"/>
    </row>
    <row r="892" spans="1:61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BH892" s="9"/>
      <c r="BI892" s="9"/>
    </row>
    <row r="893" spans="1:61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BH893" s="9"/>
      <c r="BI893" s="9"/>
    </row>
    <row r="894" spans="1:61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BH894" s="9"/>
      <c r="BI894" s="9"/>
    </row>
    <row r="895" spans="1:61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BH895" s="9"/>
      <c r="BI895" s="9"/>
    </row>
    <row r="896" spans="1:61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BH896" s="9"/>
      <c r="BI896" s="9"/>
    </row>
    <row r="897" spans="1:61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BH897" s="9"/>
      <c r="BI897" s="9"/>
    </row>
    <row r="898" spans="1:61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BH898" s="9"/>
      <c r="BI898" s="9"/>
    </row>
    <row r="899" spans="1:61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BH899" s="9"/>
      <c r="BI899" s="9"/>
    </row>
    <row r="900" spans="1:61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BH900" s="9"/>
      <c r="BI900" s="9"/>
    </row>
    <row r="901" spans="1:61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BH901" s="9"/>
      <c r="BI901" s="9"/>
    </row>
    <row r="902" spans="1:61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BH902" s="9"/>
      <c r="BI902" s="9"/>
    </row>
    <row r="903" spans="1:61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BH903" s="9"/>
      <c r="BI903" s="9"/>
    </row>
    <row r="904" spans="1:61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BH904" s="9"/>
      <c r="BI904" s="9"/>
    </row>
    <row r="905" spans="1:61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BH905" s="9"/>
      <c r="BI905" s="9"/>
    </row>
    <row r="906" spans="1:61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BH906" s="9"/>
      <c r="BI906" s="9"/>
    </row>
    <row r="907" spans="1:61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BH907" s="9"/>
      <c r="BI907" s="9"/>
    </row>
    <row r="908" spans="1:61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BH908" s="9"/>
      <c r="BI908" s="9"/>
    </row>
    <row r="909" spans="1:61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BH909" s="9"/>
      <c r="BI909" s="9"/>
    </row>
    <row r="910" spans="1:61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BH910" s="9"/>
      <c r="BI910" s="9"/>
    </row>
    <row r="911" spans="1:61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BH911" s="9"/>
      <c r="BI911" s="9"/>
    </row>
    <row r="912" spans="1:61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BH912" s="9"/>
      <c r="BI912" s="9"/>
    </row>
    <row r="913" spans="1:61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BH913" s="9"/>
      <c r="BI913" s="9"/>
    </row>
    <row r="914" spans="1:61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BH914" s="9"/>
      <c r="BI914" s="9"/>
    </row>
    <row r="915" spans="1:61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BH915" s="9"/>
      <c r="BI915" s="9"/>
    </row>
    <row r="916" spans="1:61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BH916" s="9"/>
      <c r="BI916" s="9"/>
    </row>
    <row r="917" spans="1:61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BH917" s="9"/>
      <c r="BI917" s="9"/>
    </row>
    <row r="918" spans="1:61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BH918" s="9"/>
      <c r="BI918" s="9"/>
    </row>
    <row r="919" spans="1:61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BH919" s="9"/>
      <c r="BI919" s="9"/>
    </row>
    <row r="920" spans="1:61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BH920" s="9"/>
      <c r="BI920" s="9"/>
    </row>
    <row r="921" spans="1:61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BH921" s="9"/>
      <c r="BI921" s="9"/>
    </row>
    <row r="922" spans="1:61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BH922" s="9"/>
      <c r="BI922" s="9"/>
    </row>
    <row r="923" spans="1:61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BH923" s="9"/>
      <c r="BI923" s="9"/>
    </row>
    <row r="924" spans="1:61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BH924" s="9"/>
      <c r="BI924" s="9"/>
    </row>
    <row r="925" spans="1:61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BH925" s="9"/>
      <c r="BI925" s="9"/>
    </row>
    <row r="926" spans="1:61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BH926" s="9"/>
      <c r="BI926" s="9"/>
    </row>
    <row r="927" spans="1:61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BH927" s="9"/>
      <c r="BI927" s="9"/>
    </row>
    <row r="928" spans="1:61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BH928" s="9"/>
      <c r="BI928" s="9"/>
    </row>
    <row r="929" spans="1:61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BH929" s="9"/>
      <c r="BI929" s="9"/>
    </row>
    <row r="930" spans="1:61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BH930" s="9"/>
      <c r="BI930" s="9"/>
    </row>
    <row r="931" spans="1:61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BH931" s="9"/>
      <c r="BI931" s="9"/>
    </row>
    <row r="932" spans="1:61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BH932" s="9"/>
      <c r="BI932" s="9"/>
    </row>
    <row r="933" spans="1:61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BH933" s="9"/>
      <c r="BI933" s="9"/>
    </row>
    <row r="934" spans="1:61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BH934" s="9"/>
      <c r="BI934" s="9"/>
    </row>
    <row r="935" spans="1:61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BH935" s="9"/>
      <c r="BI935" s="9"/>
    </row>
    <row r="936" spans="1:61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BH936" s="9"/>
      <c r="BI936" s="9"/>
    </row>
    <row r="937" spans="1:61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BH937" s="9"/>
      <c r="BI937" s="9"/>
    </row>
    <row r="938" spans="1:61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BH938" s="9"/>
      <c r="BI938" s="9"/>
    </row>
    <row r="939" spans="1:61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BH939" s="9"/>
      <c r="BI939" s="9"/>
    </row>
    <row r="940" spans="1:61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BH940" s="9"/>
      <c r="BI940" s="9"/>
    </row>
    <row r="941" spans="1:61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BH941" s="9"/>
      <c r="BI941" s="9"/>
    </row>
    <row r="942" spans="1:61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BH942" s="9"/>
      <c r="BI942" s="9"/>
    </row>
    <row r="943" spans="1:61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BH943" s="9"/>
      <c r="BI943" s="9"/>
    </row>
    <row r="944" spans="1:61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BH944" s="9"/>
      <c r="BI944" s="9"/>
    </row>
    <row r="945" spans="1:61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BH945" s="9"/>
      <c r="BI945" s="9"/>
    </row>
    <row r="946" spans="1:61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BH946" s="9"/>
      <c r="BI946" s="9"/>
    </row>
    <row r="947" spans="1:61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BH947" s="9"/>
      <c r="BI947" s="9"/>
    </row>
    <row r="948" spans="1:61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BH948" s="9"/>
      <c r="BI948" s="9"/>
    </row>
    <row r="949" spans="1:61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BH949" s="9"/>
      <c r="BI949" s="9"/>
    </row>
    <row r="950" spans="1:61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BH950" s="9"/>
      <c r="BI950" s="9"/>
    </row>
    <row r="951" spans="1:61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BH951" s="9"/>
      <c r="BI951" s="9"/>
    </row>
    <row r="952" spans="1:61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BH952" s="9"/>
      <c r="BI952" s="9"/>
    </row>
    <row r="953" spans="1:61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BH953" s="9"/>
      <c r="BI953" s="9"/>
    </row>
    <row r="954" spans="1:61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BH954" s="9"/>
      <c r="BI954" s="9"/>
    </row>
    <row r="955" spans="1:61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BH955" s="9"/>
      <c r="BI955" s="9"/>
    </row>
    <row r="956" spans="1:61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BH956" s="9"/>
      <c r="BI956" s="9"/>
    </row>
    <row r="957" spans="1:61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BH957" s="9"/>
      <c r="BI957" s="9"/>
    </row>
    <row r="958" spans="1:61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BH958" s="9"/>
      <c r="BI958" s="9"/>
    </row>
    <row r="959" spans="1:61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BH959" s="9"/>
      <c r="BI959" s="9"/>
    </row>
    <row r="960" spans="1:61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BH960" s="9"/>
      <c r="BI960" s="9"/>
    </row>
    <row r="961" spans="1:61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BH961" s="9"/>
      <c r="BI961" s="9"/>
    </row>
    <row r="962" spans="1:61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BH962" s="9"/>
      <c r="BI962" s="9"/>
    </row>
    <row r="963" spans="1:61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BH963" s="9"/>
      <c r="BI963" s="9"/>
    </row>
    <row r="964" spans="1:61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BH964" s="9"/>
      <c r="BI964" s="9"/>
    </row>
    <row r="965" spans="1:61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BH965" s="9"/>
      <c r="BI965" s="9"/>
    </row>
    <row r="966" spans="1:61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BH966" s="9"/>
      <c r="BI966" s="9"/>
    </row>
    <row r="967" spans="1:61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BH967" s="9"/>
      <c r="BI967" s="9"/>
    </row>
    <row r="968" spans="1:61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BH968" s="9"/>
      <c r="BI968" s="9"/>
    </row>
    <row r="969" spans="1:61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BH969" s="9"/>
      <c r="BI969" s="9"/>
    </row>
    <row r="970" spans="1:61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BH970" s="9"/>
      <c r="BI970" s="9"/>
    </row>
    <row r="971" spans="1:61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BH971" s="9"/>
      <c r="BI971" s="9"/>
    </row>
    <row r="972" spans="1:61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BH972" s="9"/>
      <c r="BI972" s="9"/>
    </row>
    <row r="973" spans="1:61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BH973" s="9"/>
      <c r="BI973" s="9"/>
    </row>
    <row r="974" spans="1:61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BH974" s="9"/>
      <c r="BI974" s="9"/>
    </row>
    <row r="975" spans="1:61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BH975" s="9"/>
      <c r="BI975" s="9"/>
    </row>
    <row r="976" spans="1:61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BH976" s="9"/>
      <c r="BI976" s="9"/>
    </row>
    <row r="977" spans="1:61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BH977" s="9"/>
      <c r="BI977" s="9"/>
    </row>
    <row r="978" spans="1:61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BH978" s="9"/>
      <c r="BI978" s="9"/>
    </row>
    <row r="979" spans="1:61" ht="13">
      <c r="BH979" s="9"/>
      <c r="BI979" s="9"/>
    </row>
    <row r="980" spans="1:61" ht="13">
      <c r="BH980" s="9"/>
      <c r="BI980" s="9"/>
    </row>
    <row r="981" spans="1:61" ht="13">
      <c r="BH981" s="9"/>
      <c r="BI981" s="9"/>
    </row>
    <row r="982" spans="1:61" ht="13">
      <c r="BH982" s="9"/>
      <c r="BI982" s="9"/>
    </row>
    <row r="983" spans="1:61" ht="13">
      <c r="BH983" s="9"/>
      <c r="BI983" s="9"/>
    </row>
    <row r="984" spans="1:61" ht="13">
      <c r="BH984" s="9"/>
      <c r="BI984" s="9"/>
    </row>
    <row r="985" spans="1:61" ht="13">
      <c r="BH985" s="9"/>
      <c r="BI985" s="9"/>
    </row>
    <row r="986" spans="1:61" ht="13">
      <c r="BH986" s="9"/>
      <c r="BI986" s="9"/>
    </row>
    <row r="987" spans="1:61" ht="13">
      <c r="BH987" s="9"/>
      <c r="BI987" s="9"/>
    </row>
    <row r="988" spans="1:61" ht="13">
      <c r="BH988" s="9"/>
      <c r="BI988" s="9"/>
    </row>
    <row r="989" spans="1:61" ht="13">
      <c r="BH989" s="9"/>
      <c r="BI989" s="9"/>
    </row>
    <row r="990" spans="1:61" ht="13">
      <c r="BH990" s="9"/>
      <c r="BI990" s="9"/>
    </row>
    <row r="991" spans="1:61" ht="13">
      <c r="BH991" s="9"/>
      <c r="BI991" s="9"/>
    </row>
    <row r="992" spans="1:61" ht="13">
      <c r="BH992" s="9"/>
      <c r="BI992" s="9"/>
    </row>
    <row r="993" spans="60:61" ht="13">
      <c r="BH993" s="9"/>
      <c r="BI993" s="9"/>
    </row>
    <row r="994" spans="60:61" ht="13">
      <c r="BH994" s="9"/>
      <c r="BI994" s="9"/>
    </row>
    <row r="995" spans="60:61" ht="13">
      <c r="BH995" s="9"/>
      <c r="BI995" s="9"/>
    </row>
    <row r="996" spans="60:61" ht="13">
      <c r="BH996" s="9"/>
      <c r="BI996" s="9"/>
    </row>
    <row r="997" spans="60:61" ht="13">
      <c r="BH997" s="9"/>
      <c r="BI997" s="9"/>
    </row>
    <row r="998" spans="60:61" ht="13">
      <c r="BH998" s="9"/>
      <c r="BI998" s="9"/>
    </row>
    <row r="999" spans="60:61" ht="13">
      <c r="BH999" s="9"/>
      <c r="BI999" s="9"/>
    </row>
    <row r="1000" spans="60:61" ht="13">
      <c r="BH1000" s="9"/>
      <c r="BI1000" s="9"/>
    </row>
    <row r="1001" spans="60:61" ht="13">
      <c r="BH1001" s="9"/>
      <c r="BI1001" s="9"/>
    </row>
    <row r="1002" spans="60:61" ht="13">
      <c r="BH1002" s="9"/>
      <c r="BI1002" s="9"/>
    </row>
    <row r="1003" spans="60:61" ht="13">
      <c r="BH1003" s="9"/>
      <c r="BI1003" s="9"/>
    </row>
    <row r="1004" spans="60:61" ht="13">
      <c r="BH1004" s="9"/>
      <c r="BI1004" s="9"/>
    </row>
    <row r="1005" spans="60:61" ht="13">
      <c r="BH1005" s="9"/>
      <c r="BI1005" s="9"/>
    </row>
    <row r="1006" spans="60:61" ht="13">
      <c r="BH1006" s="9"/>
      <c r="BI1006" s="9"/>
    </row>
    <row r="1007" spans="60:61" ht="13">
      <c r="BH1007" s="9"/>
      <c r="BI1007" s="9"/>
    </row>
  </sheetData>
  <mergeCells count="24">
    <mergeCell ref="AO3:AO5"/>
    <mergeCell ref="AP3:AP5"/>
    <mergeCell ref="K4:L4"/>
    <mergeCell ref="Q4:Q5"/>
    <mergeCell ref="AN4:AN5"/>
    <mergeCell ref="AK4:AK5"/>
    <mergeCell ref="AL4:AL5"/>
    <mergeCell ref="AM4:AM5"/>
    <mergeCell ref="F3:G3"/>
    <mergeCell ref="J3:L3"/>
    <mergeCell ref="AK3:AL3"/>
    <mergeCell ref="F4:G5"/>
    <mergeCell ref="I4:I5"/>
    <mergeCell ref="N3:P3"/>
    <mergeCell ref="O4:P4"/>
    <mergeCell ref="AI3:AJ5"/>
    <mergeCell ref="AX3:AY5"/>
    <mergeCell ref="AZ3:BA3"/>
    <mergeCell ref="BF3:BF5"/>
    <mergeCell ref="BG3:BG5"/>
    <mergeCell ref="AZ4:AZ5"/>
    <mergeCell ref="BA4:BA5"/>
    <mergeCell ref="BB4:BB5"/>
    <mergeCell ref="BC4:BC5"/>
  </mergeCells>
  <phoneticPr fontId="68" type="noConversion"/>
  <conditionalFormatting sqref="AO6:AO36 BD6:BF36">
    <cfRule type="cellIs" dxfId="3" priority="1" operator="greaterThan">
      <formula>240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showGridLines="0" workbookViewId="0"/>
  </sheetViews>
  <sheetFormatPr baseColWidth="10" defaultColWidth="12.6640625" defaultRowHeight="15.75" customHeight="1"/>
  <cols>
    <col min="2" max="2" width="5.33203125" customWidth="1"/>
    <col min="3" max="3" width="4.5" customWidth="1"/>
    <col min="4" max="4" width="12.6640625" customWidth="1"/>
    <col min="7" max="7" width="8.83203125" customWidth="1"/>
    <col min="10" max="10" width="8.83203125" customWidth="1"/>
    <col min="11" max="13" width="7.6640625" customWidth="1"/>
    <col min="16" max="17" width="4.6640625" customWidth="1"/>
    <col min="20" max="20" width="31.1640625" customWidth="1"/>
  </cols>
  <sheetData>
    <row r="1" spans="1:25">
      <c r="T1" s="149"/>
    </row>
    <row r="2" spans="1:25" ht="15.75" customHeight="1">
      <c r="B2" s="817" t="s">
        <v>10</v>
      </c>
      <c r="C2" s="818"/>
      <c r="D2" s="150" t="s">
        <v>15</v>
      </c>
      <c r="E2" s="819" t="s">
        <v>112</v>
      </c>
      <c r="F2" s="820"/>
      <c r="G2" s="820"/>
      <c r="H2" s="820"/>
      <c r="I2" s="820"/>
      <c r="J2" s="818"/>
      <c r="K2" s="821" t="s">
        <v>113</v>
      </c>
      <c r="L2" s="820"/>
      <c r="M2" s="822"/>
      <c r="P2" s="803"/>
      <c r="Q2" s="794"/>
      <c r="R2" s="793" t="s">
        <v>11</v>
      </c>
      <c r="S2" s="823"/>
      <c r="T2" s="824" t="s">
        <v>13</v>
      </c>
      <c r="U2" s="39"/>
      <c r="V2" s="39"/>
      <c r="W2" s="39"/>
      <c r="X2" s="39"/>
      <c r="Y2" s="39"/>
    </row>
    <row r="3" spans="1:25">
      <c r="B3" s="825" t="s">
        <v>10</v>
      </c>
      <c r="C3" s="815"/>
      <c r="D3" s="811" t="s">
        <v>114</v>
      </c>
      <c r="E3" s="813" t="s">
        <v>115</v>
      </c>
      <c r="F3" s="814"/>
      <c r="G3" s="815"/>
      <c r="H3" s="816" t="s">
        <v>116</v>
      </c>
      <c r="I3" s="814"/>
      <c r="J3" s="815"/>
      <c r="K3" s="813" t="s">
        <v>3</v>
      </c>
      <c r="L3" s="785" t="s">
        <v>66</v>
      </c>
      <c r="M3" s="785" t="s">
        <v>117</v>
      </c>
      <c r="P3" s="789" t="s">
        <v>10</v>
      </c>
      <c r="Q3" s="788"/>
      <c r="R3" s="151" t="s">
        <v>3</v>
      </c>
      <c r="S3" s="82" t="s">
        <v>66</v>
      </c>
      <c r="T3" s="798"/>
      <c r="U3" s="39"/>
      <c r="V3" s="39"/>
      <c r="W3" s="39"/>
      <c r="X3" s="39"/>
      <c r="Y3" s="39"/>
    </row>
    <row r="4" spans="1:25">
      <c r="B4" s="791"/>
      <c r="C4" s="812"/>
      <c r="D4" s="812"/>
      <c r="E4" s="153" t="s">
        <v>118</v>
      </c>
      <c r="F4" s="153" t="s">
        <v>119</v>
      </c>
      <c r="G4" s="154" t="s">
        <v>120</v>
      </c>
      <c r="H4" s="85" t="s">
        <v>118</v>
      </c>
      <c r="I4" s="85" t="s">
        <v>8</v>
      </c>
      <c r="J4" s="155" t="s">
        <v>120</v>
      </c>
      <c r="K4" s="786"/>
      <c r="L4" s="786"/>
      <c r="M4" s="788"/>
      <c r="P4" s="791"/>
      <c r="Q4" s="786"/>
      <c r="R4" s="151" t="s">
        <v>63</v>
      </c>
      <c r="S4" s="82" t="s">
        <v>18</v>
      </c>
      <c r="T4" s="798"/>
      <c r="U4" s="39"/>
      <c r="V4" s="39"/>
      <c r="W4" s="39"/>
      <c r="X4" s="39"/>
      <c r="Y4" s="39"/>
    </row>
    <row r="5" spans="1:25">
      <c r="B5" s="156">
        <v>43525</v>
      </c>
      <c r="C5" s="157" t="s">
        <v>29</v>
      </c>
      <c r="D5" s="158">
        <v>59333.333333333336</v>
      </c>
      <c r="E5" s="159">
        <v>27845.161290322576</v>
      </c>
      <c r="F5" s="159">
        <v>14473</v>
      </c>
      <c r="G5" s="160">
        <v>0.51976714550509739</v>
      </c>
      <c r="H5" s="159">
        <v>4727</v>
      </c>
      <c r="I5" s="159">
        <v>3785</v>
      </c>
      <c r="J5" s="160">
        <f t="shared" ref="J5:J14" si="0">I5/H5</f>
        <v>0.8007192722657076</v>
      </c>
      <c r="K5" s="161">
        <v>0.51976714550509739</v>
      </c>
      <c r="L5" s="161">
        <v>1.0504444444444445</v>
      </c>
      <c r="M5" s="162">
        <v>0.81899706952303963</v>
      </c>
      <c r="P5" s="68">
        <v>43556</v>
      </c>
      <c r="Q5" s="51" t="s">
        <v>41</v>
      </c>
      <c r="R5" s="136">
        <v>14108.333333333328</v>
      </c>
      <c r="S5" s="163">
        <v>6000</v>
      </c>
      <c r="T5" s="164"/>
      <c r="U5" s="39"/>
      <c r="V5" s="39"/>
      <c r="W5" s="39"/>
      <c r="X5" s="39"/>
      <c r="Y5" s="39"/>
    </row>
    <row r="6" spans="1:25">
      <c r="A6" s="4" t="s">
        <v>121</v>
      </c>
      <c r="B6" s="156">
        <v>43526</v>
      </c>
      <c r="C6" s="157" t="s">
        <v>33</v>
      </c>
      <c r="D6" s="158">
        <v>29666.666666666668</v>
      </c>
      <c r="E6" s="159">
        <v>31845.161290322576</v>
      </c>
      <c r="F6" s="159">
        <v>2163</v>
      </c>
      <c r="G6" s="160">
        <v>6.7922406807131297E-2</v>
      </c>
      <c r="H6" s="159">
        <v>4301</v>
      </c>
      <c r="I6" s="159">
        <v>3686</v>
      </c>
      <c r="J6" s="160">
        <f t="shared" si="0"/>
        <v>0.85700999767495933</v>
      </c>
      <c r="K6" s="161">
        <v>6.7922406807131297E-2</v>
      </c>
      <c r="L6" s="161">
        <v>1.07525</v>
      </c>
      <c r="M6" s="162">
        <v>0.57280770008084081</v>
      </c>
      <c r="P6" s="73">
        <v>43557</v>
      </c>
      <c r="Q6" s="38" t="s">
        <v>46</v>
      </c>
      <c r="R6" s="138">
        <v>18108.333333333328</v>
      </c>
      <c r="S6" s="165">
        <v>5500</v>
      </c>
      <c r="T6" s="164"/>
      <c r="U6" s="39"/>
      <c r="V6" s="39"/>
      <c r="W6" s="39"/>
      <c r="X6" s="39"/>
      <c r="Y6" s="39"/>
    </row>
    <row r="7" spans="1:25">
      <c r="A7" s="4" t="s">
        <v>121</v>
      </c>
      <c r="B7" s="166">
        <v>43527</v>
      </c>
      <c r="C7" s="152" t="s">
        <v>37</v>
      </c>
      <c r="D7" s="167">
        <v>29666.666666666668</v>
      </c>
      <c r="E7" s="168">
        <v>0</v>
      </c>
      <c r="F7" s="168">
        <v>0</v>
      </c>
      <c r="G7" s="169" t="s">
        <v>23</v>
      </c>
      <c r="H7" s="168">
        <v>4364</v>
      </c>
      <c r="I7" s="168">
        <v>3782</v>
      </c>
      <c r="J7" s="169">
        <f t="shared" si="0"/>
        <v>0.86663611365719528</v>
      </c>
      <c r="K7" s="170" t="s">
        <v>23</v>
      </c>
      <c r="L7" s="170">
        <v>1.091</v>
      </c>
      <c r="M7" s="171">
        <v>1.091</v>
      </c>
      <c r="P7" s="73">
        <v>43558</v>
      </c>
      <c r="Q7" s="38" t="s">
        <v>49</v>
      </c>
      <c r="R7" s="138">
        <v>22108.333333333328</v>
      </c>
      <c r="S7" s="165">
        <v>5000</v>
      </c>
      <c r="T7" s="164"/>
      <c r="U7" s="39"/>
      <c r="V7" s="39"/>
      <c r="W7" s="39"/>
      <c r="X7" s="39"/>
      <c r="Y7" s="39"/>
    </row>
    <row r="8" spans="1:25">
      <c r="B8" s="156">
        <v>43528</v>
      </c>
      <c r="C8" s="157" t="s">
        <v>41</v>
      </c>
      <c r="D8" s="158">
        <v>59333.333333333336</v>
      </c>
      <c r="E8" s="159">
        <v>2000</v>
      </c>
      <c r="F8" s="159">
        <v>302</v>
      </c>
      <c r="G8" s="160">
        <v>0.151</v>
      </c>
      <c r="H8" s="159">
        <v>8059.6548675213653</v>
      </c>
      <c r="I8" s="159">
        <v>7652</v>
      </c>
      <c r="J8" s="160">
        <f t="shared" si="0"/>
        <v>0.94942030716921577</v>
      </c>
      <c r="K8" s="161">
        <v>8.4166561332170708E-2</v>
      </c>
      <c r="L8" s="161">
        <v>1.0202666666666667</v>
      </c>
      <c r="M8" s="162">
        <v>0.96744481209850086</v>
      </c>
      <c r="P8" s="139">
        <v>43559</v>
      </c>
      <c r="Q8" s="38" t="s">
        <v>51</v>
      </c>
      <c r="R8" s="145">
        <v>0</v>
      </c>
      <c r="S8" s="165">
        <v>4500</v>
      </c>
      <c r="T8" s="164" t="s">
        <v>122</v>
      </c>
      <c r="U8" s="39"/>
      <c r="V8" s="39"/>
      <c r="W8" s="39"/>
      <c r="X8" s="39"/>
      <c r="Y8" s="39"/>
    </row>
    <row r="9" spans="1:25">
      <c r="B9" s="156">
        <v>43529</v>
      </c>
      <c r="C9" s="157" t="s">
        <v>123</v>
      </c>
      <c r="D9" s="158">
        <v>59333.333333333336</v>
      </c>
      <c r="E9" s="159">
        <v>14352.493209655106</v>
      </c>
      <c r="F9" s="159">
        <v>9190</v>
      </c>
      <c r="G9" s="160">
        <v>0.64030686973729201</v>
      </c>
      <c r="H9" s="159">
        <v>5330.9461167948721</v>
      </c>
      <c r="I9" s="159">
        <v>6054</v>
      </c>
      <c r="J9" s="160">
        <f t="shared" si="0"/>
        <v>1.1356333129924505</v>
      </c>
      <c r="K9" s="161">
        <v>0.64030686973729201</v>
      </c>
      <c r="L9" s="161">
        <v>1.0089999999999999</v>
      </c>
      <c r="M9" s="162">
        <v>0.92413305441132543</v>
      </c>
      <c r="P9" s="139">
        <v>43560</v>
      </c>
      <c r="Q9" s="38" t="s">
        <v>29</v>
      </c>
      <c r="R9" s="145">
        <v>0</v>
      </c>
      <c r="S9" s="165">
        <v>4500</v>
      </c>
      <c r="T9" s="164" t="s">
        <v>122</v>
      </c>
      <c r="U9" s="39"/>
      <c r="V9" s="39"/>
      <c r="W9" s="39"/>
      <c r="X9" s="39"/>
      <c r="Y9" s="39"/>
    </row>
    <row r="10" spans="1:25">
      <c r="B10" s="156">
        <v>43530</v>
      </c>
      <c r="C10" s="157" t="s">
        <v>49</v>
      </c>
      <c r="D10" s="158">
        <v>59333.333333333336</v>
      </c>
      <c r="E10" s="159">
        <v>17940.616512068882</v>
      </c>
      <c r="F10" s="159">
        <v>16649</v>
      </c>
      <c r="G10" s="160">
        <v>0.92800601299292051</v>
      </c>
      <c r="H10" s="159">
        <v>5059.4623920512822</v>
      </c>
      <c r="I10" s="159">
        <v>4964</v>
      </c>
      <c r="J10" s="160">
        <f t="shared" si="0"/>
        <v>0.98113190994338462</v>
      </c>
      <c r="K10" s="161">
        <v>0.92800601299292051</v>
      </c>
      <c r="L10" s="161">
        <v>0.90254545454545454</v>
      </c>
      <c r="M10" s="162">
        <v>0.90991990673871137</v>
      </c>
      <c r="P10" s="139">
        <v>43561</v>
      </c>
      <c r="Q10" s="38" t="s">
        <v>33</v>
      </c>
      <c r="R10" s="145">
        <v>0</v>
      </c>
      <c r="S10" s="165">
        <v>4000</v>
      </c>
      <c r="T10" s="164" t="s">
        <v>122</v>
      </c>
      <c r="U10" s="39"/>
      <c r="V10" s="39"/>
      <c r="W10" s="39"/>
      <c r="X10" s="39"/>
      <c r="Y10" s="39"/>
    </row>
    <row r="11" spans="1:25">
      <c r="B11" s="156">
        <v>43531</v>
      </c>
      <c r="C11" s="157" t="s">
        <v>124</v>
      </c>
      <c r="D11" s="158">
        <v>59333.333333333336</v>
      </c>
      <c r="E11" s="159">
        <v>17940.616512068882</v>
      </c>
      <c r="F11" s="159">
        <v>17848</v>
      </c>
      <c r="G11" s="160">
        <v>0.99483760705733959</v>
      </c>
      <c r="H11" s="159">
        <v>5257.7506965384619</v>
      </c>
      <c r="I11" s="159">
        <v>6505</v>
      </c>
      <c r="J11" s="160">
        <f t="shared" si="0"/>
        <v>1.2372210809239563</v>
      </c>
      <c r="K11" s="161">
        <v>0.99483760705733959</v>
      </c>
      <c r="L11" s="161">
        <v>1.2907272727272727</v>
      </c>
      <c r="M11" s="162">
        <v>1.205025138641568</v>
      </c>
      <c r="P11" s="141">
        <v>43562</v>
      </c>
      <c r="Q11" s="45" t="s">
        <v>37</v>
      </c>
      <c r="R11" s="148">
        <v>0</v>
      </c>
      <c r="S11" s="172">
        <v>4000</v>
      </c>
      <c r="T11" s="173" t="s">
        <v>122</v>
      </c>
      <c r="U11" s="39"/>
      <c r="V11" s="39"/>
      <c r="W11" s="39"/>
      <c r="X11" s="39"/>
      <c r="Y11" s="39"/>
    </row>
    <row r="12" spans="1:25">
      <c r="B12" s="156">
        <v>43532</v>
      </c>
      <c r="C12" s="157" t="s">
        <v>29</v>
      </c>
      <c r="D12" s="158">
        <v>59333.333333333336</v>
      </c>
      <c r="E12" s="159">
        <v>25116.863116896431</v>
      </c>
      <c r="F12" s="159">
        <v>27009</v>
      </c>
      <c r="G12" s="160">
        <v>1.0753333278243136</v>
      </c>
      <c r="H12" s="159">
        <v>4063.0357656410256</v>
      </c>
      <c r="I12" s="159">
        <v>6193</v>
      </c>
      <c r="J12" s="160">
        <f t="shared" si="0"/>
        <v>1.5242297526324948</v>
      </c>
      <c r="K12" s="161">
        <v>1.0753333278243136</v>
      </c>
      <c r="L12" s="161">
        <v>1.5128888888888889</v>
      </c>
      <c r="M12" s="162">
        <v>1.3330690720197629</v>
      </c>
      <c r="P12" s="68">
        <v>43563</v>
      </c>
      <c r="Q12" s="51" t="s">
        <v>41</v>
      </c>
      <c r="R12" s="136">
        <v>14108.333333333328</v>
      </c>
      <c r="S12" s="163">
        <v>6500</v>
      </c>
      <c r="T12" s="164"/>
      <c r="U12" s="39"/>
      <c r="V12" s="39"/>
      <c r="W12" s="39"/>
      <c r="X12" s="39"/>
      <c r="Y12" s="39"/>
    </row>
    <row r="13" spans="1:25">
      <c r="A13" s="4" t="s">
        <v>121</v>
      </c>
      <c r="B13" s="156">
        <v>43533</v>
      </c>
      <c r="C13" s="157" t="s">
        <v>33</v>
      </c>
      <c r="D13" s="158">
        <v>29666.666666666668</v>
      </c>
      <c r="E13" s="159">
        <v>28704.986419310204</v>
      </c>
      <c r="F13" s="159">
        <v>32947</v>
      </c>
      <c r="G13" s="160">
        <v>1.147779675584035</v>
      </c>
      <c r="H13" s="159">
        <v>3888.6945620512824</v>
      </c>
      <c r="I13" s="159">
        <v>4191</v>
      </c>
      <c r="J13" s="160">
        <f t="shared" si="0"/>
        <v>1.0777395686714082</v>
      </c>
      <c r="K13" s="161">
        <v>1.147779675584035</v>
      </c>
      <c r="L13" s="161">
        <v>1.1287499999999999</v>
      </c>
      <c r="M13" s="162">
        <v>1.137748380716709</v>
      </c>
      <c r="P13" s="73">
        <v>43564</v>
      </c>
      <c r="Q13" s="38" t="s">
        <v>46</v>
      </c>
      <c r="R13" s="138">
        <v>18108.333333333328</v>
      </c>
      <c r="S13" s="165">
        <v>5500</v>
      </c>
      <c r="T13" s="164"/>
      <c r="U13" s="39"/>
      <c r="V13" s="39"/>
      <c r="W13" s="39"/>
      <c r="X13" s="39"/>
      <c r="Y13" s="39"/>
    </row>
    <row r="14" spans="1:25">
      <c r="A14" s="4" t="s">
        <v>121</v>
      </c>
      <c r="B14" s="166">
        <v>43534</v>
      </c>
      <c r="C14" s="152" t="s">
        <v>37</v>
      </c>
      <c r="D14" s="167">
        <v>29666.666666666668</v>
      </c>
      <c r="E14" s="168">
        <v>0</v>
      </c>
      <c r="F14" s="168">
        <v>33</v>
      </c>
      <c r="G14" s="174" t="s">
        <v>23</v>
      </c>
      <c r="H14" s="168">
        <v>4200.3727748717956</v>
      </c>
      <c r="I14" s="168">
        <v>4728</v>
      </c>
      <c r="J14" s="169">
        <f t="shared" si="0"/>
        <v>1.1256143807722658</v>
      </c>
      <c r="K14" s="170">
        <v>1.1496260446861068E-3</v>
      </c>
      <c r="L14" s="170">
        <v>1.2642500000000001</v>
      </c>
      <c r="M14" s="171">
        <v>0.66697980492621411</v>
      </c>
      <c r="P14" s="73">
        <v>43565</v>
      </c>
      <c r="Q14" s="38" t="s">
        <v>49</v>
      </c>
      <c r="R14" s="138">
        <v>22108.333333333328</v>
      </c>
      <c r="S14" s="165">
        <v>5000</v>
      </c>
      <c r="T14" s="164"/>
      <c r="U14" s="39"/>
      <c r="V14" s="39"/>
      <c r="W14" s="39"/>
      <c r="X14" s="39"/>
      <c r="Y14" s="39"/>
    </row>
    <row r="15" spans="1:25">
      <c r="B15" s="156">
        <v>43535</v>
      </c>
      <c r="C15" s="157" t="s">
        <v>41</v>
      </c>
      <c r="D15" s="158">
        <v>59333.333333333336</v>
      </c>
      <c r="E15" s="159">
        <v>2000</v>
      </c>
      <c r="F15" s="159">
        <v>2063</v>
      </c>
      <c r="G15" s="175"/>
      <c r="H15" s="159">
        <v>6021</v>
      </c>
      <c r="I15" s="159"/>
      <c r="J15" s="175"/>
      <c r="K15" s="176"/>
      <c r="L15" s="176"/>
      <c r="M15" s="162">
        <f t="shared" ref="M15:M35" si="1">(F15+H15*8)/D15</f>
        <v>0.8465898876404494</v>
      </c>
      <c r="P15" s="73">
        <v>43566</v>
      </c>
      <c r="Q15" s="38" t="s">
        <v>51</v>
      </c>
      <c r="R15" s="138">
        <v>22108.333333333328</v>
      </c>
      <c r="S15" s="165">
        <v>5000</v>
      </c>
      <c r="T15" s="164"/>
      <c r="U15" s="39"/>
      <c r="V15" s="39"/>
      <c r="W15" s="39"/>
      <c r="X15" s="39"/>
      <c r="Y15" s="39"/>
    </row>
    <row r="16" spans="1:25">
      <c r="B16" s="156">
        <v>43536</v>
      </c>
      <c r="C16" s="157" t="s">
        <v>123</v>
      </c>
      <c r="D16" s="158">
        <v>59333.333333333336</v>
      </c>
      <c r="E16" s="159">
        <v>14352.493209655106</v>
      </c>
      <c r="F16" s="159">
        <v>17692</v>
      </c>
      <c r="G16" s="175"/>
      <c r="H16" s="159">
        <v>5243</v>
      </c>
      <c r="I16" s="159"/>
      <c r="J16" s="158"/>
      <c r="K16" s="176"/>
      <c r="L16" s="176"/>
      <c r="M16" s="162">
        <f t="shared" si="1"/>
        <v>1.0051011235955056</v>
      </c>
      <c r="P16" s="73">
        <v>43567</v>
      </c>
      <c r="Q16" s="38" t="s">
        <v>29</v>
      </c>
      <c r="R16" s="138">
        <v>18108.333333333328</v>
      </c>
      <c r="S16" s="165">
        <v>5500</v>
      </c>
      <c r="T16" s="164"/>
      <c r="U16" s="39"/>
      <c r="V16" s="39"/>
      <c r="W16" s="39"/>
      <c r="X16" s="39"/>
      <c r="Y16" s="39"/>
    </row>
    <row r="17" spans="1:25">
      <c r="B17" s="156">
        <v>43537</v>
      </c>
      <c r="C17" s="157" t="s">
        <v>49</v>
      </c>
      <c r="D17" s="158">
        <v>59333.333333333336</v>
      </c>
      <c r="E17" s="159">
        <v>17940.616512068882</v>
      </c>
      <c r="F17" s="159">
        <v>18619</v>
      </c>
      <c r="G17" s="175"/>
      <c r="H17" s="159">
        <v>5499</v>
      </c>
      <c r="I17" s="159"/>
      <c r="J17" s="158"/>
      <c r="K17" s="176"/>
      <c r="L17" s="176"/>
      <c r="M17" s="162">
        <f t="shared" si="1"/>
        <v>1.0552415730337079</v>
      </c>
      <c r="P17" s="73">
        <v>43568</v>
      </c>
      <c r="Q17" s="38" t="s">
        <v>33</v>
      </c>
      <c r="R17" s="138">
        <v>26108.333333333328</v>
      </c>
      <c r="S17" s="165">
        <v>4500</v>
      </c>
      <c r="T17" s="164"/>
      <c r="U17" s="39"/>
      <c r="V17" s="39"/>
      <c r="W17" s="39"/>
      <c r="X17" s="39"/>
      <c r="Y17" s="39"/>
    </row>
    <row r="18" spans="1:25">
      <c r="B18" s="156">
        <v>43538</v>
      </c>
      <c r="C18" s="157" t="s">
        <v>124</v>
      </c>
      <c r="D18" s="158">
        <v>59333.333333333336</v>
      </c>
      <c r="E18" s="159">
        <v>17940.616512068882</v>
      </c>
      <c r="F18" s="159">
        <v>23495</v>
      </c>
      <c r="G18" s="175"/>
      <c r="H18" s="159">
        <v>5088</v>
      </c>
      <c r="I18" s="159"/>
      <c r="J18" s="158"/>
      <c r="K18" s="176"/>
      <c r="L18" s="176"/>
      <c r="M18" s="162">
        <f t="shared" si="1"/>
        <v>1.0820056179775281</v>
      </c>
      <c r="P18" s="96">
        <v>43569</v>
      </c>
      <c r="Q18" s="45" t="s">
        <v>37</v>
      </c>
      <c r="R18" s="148">
        <v>0</v>
      </c>
      <c r="S18" s="172">
        <v>4000</v>
      </c>
      <c r="T18" s="173"/>
      <c r="U18" s="39"/>
      <c r="V18" s="39"/>
      <c r="W18" s="39"/>
      <c r="X18" s="39"/>
      <c r="Y18" s="39"/>
    </row>
    <row r="19" spans="1:25">
      <c r="B19" s="156">
        <v>43539</v>
      </c>
      <c r="C19" s="157" t="s">
        <v>29</v>
      </c>
      <c r="D19" s="158">
        <v>59333.333333333336</v>
      </c>
      <c r="E19" s="159">
        <v>10764.369907241329</v>
      </c>
      <c r="F19" s="159">
        <v>13517</v>
      </c>
      <c r="G19" s="175"/>
      <c r="H19" s="159">
        <v>5771</v>
      </c>
      <c r="I19" s="159"/>
      <c r="J19" s="158"/>
      <c r="K19" s="176"/>
      <c r="L19" s="176"/>
      <c r="M19" s="162">
        <f t="shared" si="1"/>
        <v>1.0059269662921348</v>
      </c>
      <c r="P19" s="68">
        <v>43570</v>
      </c>
      <c r="Q19" s="51" t="s">
        <v>41</v>
      </c>
      <c r="R19" s="136">
        <v>14108.333333333328</v>
      </c>
      <c r="S19" s="163">
        <v>6000</v>
      </c>
      <c r="T19" s="164"/>
      <c r="U19" s="39"/>
      <c r="V19" s="39"/>
      <c r="W19" s="39"/>
      <c r="X19" s="39"/>
      <c r="Y19" s="39"/>
    </row>
    <row r="20" spans="1:25">
      <c r="A20" s="4" t="s">
        <v>121</v>
      </c>
      <c r="B20" s="156">
        <v>43540</v>
      </c>
      <c r="C20" s="157" t="s">
        <v>33</v>
      </c>
      <c r="D20" s="158">
        <v>29666.666666666668</v>
      </c>
      <c r="E20" s="159">
        <v>10764.369907241329</v>
      </c>
      <c r="F20" s="159">
        <v>5424</v>
      </c>
      <c r="G20" s="175"/>
      <c r="H20" s="159">
        <v>5924</v>
      </c>
      <c r="I20" s="159"/>
      <c r="J20" s="158"/>
      <c r="K20" s="176"/>
      <c r="L20" s="176"/>
      <c r="M20" s="162">
        <f t="shared" si="1"/>
        <v>1.7803146067415729</v>
      </c>
      <c r="P20" s="73">
        <v>43571</v>
      </c>
      <c r="Q20" s="38" t="s">
        <v>46</v>
      </c>
      <c r="R20" s="145">
        <v>0</v>
      </c>
      <c r="S20" s="177">
        <v>7000</v>
      </c>
      <c r="T20" s="164" t="s">
        <v>125</v>
      </c>
      <c r="U20" s="39"/>
      <c r="V20" s="39"/>
      <c r="W20" s="39"/>
      <c r="X20" s="39"/>
      <c r="Y20" s="39"/>
    </row>
    <row r="21" spans="1:25">
      <c r="A21" s="4" t="s">
        <v>121</v>
      </c>
      <c r="B21" s="166">
        <v>43541</v>
      </c>
      <c r="C21" s="152" t="s">
        <v>37</v>
      </c>
      <c r="D21" s="167">
        <v>29666.666666666668</v>
      </c>
      <c r="E21" s="168">
        <v>0</v>
      </c>
      <c r="F21" s="168">
        <v>0</v>
      </c>
      <c r="G21" s="178"/>
      <c r="H21" s="168">
        <v>5770</v>
      </c>
      <c r="I21" s="168"/>
      <c r="J21" s="167"/>
      <c r="K21" s="179"/>
      <c r="L21" s="179"/>
      <c r="M21" s="171">
        <f t="shared" si="1"/>
        <v>1.5559550561797753</v>
      </c>
      <c r="P21" s="73">
        <v>43572</v>
      </c>
      <c r="Q21" s="38" t="s">
        <v>49</v>
      </c>
      <c r="R21" s="138">
        <v>10108.333333333328</v>
      </c>
      <c r="S21" s="165">
        <v>6500</v>
      </c>
      <c r="T21" s="164"/>
      <c r="U21" s="39"/>
      <c r="V21" s="39"/>
      <c r="W21" s="39"/>
      <c r="X21" s="39"/>
      <c r="Y21" s="39"/>
    </row>
    <row r="22" spans="1:25">
      <c r="B22" s="156">
        <v>43542</v>
      </c>
      <c r="C22" s="157" t="s">
        <v>41</v>
      </c>
      <c r="D22" s="158">
        <v>59333.333333333336</v>
      </c>
      <c r="E22" s="159">
        <v>0</v>
      </c>
      <c r="F22" s="159">
        <v>0</v>
      </c>
      <c r="G22" s="175"/>
      <c r="H22" s="159">
        <v>8000</v>
      </c>
      <c r="I22" s="159"/>
      <c r="J22" s="158"/>
      <c r="K22" s="180"/>
      <c r="L22" s="180"/>
      <c r="M22" s="162">
        <f t="shared" si="1"/>
        <v>1.0786516853932584</v>
      </c>
      <c r="P22" s="73">
        <v>43573</v>
      </c>
      <c r="Q22" s="38" t="s">
        <v>51</v>
      </c>
      <c r="R22" s="181">
        <v>10000</v>
      </c>
      <c r="S22" s="182">
        <v>6500</v>
      </c>
      <c r="T22" s="164"/>
      <c r="U22" s="39"/>
      <c r="V22" s="39"/>
      <c r="W22" s="39"/>
      <c r="X22" s="39"/>
      <c r="Y22" s="39"/>
    </row>
    <row r="23" spans="1:25">
      <c r="B23" s="156">
        <v>43543</v>
      </c>
      <c r="C23" s="157" t="s">
        <v>123</v>
      </c>
      <c r="D23" s="158">
        <v>59333.333333333336</v>
      </c>
      <c r="E23" s="159">
        <v>0</v>
      </c>
      <c r="F23" s="159">
        <v>164</v>
      </c>
      <c r="G23" s="175"/>
      <c r="H23" s="159">
        <v>7500</v>
      </c>
      <c r="I23" s="159"/>
      <c r="J23" s="158"/>
      <c r="K23" s="180"/>
      <c r="L23" s="180"/>
      <c r="M23" s="162">
        <f t="shared" si="1"/>
        <v>1.014</v>
      </c>
      <c r="P23" s="73">
        <v>43574</v>
      </c>
      <c r="Q23" s="38" t="s">
        <v>29</v>
      </c>
      <c r="R23" s="181">
        <v>0</v>
      </c>
      <c r="S23" s="182">
        <v>7500</v>
      </c>
      <c r="T23" s="164" t="s">
        <v>126</v>
      </c>
      <c r="U23" s="39"/>
      <c r="V23" s="39"/>
      <c r="W23" s="39"/>
      <c r="X23" s="39"/>
      <c r="Y23" s="39"/>
    </row>
    <row r="24" spans="1:25">
      <c r="B24" s="156">
        <v>43544</v>
      </c>
      <c r="C24" s="157" t="s">
        <v>49</v>
      </c>
      <c r="D24" s="158">
        <v>59333.333333333336</v>
      </c>
      <c r="E24" s="159">
        <v>5445</v>
      </c>
      <c r="F24" s="159">
        <v>4303</v>
      </c>
      <c r="G24" s="175"/>
      <c r="H24" s="159">
        <v>7300</v>
      </c>
      <c r="I24" s="159"/>
      <c r="J24" s="158"/>
      <c r="K24" s="180"/>
      <c r="L24" s="180"/>
      <c r="M24" s="162">
        <f t="shared" si="1"/>
        <v>1.0567921348314606</v>
      </c>
      <c r="P24" s="73">
        <v>43575</v>
      </c>
      <c r="Q24" s="38" t="s">
        <v>33</v>
      </c>
      <c r="R24" s="181">
        <v>22000</v>
      </c>
      <c r="S24" s="165">
        <v>4500</v>
      </c>
      <c r="T24" s="164"/>
      <c r="U24" s="39"/>
      <c r="V24" s="39"/>
      <c r="W24" s="39"/>
      <c r="X24" s="39"/>
      <c r="Y24" s="39"/>
    </row>
    <row r="25" spans="1:25">
      <c r="B25" s="156">
        <v>43545</v>
      </c>
      <c r="C25" s="157" t="s">
        <v>124</v>
      </c>
      <c r="D25" s="158">
        <v>59333.333333333336</v>
      </c>
      <c r="E25" s="159">
        <v>5445</v>
      </c>
      <c r="F25" s="159">
        <v>524</v>
      </c>
      <c r="G25" s="175"/>
      <c r="H25" s="159">
        <v>7300</v>
      </c>
      <c r="I25" s="159"/>
      <c r="J25" s="158"/>
      <c r="K25" s="180"/>
      <c r="L25" s="180"/>
      <c r="M25" s="162">
        <f t="shared" si="1"/>
        <v>0.99310112359550562</v>
      </c>
      <c r="P25" s="96">
        <v>43576</v>
      </c>
      <c r="Q25" s="45" t="s">
        <v>37</v>
      </c>
      <c r="R25" s="148">
        <v>0</v>
      </c>
      <c r="S25" s="172">
        <v>4000</v>
      </c>
      <c r="T25" s="173"/>
      <c r="U25" s="39"/>
      <c r="V25" s="39"/>
      <c r="W25" s="39"/>
      <c r="X25" s="39"/>
      <c r="Y25" s="39"/>
    </row>
    <row r="26" spans="1:25">
      <c r="B26" s="156">
        <v>43546</v>
      </c>
      <c r="C26" s="157" t="s">
        <v>29</v>
      </c>
      <c r="D26" s="158">
        <v>59333.333333333336</v>
      </c>
      <c r="E26" s="159">
        <v>27845</v>
      </c>
      <c r="F26" s="159">
        <v>11374</v>
      </c>
      <c r="G26" s="175"/>
      <c r="H26" s="159">
        <v>4500</v>
      </c>
      <c r="I26" s="159"/>
      <c r="J26" s="158"/>
      <c r="K26" s="180"/>
      <c r="L26" s="180"/>
      <c r="M26" s="162">
        <f t="shared" si="1"/>
        <v>0.79843820224719098</v>
      </c>
      <c r="P26" s="68">
        <v>43577</v>
      </c>
      <c r="Q26" s="51" t="s">
        <v>41</v>
      </c>
      <c r="R26" s="136">
        <v>18108.333333333328</v>
      </c>
      <c r="S26" s="163">
        <v>6500</v>
      </c>
      <c r="T26" s="164" t="s">
        <v>127</v>
      </c>
      <c r="U26" s="39"/>
      <c r="V26" s="39"/>
      <c r="W26" s="39"/>
      <c r="X26" s="39"/>
      <c r="Y26" s="39"/>
    </row>
    <row r="27" spans="1:25">
      <c r="A27" s="4" t="s">
        <v>121</v>
      </c>
      <c r="B27" s="156">
        <v>43547</v>
      </c>
      <c r="C27" s="157" t="s">
        <v>33</v>
      </c>
      <c r="D27" s="158">
        <v>29666.666666666668</v>
      </c>
      <c r="E27" s="159">
        <v>31845</v>
      </c>
      <c r="F27" s="159">
        <v>4464</v>
      </c>
      <c r="G27" s="175"/>
      <c r="H27" s="159">
        <v>4000</v>
      </c>
      <c r="I27" s="159"/>
      <c r="J27" s="158"/>
      <c r="K27" s="180"/>
      <c r="L27" s="180"/>
      <c r="M27" s="162">
        <f t="shared" si="1"/>
        <v>1.2291235955056179</v>
      </c>
      <c r="P27" s="73">
        <v>43578</v>
      </c>
      <c r="Q27" s="38" t="s">
        <v>46</v>
      </c>
      <c r="R27" s="138">
        <v>18108.333333333328</v>
      </c>
      <c r="S27" s="165">
        <v>5500</v>
      </c>
      <c r="T27" s="164"/>
      <c r="U27" s="39"/>
      <c r="V27" s="39"/>
      <c r="W27" s="39"/>
      <c r="X27" s="39"/>
      <c r="Y27" s="39"/>
    </row>
    <row r="28" spans="1:25">
      <c r="A28" s="4" t="s">
        <v>121</v>
      </c>
      <c r="B28" s="166">
        <v>43548</v>
      </c>
      <c r="C28" s="152" t="s">
        <v>37</v>
      </c>
      <c r="D28" s="167">
        <v>29666.666666666668</v>
      </c>
      <c r="E28" s="168">
        <v>0</v>
      </c>
      <c r="F28" s="168">
        <v>0</v>
      </c>
      <c r="G28" s="178"/>
      <c r="H28" s="168">
        <v>4000</v>
      </c>
      <c r="I28" s="168"/>
      <c r="J28" s="167"/>
      <c r="K28" s="183"/>
      <c r="L28" s="183"/>
      <c r="M28" s="171">
        <f t="shared" si="1"/>
        <v>1.0786516853932584</v>
      </c>
      <c r="P28" s="73">
        <v>43579</v>
      </c>
      <c r="Q28" s="38" t="s">
        <v>49</v>
      </c>
      <c r="R28" s="138">
        <v>22108.333333333328</v>
      </c>
      <c r="S28" s="165">
        <v>5000</v>
      </c>
      <c r="T28" s="164"/>
      <c r="U28" s="39"/>
      <c r="V28" s="39"/>
      <c r="W28" s="39"/>
      <c r="X28" s="39"/>
      <c r="Y28" s="39"/>
    </row>
    <row r="29" spans="1:25">
      <c r="B29" s="156">
        <v>43549</v>
      </c>
      <c r="C29" s="157" t="s">
        <v>41</v>
      </c>
      <c r="D29" s="158">
        <v>59333.333333333336</v>
      </c>
      <c r="E29" s="159">
        <v>2000</v>
      </c>
      <c r="F29" s="159">
        <v>0</v>
      </c>
      <c r="G29" s="175"/>
      <c r="H29" s="159">
        <v>6000</v>
      </c>
      <c r="I29" s="159"/>
      <c r="J29" s="158"/>
      <c r="K29" s="180"/>
      <c r="L29" s="180"/>
      <c r="M29" s="162">
        <f t="shared" si="1"/>
        <v>0.8089887640449438</v>
      </c>
      <c r="P29" s="73">
        <v>43580</v>
      </c>
      <c r="Q29" s="38" t="s">
        <v>51</v>
      </c>
      <c r="R29" s="138">
        <v>22108.333333333328</v>
      </c>
      <c r="S29" s="165">
        <v>5000</v>
      </c>
      <c r="T29" s="164"/>
      <c r="U29" s="39"/>
      <c r="V29" s="39"/>
      <c r="W29" s="39"/>
      <c r="X29" s="39"/>
      <c r="Y29" s="39"/>
    </row>
    <row r="30" spans="1:25">
      <c r="B30" s="156">
        <v>43550</v>
      </c>
      <c r="C30" s="157" t="s">
        <v>123</v>
      </c>
      <c r="D30" s="158">
        <v>59333.333333333336</v>
      </c>
      <c r="E30" s="159">
        <v>15845</v>
      </c>
      <c r="F30" s="159">
        <v>4958</v>
      </c>
      <c r="G30" s="175"/>
      <c r="H30" s="159">
        <v>6000</v>
      </c>
      <c r="I30" s="159"/>
      <c r="J30" s="158"/>
      <c r="K30" s="180"/>
      <c r="L30" s="180"/>
      <c r="M30" s="162">
        <f t="shared" si="1"/>
        <v>0.89255056179775272</v>
      </c>
      <c r="P30" s="73">
        <v>43581</v>
      </c>
      <c r="Q30" s="38" t="s">
        <v>29</v>
      </c>
      <c r="R30" s="138">
        <v>26108.333333333328</v>
      </c>
      <c r="S30" s="165">
        <v>4500</v>
      </c>
      <c r="T30" s="164"/>
      <c r="U30" s="39"/>
      <c r="V30" s="39"/>
      <c r="W30" s="39"/>
      <c r="X30" s="39"/>
      <c r="Y30" s="39"/>
    </row>
    <row r="31" spans="1:25">
      <c r="B31" s="156">
        <v>43551</v>
      </c>
      <c r="C31" s="157" t="s">
        <v>49</v>
      </c>
      <c r="D31" s="158">
        <v>59333.333333333336</v>
      </c>
      <c r="E31" s="159">
        <v>19845</v>
      </c>
      <c r="F31" s="159">
        <v>954</v>
      </c>
      <c r="G31" s="175"/>
      <c r="H31" s="159">
        <v>5500</v>
      </c>
      <c r="I31" s="159"/>
      <c r="J31" s="158"/>
      <c r="K31" s="180"/>
      <c r="L31" s="180"/>
      <c r="M31" s="162">
        <f t="shared" si="1"/>
        <v>0.75765168539325844</v>
      </c>
      <c r="P31" s="73">
        <v>43582</v>
      </c>
      <c r="Q31" s="38" t="s">
        <v>33</v>
      </c>
      <c r="R31" s="138">
        <v>30108.333333333328</v>
      </c>
      <c r="S31" s="165">
        <v>4500</v>
      </c>
      <c r="T31" s="164"/>
      <c r="U31" s="39"/>
      <c r="V31" s="39"/>
      <c r="W31" s="39"/>
      <c r="X31" s="39"/>
      <c r="Y31" s="39"/>
    </row>
    <row r="32" spans="1:25">
      <c r="B32" s="156">
        <v>43552</v>
      </c>
      <c r="C32" s="157" t="s">
        <v>124</v>
      </c>
      <c r="D32" s="158">
        <v>59333.333333333336</v>
      </c>
      <c r="E32" s="159">
        <v>19845</v>
      </c>
      <c r="F32" s="159">
        <v>1831</v>
      </c>
      <c r="G32" s="175"/>
      <c r="H32" s="159">
        <v>5500</v>
      </c>
      <c r="I32" s="159"/>
      <c r="J32" s="158"/>
      <c r="K32" s="180"/>
      <c r="L32" s="180"/>
      <c r="M32" s="162">
        <f t="shared" si="1"/>
        <v>0.77243258426966288</v>
      </c>
      <c r="P32" s="96">
        <v>43583</v>
      </c>
      <c r="Q32" s="45" t="s">
        <v>37</v>
      </c>
      <c r="R32" s="148">
        <v>0</v>
      </c>
      <c r="S32" s="172">
        <v>4000</v>
      </c>
      <c r="T32" s="173"/>
      <c r="U32" s="39"/>
      <c r="V32" s="39"/>
      <c r="W32" s="39"/>
      <c r="X32" s="39"/>
      <c r="Y32" s="39"/>
    </row>
    <row r="33" spans="1:25">
      <c r="B33" s="156">
        <v>43553</v>
      </c>
      <c r="C33" s="157" t="s">
        <v>29</v>
      </c>
      <c r="D33" s="158">
        <v>59333.333333333336</v>
      </c>
      <c r="E33" s="159">
        <v>27845</v>
      </c>
      <c r="F33" s="159">
        <v>700</v>
      </c>
      <c r="G33" s="175"/>
      <c r="H33" s="159">
        <v>4500</v>
      </c>
      <c r="I33" s="159"/>
      <c r="J33" s="158"/>
      <c r="K33" s="180"/>
      <c r="L33" s="180"/>
      <c r="M33" s="162">
        <f t="shared" si="1"/>
        <v>0.61853932584269655</v>
      </c>
      <c r="P33" s="68">
        <v>43584</v>
      </c>
      <c r="Q33" s="51" t="s">
        <v>41</v>
      </c>
      <c r="R33" s="136">
        <v>14108.333333333328</v>
      </c>
      <c r="S33" s="163">
        <v>6000</v>
      </c>
      <c r="T33" s="164"/>
      <c r="U33" s="39"/>
      <c r="V33" s="39"/>
      <c r="W33" s="39"/>
      <c r="X33" s="39"/>
      <c r="Y33" s="39"/>
    </row>
    <row r="34" spans="1:25">
      <c r="A34" s="4" t="s">
        <v>121</v>
      </c>
      <c r="B34" s="156">
        <v>43554</v>
      </c>
      <c r="C34" s="157" t="s">
        <v>33</v>
      </c>
      <c r="D34" s="158">
        <v>29666.666666666668</v>
      </c>
      <c r="E34" s="159">
        <v>31845</v>
      </c>
      <c r="F34" s="159">
        <v>0</v>
      </c>
      <c r="G34" s="175"/>
      <c r="H34" s="159">
        <v>4000</v>
      </c>
      <c r="I34" s="159"/>
      <c r="J34" s="158"/>
      <c r="K34" s="180"/>
      <c r="L34" s="180"/>
      <c r="M34" s="162">
        <f t="shared" si="1"/>
        <v>1.0786516853932584</v>
      </c>
      <c r="P34" s="96">
        <v>43585</v>
      </c>
      <c r="Q34" s="45" t="s">
        <v>46</v>
      </c>
      <c r="R34" s="148">
        <v>0</v>
      </c>
      <c r="S34" s="184">
        <v>8000</v>
      </c>
      <c r="T34" s="173" t="s">
        <v>128</v>
      </c>
      <c r="U34" s="39"/>
      <c r="V34" s="39"/>
      <c r="W34" s="39"/>
      <c r="X34" s="39"/>
      <c r="Y34" s="39"/>
    </row>
    <row r="35" spans="1:25">
      <c r="A35" s="4" t="s">
        <v>121</v>
      </c>
      <c r="B35" s="166">
        <v>43555</v>
      </c>
      <c r="C35" s="152" t="s">
        <v>37</v>
      </c>
      <c r="D35" s="167">
        <v>29666.666666666668</v>
      </c>
      <c r="E35" s="168">
        <v>0</v>
      </c>
      <c r="F35" s="168">
        <v>0</v>
      </c>
      <c r="G35" s="178"/>
      <c r="H35" s="168">
        <v>4000</v>
      </c>
      <c r="I35" s="168"/>
      <c r="J35" s="167"/>
      <c r="K35" s="183"/>
      <c r="L35" s="183"/>
      <c r="M35" s="171">
        <f t="shared" si="1"/>
        <v>1.0786516853932584</v>
      </c>
      <c r="T35" s="149"/>
    </row>
    <row r="36" spans="1:25">
      <c r="D36" s="23"/>
      <c r="R36" s="23">
        <f t="shared" ref="R36:S36" si="2">SUM(R5:R34)</f>
        <v>381949.99999999977</v>
      </c>
      <c r="S36" s="23">
        <f t="shared" si="2"/>
        <v>160500</v>
      </c>
      <c r="T36" s="149"/>
    </row>
    <row r="37" spans="1:25">
      <c r="F37" s="23">
        <f>AVERAGE(F5:F14)</f>
        <v>12061.4</v>
      </c>
      <c r="H37" s="23">
        <f t="shared" ref="H37:I37" si="3">AVERAGE(H5:H14)</f>
        <v>4925.1917175470089</v>
      </c>
      <c r="I37" s="23">
        <f t="shared" si="3"/>
        <v>5154</v>
      </c>
      <c r="J37" s="63">
        <f>I37/H37</f>
        <v>1.0464567260677009</v>
      </c>
      <c r="K37" s="185">
        <f>AVERAGE(K5:K6,K8:K13)</f>
        <v>0.68226495085503747</v>
      </c>
      <c r="L37" s="185">
        <f>AVERAGE(L5:L14)</f>
        <v>1.1345122727272727</v>
      </c>
      <c r="S37">
        <f>R36/S36</f>
        <v>2.3797507788161978</v>
      </c>
      <c r="T37" s="149"/>
    </row>
    <row r="38" spans="1:25">
      <c r="T38" s="149"/>
    </row>
    <row r="39" spans="1:25">
      <c r="T39" s="149"/>
    </row>
    <row r="40" spans="1:25">
      <c r="T40" s="149"/>
    </row>
    <row r="41" spans="1:25">
      <c r="T41" s="149"/>
    </row>
    <row r="42" spans="1:25">
      <c r="T42" s="149"/>
    </row>
    <row r="43" spans="1:25">
      <c r="T43" s="149"/>
    </row>
    <row r="44" spans="1:25">
      <c r="T44" s="149"/>
    </row>
    <row r="45" spans="1:25">
      <c r="T45" s="149"/>
    </row>
    <row r="46" spans="1:25">
      <c r="T46" s="149"/>
    </row>
    <row r="47" spans="1:25">
      <c r="T47" s="149"/>
    </row>
    <row r="48" spans="1:25">
      <c r="T48" s="149"/>
    </row>
    <row r="49" spans="20:20">
      <c r="T49" s="149"/>
    </row>
    <row r="50" spans="20:20">
      <c r="T50" s="149"/>
    </row>
    <row r="51" spans="20:20" ht="13">
      <c r="T51" s="149"/>
    </row>
    <row r="52" spans="20:20" ht="13">
      <c r="T52" s="149"/>
    </row>
    <row r="53" spans="20:20" ht="13">
      <c r="T53" s="149"/>
    </row>
    <row r="54" spans="20:20" ht="13">
      <c r="T54" s="149"/>
    </row>
    <row r="55" spans="20:20" ht="13">
      <c r="T55" s="149"/>
    </row>
    <row r="56" spans="20:20" ht="13">
      <c r="T56" s="149"/>
    </row>
    <row r="57" spans="20:20" ht="13">
      <c r="T57" s="149"/>
    </row>
    <row r="58" spans="20:20" ht="13">
      <c r="T58" s="149"/>
    </row>
    <row r="59" spans="20:20" ht="13">
      <c r="T59" s="149"/>
    </row>
    <row r="60" spans="20:20" ht="13">
      <c r="T60" s="149"/>
    </row>
    <row r="61" spans="20:20" ht="13">
      <c r="T61" s="149"/>
    </row>
    <row r="62" spans="20:20" ht="13">
      <c r="T62" s="149"/>
    </row>
    <row r="63" spans="20:20" ht="13">
      <c r="T63" s="149"/>
    </row>
    <row r="64" spans="20:20" ht="13">
      <c r="T64" s="149"/>
    </row>
    <row r="65" spans="20:20" ht="13">
      <c r="T65" s="149"/>
    </row>
    <row r="66" spans="20:20" ht="13">
      <c r="T66" s="149"/>
    </row>
    <row r="67" spans="20:20" ht="13">
      <c r="T67" s="149"/>
    </row>
    <row r="68" spans="20:20" ht="13">
      <c r="T68" s="149"/>
    </row>
    <row r="69" spans="20:20" ht="13">
      <c r="T69" s="149"/>
    </row>
    <row r="70" spans="20:20" ht="13">
      <c r="T70" s="149"/>
    </row>
    <row r="71" spans="20:20" ht="13">
      <c r="T71" s="149"/>
    </row>
    <row r="72" spans="20:20" ht="13">
      <c r="T72" s="149"/>
    </row>
    <row r="73" spans="20:20" ht="13">
      <c r="T73" s="149"/>
    </row>
    <row r="74" spans="20:20" ht="13">
      <c r="T74" s="149"/>
    </row>
    <row r="75" spans="20:20" ht="13">
      <c r="T75" s="149"/>
    </row>
    <row r="76" spans="20:20" ht="13">
      <c r="T76" s="149"/>
    </row>
    <row r="77" spans="20:20" ht="13">
      <c r="T77" s="149"/>
    </row>
    <row r="78" spans="20:20" ht="13">
      <c r="T78" s="149"/>
    </row>
    <row r="79" spans="20:20" ht="13">
      <c r="T79" s="149"/>
    </row>
    <row r="80" spans="20:20" ht="13">
      <c r="T80" s="149"/>
    </row>
    <row r="81" spans="20:20" ht="13">
      <c r="T81" s="149"/>
    </row>
    <row r="82" spans="20:20" ht="13">
      <c r="T82" s="149"/>
    </row>
    <row r="83" spans="20:20" ht="13">
      <c r="T83" s="149"/>
    </row>
    <row r="84" spans="20:20" ht="13">
      <c r="T84" s="149"/>
    </row>
    <row r="85" spans="20:20" ht="13">
      <c r="T85" s="149"/>
    </row>
    <row r="86" spans="20:20" ht="13">
      <c r="T86" s="149"/>
    </row>
    <row r="87" spans="20:20" ht="13">
      <c r="T87" s="149"/>
    </row>
    <row r="88" spans="20:20" ht="13">
      <c r="T88" s="149"/>
    </row>
    <row r="89" spans="20:20" ht="13">
      <c r="T89" s="149"/>
    </row>
    <row r="90" spans="20:20" ht="13">
      <c r="T90" s="149"/>
    </row>
    <row r="91" spans="20:20" ht="13">
      <c r="T91" s="149"/>
    </row>
    <row r="92" spans="20:20" ht="13">
      <c r="T92" s="149"/>
    </row>
    <row r="93" spans="20:20" ht="13">
      <c r="T93" s="149"/>
    </row>
    <row r="94" spans="20:20" ht="13">
      <c r="T94" s="149"/>
    </row>
    <row r="95" spans="20:20" ht="13">
      <c r="T95" s="149"/>
    </row>
    <row r="96" spans="20:20" ht="13">
      <c r="T96" s="149"/>
    </row>
    <row r="97" spans="20:20" ht="13">
      <c r="T97" s="149"/>
    </row>
    <row r="98" spans="20:20" ht="13">
      <c r="T98" s="149"/>
    </row>
    <row r="99" spans="20:20" ht="13">
      <c r="T99" s="149"/>
    </row>
    <row r="100" spans="20:20" ht="13">
      <c r="T100" s="149"/>
    </row>
    <row r="101" spans="20:20" ht="13">
      <c r="T101" s="149"/>
    </row>
    <row r="102" spans="20:20" ht="13">
      <c r="T102" s="149"/>
    </row>
    <row r="103" spans="20:20" ht="13">
      <c r="T103" s="149"/>
    </row>
    <row r="104" spans="20:20" ht="13">
      <c r="T104" s="149"/>
    </row>
    <row r="105" spans="20:20" ht="13">
      <c r="T105" s="149"/>
    </row>
    <row r="106" spans="20:20" ht="13">
      <c r="T106" s="149"/>
    </row>
    <row r="107" spans="20:20" ht="13">
      <c r="T107" s="149"/>
    </row>
    <row r="108" spans="20:20" ht="13">
      <c r="T108" s="149"/>
    </row>
    <row r="109" spans="20:20" ht="13">
      <c r="T109" s="149"/>
    </row>
    <row r="110" spans="20:20" ht="13">
      <c r="T110" s="149"/>
    </row>
    <row r="111" spans="20:20" ht="13">
      <c r="T111" s="149"/>
    </row>
    <row r="112" spans="20:20" ht="13">
      <c r="T112" s="149"/>
    </row>
    <row r="113" spans="20:20" ht="13">
      <c r="T113" s="149"/>
    </row>
    <row r="114" spans="20:20" ht="13">
      <c r="T114" s="149"/>
    </row>
    <row r="115" spans="20:20" ht="13">
      <c r="T115" s="149"/>
    </row>
    <row r="116" spans="20:20" ht="13">
      <c r="T116" s="149"/>
    </row>
    <row r="117" spans="20:20" ht="13">
      <c r="T117" s="149"/>
    </row>
    <row r="118" spans="20:20" ht="13">
      <c r="T118" s="149"/>
    </row>
    <row r="119" spans="20:20" ht="13">
      <c r="T119" s="149"/>
    </row>
    <row r="120" spans="20:20" ht="13">
      <c r="T120" s="149"/>
    </row>
    <row r="121" spans="20:20" ht="13">
      <c r="T121" s="149"/>
    </row>
    <row r="122" spans="20:20" ht="13">
      <c r="T122" s="149"/>
    </row>
    <row r="123" spans="20:20" ht="13">
      <c r="T123" s="149"/>
    </row>
    <row r="124" spans="20:20" ht="13">
      <c r="T124" s="149"/>
    </row>
    <row r="125" spans="20:20" ht="13">
      <c r="T125" s="149"/>
    </row>
    <row r="126" spans="20:20" ht="13">
      <c r="T126" s="149"/>
    </row>
    <row r="127" spans="20:20" ht="13">
      <c r="T127" s="149"/>
    </row>
    <row r="128" spans="20:20" ht="13">
      <c r="T128" s="149"/>
    </row>
    <row r="129" spans="20:20" ht="13">
      <c r="T129" s="149"/>
    </row>
    <row r="130" spans="20:20" ht="13">
      <c r="T130" s="149"/>
    </row>
    <row r="131" spans="20:20" ht="13">
      <c r="T131" s="149"/>
    </row>
    <row r="132" spans="20:20" ht="13">
      <c r="T132" s="149"/>
    </row>
    <row r="133" spans="20:20" ht="13">
      <c r="T133" s="149"/>
    </row>
    <row r="134" spans="20:20" ht="13">
      <c r="T134" s="149"/>
    </row>
    <row r="135" spans="20:20" ht="13">
      <c r="T135" s="149"/>
    </row>
    <row r="136" spans="20:20" ht="13">
      <c r="T136" s="149"/>
    </row>
    <row r="137" spans="20:20" ht="13">
      <c r="T137" s="149"/>
    </row>
    <row r="138" spans="20:20" ht="13">
      <c r="T138" s="149"/>
    </row>
    <row r="139" spans="20:20" ht="13">
      <c r="T139" s="149"/>
    </row>
    <row r="140" spans="20:20" ht="13">
      <c r="T140" s="149"/>
    </row>
    <row r="141" spans="20:20" ht="13">
      <c r="T141" s="149"/>
    </row>
    <row r="142" spans="20:20" ht="13">
      <c r="T142" s="149"/>
    </row>
    <row r="143" spans="20:20" ht="13">
      <c r="T143" s="149"/>
    </row>
    <row r="144" spans="20:20" ht="13">
      <c r="T144" s="149"/>
    </row>
    <row r="145" spans="20:20" ht="13">
      <c r="T145" s="149"/>
    </row>
    <row r="146" spans="20:20" ht="13">
      <c r="T146" s="149"/>
    </row>
    <row r="147" spans="20:20" ht="13">
      <c r="T147" s="149"/>
    </row>
    <row r="148" spans="20:20" ht="13">
      <c r="T148" s="149"/>
    </row>
    <row r="149" spans="20:20" ht="13">
      <c r="T149" s="149"/>
    </row>
    <row r="150" spans="20:20" ht="13">
      <c r="T150" s="149"/>
    </row>
    <row r="151" spans="20:20" ht="13">
      <c r="T151" s="149"/>
    </row>
    <row r="152" spans="20:20" ht="13">
      <c r="T152" s="149"/>
    </row>
    <row r="153" spans="20:20" ht="13">
      <c r="T153" s="149"/>
    </row>
    <row r="154" spans="20:20" ht="13">
      <c r="T154" s="149"/>
    </row>
    <row r="155" spans="20:20" ht="13">
      <c r="T155" s="149"/>
    </row>
    <row r="156" spans="20:20" ht="13">
      <c r="T156" s="149"/>
    </row>
    <row r="157" spans="20:20" ht="13">
      <c r="T157" s="149"/>
    </row>
    <row r="158" spans="20:20" ht="13">
      <c r="T158" s="149"/>
    </row>
    <row r="159" spans="20:20" ht="13">
      <c r="T159" s="149"/>
    </row>
    <row r="160" spans="20:20" ht="13">
      <c r="T160" s="149"/>
    </row>
    <row r="161" spans="20:20" ht="13">
      <c r="T161" s="149"/>
    </row>
    <row r="162" spans="20:20" ht="13">
      <c r="T162" s="149"/>
    </row>
    <row r="163" spans="20:20" ht="13">
      <c r="T163" s="149"/>
    </row>
    <row r="164" spans="20:20" ht="13">
      <c r="T164" s="149"/>
    </row>
    <row r="165" spans="20:20" ht="13">
      <c r="T165" s="149"/>
    </row>
    <row r="166" spans="20:20" ht="13">
      <c r="T166" s="149"/>
    </row>
    <row r="167" spans="20:20" ht="13">
      <c r="T167" s="149"/>
    </row>
    <row r="168" spans="20:20" ht="13">
      <c r="T168" s="149"/>
    </row>
    <row r="169" spans="20:20" ht="13">
      <c r="T169" s="149"/>
    </row>
    <row r="170" spans="20:20" ht="13">
      <c r="T170" s="149"/>
    </row>
    <row r="171" spans="20:20" ht="13">
      <c r="T171" s="149"/>
    </row>
    <row r="172" spans="20:20" ht="13">
      <c r="T172" s="149"/>
    </row>
    <row r="173" spans="20:20" ht="13">
      <c r="T173" s="149"/>
    </row>
    <row r="174" spans="20:20" ht="13">
      <c r="T174" s="149"/>
    </row>
    <row r="175" spans="20:20" ht="13">
      <c r="T175" s="149"/>
    </row>
    <row r="176" spans="20:20" ht="13">
      <c r="T176" s="149"/>
    </row>
    <row r="177" spans="20:20" ht="13">
      <c r="T177" s="149"/>
    </row>
    <row r="178" spans="20:20" ht="13">
      <c r="T178" s="149"/>
    </row>
    <row r="179" spans="20:20" ht="13">
      <c r="T179" s="149"/>
    </row>
    <row r="180" spans="20:20" ht="13">
      <c r="T180" s="149"/>
    </row>
    <row r="181" spans="20:20" ht="13">
      <c r="T181" s="149"/>
    </row>
    <row r="182" spans="20:20" ht="13">
      <c r="T182" s="149"/>
    </row>
    <row r="183" spans="20:20" ht="13">
      <c r="T183" s="149"/>
    </row>
    <row r="184" spans="20:20" ht="13">
      <c r="T184" s="149"/>
    </row>
    <row r="185" spans="20:20" ht="13">
      <c r="T185" s="149"/>
    </row>
    <row r="186" spans="20:20" ht="13">
      <c r="T186" s="149"/>
    </row>
    <row r="187" spans="20:20" ht="13">
      <c r="T187" s="149"/>
    </row>
    <row r="188" spans="20:20" ht="13">
      <c r="T188" s="149"/>
    </row>
    <row r="189" spans="20:20" ht="13">
      <c r="T189" s="149"/>
    </row>
    <row r="190" spans="20:20" ht="13">
      <c r="T190" s="149"/>
    </row>
    <row r="191" spans="20:20" ht="13">
      <c r="T191" s="149"/>
    </row>
    <row r="192" spans="20:20" ht="13">
      <c r="T192" s="149"/>
    </row>
    <row r="193" spans="20:20" ht="13">
      <c r="T193" s="149"/>
    </row>
    <row r="194" spans="20:20" ht="13">
      <c r="T194" s="149"/>
    </row>
    <row r="195" spans="20:20" ht="13">
      <c r="T195" s="149"/>
    </row>
    <row r="196" spans="20:20" ht="13">
      <c r="T196" s="149"/>
    </row>
    <row r="197" spans="20:20" ht="13">
      <c r="T197" s="149"/>
    </row>
    <row r="198" spans="20:20" ht="13">
      <c r="T198" s="149"/>
    </row>
    <row r="199" spans="20:20" ht="13">
      <c r="T199" s="149"/>
    </row>
    <row r="200" spans="20:20" ht="13">
      <c r="T200" s="149"/>
    </row>
    <row r="201" spans="20:20" ht="13">
      <c r="T201" s="149"/>
    </row>
    <row r="202" spans="20:20" ht="13">
      <c r="T202" s="149"/>
    </row>
    <row r="203" spans="20:20" ht="13">
      <c r="T203" s="149"/>
    </row>
    <row r="204" spans="20:20" ht="13">
      <c r="T204" s="149"/>
    </row>
    <row r="205" spans="20:20" ht="13">
      <c r="T205" s="149"/>
    </row>
    <row r="206" spans="20:20" ht="13">
      <c r="T206" s="149"/>
    </row>
    <row r="207" spans="20:20" ht="13">
      <c r="T207" s="149"/>
    </row>
    <row r="208" spans="20:20" ht="13">
      <c r="T208" s="149"/>
    </row>
    <row r="209" spans="20:20" ht="13">
      <c r="T209" s="149"/>
    </row>
    <row r="210" spans="20:20" ht="13">
      <c r="T210" s="149"/>
    </row>
    <row r="211" spans="20:20" ht="13">
      <c r="T211" s="149"/>
    </row>
    <row r="212" spans="20:20" ht="13">
      <c r="T212" s="149"/>
    </row>
    <row r="213" spans="20:20" ht="13">
      <c r="T213" s="149"/>
    </row>
    <row r="214" spans="20:20" ht="13">
      <c r="T214" s="149"/>
    </row>
    <row r="215" spans="20:20" ht="13">
      <c r="T215" s="149"/>
    </row>
    <row r="216" spans="20:20" ht="13">
      <c r="T216" s="149"/>
    </row>
    <row r="217" spans="20:20" ht="13">
      <c r="T217" s="149"/>
    </row>
    <row r="218" spans="20:20" ht="13">
      <c r="T218" s="149"/>
    </row>
    <row r="219" spans="20:20" ht="13">
      <c r="T219" s="149"/>
    </row>
    <row r="220" spans="20:20" ht="13">
      <c r="T220" s="149"/>
    </row>
    <row r="221" spans="20:20" ht="13">
      <c r="T221" s="149"/>
    </row>
    <row r="222" spans="20:20" ht="13">
      <c r="T222" s="149"/>
    </row>
    <row r="223" spans="20:20" ht="13">
      <c r="T223" s="149"/>
    </row>
    <row r="224" spans="20:20" ht="13">
      <c r="T224" s="149"/>
    </row>
    <row r="225" spans="20:20" ht="13">
      <c r="T225" s="149"/>
    </row>
    <row r="226" spans="20:20" ht="13">
      <c r="T226" s="149"/>
    </row>
    <row r="227" spans="20:20" ht="13">
      <c r="T227" s="149"/>
    </row>
    <row r="228" spans="20:20" ht="13">
      <c r="T228" s="149"/>
    </row>
    <row r="229" spans="20:20" ht="13">
      <c r="T229" s="149"/>
    </row>
    <row r="230" spans="20:20" ht="13">
      <c r="T230" s="149"/>
    </row>
    <row r="231" spans="20:20" ht="13">
      <c r="T231" s="149"/>
    </row>
    <row r="232" spans="20:20" ht="13">
      <c r="T232" s="149"/>
    </row>
    <row r="233" spans="20:20" ht="13">
      <c r="T233" s="149"/>
    </row>
    <row r="234" spans="20:20" ht="13">
      <c r="T234" s="149"/>
    </row>
    <row r="235" spans="20:20" ht="13">
      <c r="T235" s="149"/>
    </row>
    <row r="236" spans="20:20" ht="13">
      <c r="T236" s="149"/>
    </row>
    <row r="237" spans="20:20" ht="13">
      <c r="T237" s="149"/>
    </row>
    <row r="238" spans="20:20" ht="13">
      <c r="T238" s="149"/>
    </row>
    <row r="239" spans="20:20" ht="13">
      <c r="T239" s="149"/>
    </row>
    <row r="240" spans="20:20" ht="13">
      <c r="T240" s="149"/>
    </row>
    <row r="241" spans="20:20" ht="13">
      <c r="T241" s="149"/>
    </row>
    <row r="242" spans="20:20" ht="13">
      <c r="T242" s="149"/>
    </row>
    <row r="243" spans="20:20" ht="13">
      <c r="T243" s="149"/>
    </row>
    <row r="244" spans="20:20" ht="13">
      <c r="T244" s="149"/>
    </row>
    <row r="245" spans="20:20" ht="13">
      <c r="T245" s="149"/>
    </row>
    <row r="246" spans="20:20" ht="13">
      <c r="T246" s="149"/>
    </row>
    <row r="247" spans="20:20" ht="13">
      <c r="T247" s="149"/>
    </row>
    <row r="248" spans="20:20" ht="13">
      <c r="T248" s="149"/>
    </row>
    <row r="249" spans="20:20" ht="13">
      <c r="T249" s="149"/>
    </row>
    <row r="250" spans="20:20" ht="13">
      <c r="T250" s="149"/>
    </row>
    <row r="251" spans="20:20" ht="13">
      <c r="T251" s="149"/>
    </row>
    <row r="252" spans="20:20" ht="13">
      <c r="T252" s="149"/>
    </row>
    <row r="253" spans="20:20" ht="13">
      <c r="T253" s="149"/>
    </row>
    <row r="254" spans="20:20" ht="13">
      <c r="T254" s="149"/>
    </row>
    <row r="255" spans="20:20" ht="13">
      <c r="T255" s="149"/>
    </row>
    <row r="256" spans="20:20" ht="13">
      <c r="T256" s="149"/>
    </row>
    <row r="257" spans="20:20" ht="13">
      <c r="T257" s="149"/>
    </row>
    <row r="258" spans="20:20" ht="13">
      <c r="T258" s="149"/>
    </row>
    <row r="259" spans="20:20" ht="13">
      <c r="T259" s="149"/>
    </row>
    <row r="260" spans="20:20" ht="13">
      <c r="T260" s="149"/>
    </row>
    <row r="261" spans="20:20" ht="13">
      <c r="T261" s="149"/>
    </row>
    <row r="262" spans="20:20" ht="13">
      <c r="T262" s="149"/>
    </row>
    <row r="263" spans="20:20" ht="13">
      <c r="T263" s="149"/>
    </row>
    <row r="264" spans="20:20" ht="13">
      <c r="T264" s="149"/>
    </row>
    <row r="265" spans="20:20" ht="13">
      <c r="T265" s="149"/>
    </row>
    <row r="266" spans="20:20" ht="13">
      <c r="T266" s="149"/>
    </row>
    <row r="267" spans="20:20" ht="13">
      <c r="T267" s="149"/>
    </row>
    <row r="268" spans="20:20" ht="13">
      <c r="T268" s="149"/>
    </row>
    <row r="269" spans="20:20" ht="13">
      <c r="T269" s="149"/>
    </row>
    <row r="270" spans="20:20" ht="13">
      <c r="T270" s="149"/>
    </row>
    <row r="271" spans="20:20" ht="13">
      <c r="T271" s="149"/>
    </row>
    <row r="272" spans="20:20" ht="13">
      <c r="T272" s="149"/>
    </row>
    <row r="273" spans="20:20" ht="13">
      <c r="T273" s="149"/>
    </row>
    <row r="274" spans="20:20" ht="13">
      <c r="T274" s="149"/>
    </row>
    <row r="275" spans="20:20" ht="13">
      <c r="T275" s="149"/>
    </row>
    <row r="276" spans="20:20" ht="13">
      <c r="T276" s="149"/>
    </row>
    <row r="277" spans="20:20" ht="13">
      <c r="T277" s="149"/>
    </row>
    <row r="278" spans="20:20" ht="13">
      <c r="T278" s="149"/>
    </row>
    <row r="279" spans="20:20" ht="13">
      <c r="T279" s="149"/>
    </row>
    <row r="280" spans="20:20" ht="13">
      <c r="T280" s="149"/>
    </row>
    <row r="281" spans="20:20" ht="13">
      <c r="T281" s="149"/>
    </row>
    <row r="282" spans="20:20" ht="13">
      <c r="T282" s="149"/>
    </row>
    <row r="283" spans="20:20" ht="13">
      <c r="T283" s="149"/>
    </row>
    <row r="284" spans="20:20" ht="13">
      <c r="T284" s="149"/>
    </row>
    <row r="285" spans="20:20" ht="13">
      <c r="T285" s="149"/>
    </row>
    <row r="286" spans="20:20" ht="13">
      <c r="T286" s="149"/>
    </row>
    <row r="287" spans="20:20" ht="13">
      <c r="T287" s="149"/>
    </row>
    <row r="288" spans="20:20" ht="13">
      <c r="T288" s="149"/>
    </row>
    <row r="289" spans="20:20" ht="13">
      <c r="T289" s="149"/>
    </row>
    <row r="290" spans="20:20" ht="13">
      <c r="T290" s="149"/>
    </row>
    <row r="291" spans="20:20" ht="13">
      <c r="T291" s="149"/>
    </row>
    <row r="292" spans="20:20" ht="13">
      <c r="T292" s="149"/>
    </row>
    <row r="293" spans="20:20" ht="13">
      <c r="T293" s="149"/>
    </row>
    <row r="294" spans="20:20" ht="13">
      <c r="T294" s="149"/>
    </row>
    <row r="295" spans="20:20" ht="13">
      <c r="T295" s="149"/>
    </row>
    <row r="296" spans="20:20" ht="13">
      <c r="T296" s="149"/>
    </row>
    <row r="297" spans="20:20" ht="13">
      <c r="T297" s="149"/>
    </row>
    <row r="298" spans="20:20" ht="13">
      <c r="T298" s="149"/>
    </row>
    <row r="299" spans="20:20" ht="13">
      <c r="T299" s="149"/>
    </row>
    <row r="300" spans="20:20" ht="13">
      <c r="T300" s="149"/>
    </row>
    <row r="301" spans="20:20" ht="13">
      <c r="T301" s="149"/>
    </row>
    <row r="302" spans="20:20" ht="13">
      <c r="T302" s="149"/>
    </row>
    <row r="303" spans="20:20" ht="13">
      <c r="T303" s="149"/>
    </row>
    <row r="304" spans="20:20" ht="13">
      <c r="T304" s="149"/>
    </row>
    <row r="305" spans="20:20" ht="13">
      <c r="T305" s="149"/>
    </row>
    <row r="306" spans="20:20" ht="13">
      <c r="T306" s="149"/>
    </row>
    <row r="307" spans="20:20" ht="13">
      <c r="T307" s="149"/>
    </row>
    <row r="308" spans="20:20" ht="13">
      <c r="T308" s="149"/>
    </row>
    <row r="309" spans="20:20" ht="13">
      <c r="T309" s="149"/>
    </row>
    <row r="310" spans="20:20" ht="13">
      <c r="T310" s="149"/>
    </row>
    <row r="311" spans="20:20" ht="13">
      <c r="T311" s="149"/>
    </row>
    <row r="312" spans="20:20" ht="13">
      <c r="T312" s="149"/>
    </row>
    <row r="313" spans="20:20" ht="13">
      <c r="T313" s="149"/>
    </row>
    <row r="314" spans="20:20" ht="13">
      <c r="T314" s="149"/>
    </row>
    <row r="315" spans="20:20" ht="13">
      <c r="T315" s="149"/>
    </row>
    <row r="316" spans="20:20" ht="13">
      <c r="T316" s="149"/>
    </row>
    <row r="317" spans="20:20" ht="13">
      <c r="T317" s="149"/>
    </row>
    <row r="318" spans="20:20" ht="13">
      <c r="T318" s="149"/>
    </row>
    <row r="319" spans="20:20" ht="13">
      <c r="T319" s="149"/>
    </row>
    <row r="320" spans="20:20" ht="13">
      <c r="T320" s="149"/>
    </row>
    <row r="321" spans="20:20" ht="13">
      <c r="T321" s="149"/>
    </row>
    <row r="322" spans="20:20" ht="13">
      <c r="T322" s="149"/>
    </row>
    <row r="323" spans="20:20" ht="13">
      <c r="T323" s="149"/>
    </row>
    <row r="324" spans="20:20" ht="13">
      <c r="T324" s="149"/>
    </row>
    <row r="325" spans="20:20" ht="13">
      <c r="T325" s="149"/>
    </row>
    <row r="326" spans="20:20" ht="13">
      <c r="T326" s="149"/>
    </row>
    <row r="327" spans="20:20" ht="13">
      <c r="T327" s="149"/>
    </row>
    <row r="328" spans="20:20" ht="13">
      <c r="T328" s="149"/>
    </row>
    <row r="329" spans="20:20" ht="13">
      <c r="T329" s="149"/>
    </row>
    <row r="330" spans="20:20" ht="13">
      <c r="T330" s="149"/>
    </row>
    <row r="331" spans="20:20" ht="13">
      <c r="T331" s="149"/>
    </row>
    <row r="332" spans="20:20" ht="13">
      <c r="T332" s="149"/>
    </row>
    <row r="333" spans="20:20" ht="13">
      <c r="T333" s="149"/>
    </row>
    <row r="334" spans="20:20" ht="13">
      <c r="T334" s="149"/>
    </row>
    <row r="335" spans="20:20" ht="13">
      <c r="T335" s="149"/>
    </row>
    <row r="336" spans="20:20" ht="13">
      <c r="T336" s="149"/>
    </row>
    <row r="337" spans="20:20" ht="13">
      <c r="T337" s="149"/>
    </row>
    <row r="338" spans="20:20" ht="13">
      <c r="T338" s="149"/>
    </row>
    <row r="339" spans="20:20" ht="13">
      <c r="T339" s="149"/>
    </row>
    <row r="340" spans="20:20" ht="13">
      <c r="T340" s="149"/>
    </row>
    <row r="341" spans="20:20" ht="13">
      <c r="T341" s="149"/>
    </row>
    <row r="342" spans="20:20" ht="13">
      <c r="T342" s="149"/>
    </row>
    <row r="343" spans="20:20" ht="13">
      <c r="T343" s="149"/>
    </row>
    <row r="344" spans="20:20" ht="13">
      <c r="T344" s="149"/>
    </row>
    <row r="345" spans="20:20" ht="13">
      <c r="T345" s="149"/>
    </row>
    <row r="346" spans="20:20" ht="13">
      <c r="T346" s="149"/>
    </row>
    <row r="347" spans="20:20" ht="13">
      <c r="T347" s="149"/>
    </row>
    <row r="348" spans="20:20" ht="13">
      <c r="T348" s="149"/>
    </row>
    <row r="349" spans="20:20" ht="13">
      <c r="T349" s="149"/>
    </row>
    <row r="350" spans="20:20" ht="13">
      <c r="T350" s="149"/>
    </row>
    <row r="351" spans="20:20" ht="13">
      <c r="T351" s="149"/>
    </row>
    <row r="352" spans="20:20" ht="13">
      <c r="T352" s="149"/>
    </row>
    <row r="353" spans="20:20" ht="13">
      <c r="T353" s="149"/>
    </row>
    <row r="354" spans="20:20" ht="13">
      <c r="T354" s="149"/>
    </row>
    <row r="355" spans="20:20" ht="13">
      <c r="T355" s="149"/>
    </row>
    <row r="356" spans="20:20" ht="13">
      <c r="T356" s="149"/>
    </row>
    <row r="357" spans="20:20" ht="13">
      <c r="T357" s="149"/>
    </row>
    <row r="358" spans="20:20" ht="13">
      <c r="T358" s="149"/>
    </row>
    <row r="359" spans="20:20" ht="13">
      <c r="T359" s="149"/>
    </row>
    <row r="360" spans="20:20" ht="13">
      <c r="T360" s="149"/>
    </row>
    <row r="361" spans="20:20" ht="13">
      <c r="T361" s="149"/>
    </row>
    <row r="362" spans="20:20" ht="13">
      <c r="T362" s="149"/>
    </row>
    <row r="363" spans="20:20" ht="13">
      <c r="T363" s="149"/>
    </row>
    <row r="364" spans="20:20" ht="13">
      <c r="T364" s="149"/>
    </row>
    <row r="365" spans="20:20" ht="13">
      <c r="T365" s="149"/>
    </row>
    <row r="366" spans="20:20" ht="13">
      <c r="T366" s="149"/>
    </row>
    <row r="367" spans="20:20" ht="13">
      <c r="T367" s="149"/>
    </row>
    <row r="368" spans="20:20" ht="13">
      <c r="T368" s="149"/>
    </row>
    <row r="369" spans="20:20" ht="13">
      <c r="T369" s="149"/>
    </row>
    <row r="370" spans="20:20" ht="13">
      <c r="T370" s="149"/>
    </row>
    <row r="371" spans="20:20" ht="13">
      <c r="T371" s="149"/>
    </row>
    <row r="372" spans="20:20" ht="13">
      <c r="T372" s="149"/>
    </row>
    <row r="373" spans="20:20" ht="13">
      <c r="T373" s="149"/>
    </row>
    <row r="374" spans="20:20" ht="13">
      <c r="T374" s="149"/>
    </row>
    <row r="375" spans="20:20" ht="13">
      <c r="T375" s="149"/>
    </row>
    <row r="376" spans="20:20" ht="13">
      <c r="T376" s="149"/>
    </row>
    <row r="377" spans="20:20" ht="13">
      <c r="T377" s="149"/>
    </row>
    <row r="378" spans="20:20" ht="13">
      <c r="T378" s="149"/>
    </row>
    <row r="379" spans="20:20" ht="13">
      <c r="T379" s="149"/>
    </row>
    <row r="380" spans="20:20" ht="13">
      <c r="T380" s="149"/>
    </row>
    <row r="381" spans="20:20" ht="13">
      <c r="T381" s="149"/>
    </row>
    <row r="382" spans="20:20" ht="13">
      <c r="T382" s="149"/>
    </row>
    <row r="383" spans="20:20" ht="13">
      <c r="T383" s="149"/>
    </row>
    <row r="384" spans="20:20" ht="13">
      <c r="T384" s="149"/>
    </row>
    <row r="385" spans="20:20" ht="13">
      <c r="T385" s="149"/>
    </row>
    <row r="386" spans="20:20" ht="13">
      <c r="T386" s="149"/>
    </row>
    <row r="387" spans="20:20" ht="13">
      <c r="T387" s="149"/>
    </row>
    <row r="388" spans="20:20" ht="13">
      <c r="T388" s="149"/>
    </row>
    <row r="389" spans="20:20" ht="13">
      <c r="T389" s="149"/>
    </row>
    <row r="390" spans="20:20" ht="13">
      <c r="T390" s="149"/>
    </row>
    <row r="391" spans="20:20" ht="13">
      <c r="T391" s="149"/>
    </row>
    <row r="392" spans="20:20" ht="13">
      <c r="T392" s="149"/>
    </row>
    <row r="393" spans="20:20" ht="13">
      <c r="T393" s="149"/>
    </row>
    <row r="394" spans="20:20" ht="13">
      <c r="T394" s="149"/>
    </row>
    <row r="395" spans="20:20" ht="13">
      <c r="T395" s="149"/>
    </row>
    <row r="396" spans="20:20" ht="13">
      <c r="T396" s="149"/>
    </row>
    <row r="397" spans="20:20" ht="13">
      <c r="T397" s="149"/>
    </row>
    <row r="398" spans="20:20" ht="13">
      <c r="T398" s="149"/>
    </row>
    <row r="399" spans="20:20" ht="13">
      <c r="T399" s="149"/>
    </row>
    <row r="400" spans="20:20" ht="13">
      <c r="T400" s="149"/>
    </row>
    <row r="401" spans="20:20" ht="13">
      <c r="T401" s="149"/>
    </row>
    <row r="402" spans="20:20" ht="13">
      <c r="T402" s="149"/>
    </row>
    <row r="403" spans="20:20" ht="13">
      <c r="T403" s="149"/>
    </row>
    <row r="404" spans="20:20" ht="13">
      <c r="T404" s="149"/>
    </row>
    <row r="405" spans="20:20" ht="13">
      <c r="T405" s="149"/>
    </row>
    <row r="406" spans="20:20" ht="13">
      <c r="T406" s="149"/>
    </row>
    <row r="407" spans="20:20" ht="13">
      <c r="T407" s="149"/>
    </row>
    <row r="408" spans="20:20" ht="13">
      <c r="T408" s="149"/>
    </row>
    <row r="409" spans="20:20" ht="13">
      <c r="T409" s="149"/>
    </row>
    <row r="410" spans="20:20" ht="13">
      <c r="T410" s="149"/>
    </row>
    <row r="411" spans="20:20" ht="13">
      <c r="T411" s="149"/>
    </row>
    <row r="412" spans="20:20" ht="13">
      <c r="T412" s="149"/>
    </row>
    <row r="413" spans="20:20" ht="13">
      <c r="T413" s="149"/>
    </row>
    <row r="414" spans="20:20" ht="13">
      <c r="T414" s="149"/>
    </row>
    <row r="415" spans="20:20" ht="13">
      <c r="T415" s="149"/>
    </row>
    <row r="416" spans="20:20" ht="13">
      <c r="T416" s="149"/>
    </row>
    <row r="417" spans="20:20" ht="13">
      <c r="T417" s="149"/>
    </row>
    <row r="418" spans="20:20" ht="13">
      <c r="T418" s="149"/>
    </row>
    <row r="419" spans="20:20" ht="13">
      <c r="T419" s="149"/>
    </row>
    <row r="420" spans="20:20" ht="13">
      <c r="T420" s="149"/>
    </row>
    <row r="421" spans="20:20" ht="13">
      <c r="T421" s="149"/>
    </row>
    <row r="422" spans="20:20" ht="13">
      <c r="T422" s="149"/>
    </row>
    <row r="423" spans="20:20" ht="13">
      <c r="T423" s="149"/>
    </row>
    <row r="424" spans="20:20" ht="13">
      <c r="T424" s="149"/>
    </row>
    <row r="425" spans="20:20" ht="13">
      <c r="T425" s="149"/>
    </row>
    <row r="426" spans="20:20" ht="13">
      <c r="T426" s="149"/>
    </row>
    <row r="427" spans="20:20" ht="13">
      <c r="T427" s="149"/>
    </row>
    <row r="428" spans="20:20" ht="13">
      <c r="T428" s="149"/>
    </row>
    <row r="429" spans="20:20" ht="13">
      <c r="T429" s="149"/>
    </row>
    <row r="430" spans="20:20" ht="13">
      <c r="T430" s="149"/>
    </row>
    <row r="431" spans="20:20" ht="13">
      <c r="T431" s="149"/>
    </row>
    <row r="432" spans="20:20" ht="13">
      <c r="T432" s="149"/>
    </row>
    <row r="433" spans="20:20" ht="13">
      <c r="T433" s="149"/>
    </row>
    <row r="434" spans="20:20" ht="13">
      <c r="T434" s="149"/>
    </row>
    <row r="435" spans="20:20" ht="13">
      <c r="T435" s="149"/>
    </row>
    <row r="436" spans="20:20" ht="13">
      <c r="T436" s="149"/>
    </row>
    <row r="437" spans="20:20" ht="13">
      <c r="T437" s="149"/>
    </row>
    <row r="438" spans="20:20" ht="13">
      <c r="T438" s="149"/>
    </row>
    <row r="439" spans="20:20" ht="13">
      <c r="T439" s="149"/>
    </row>
    <row r="440" spans="20:20" ht="13">
      <c r="T440" s="149"/>
    </row>
    <row r="441" spans="20:20" ht="13">
      <c r="T441" s="149"/>
    </row>
    <row r="442" spans="20:20" ht="13">
      <c r="T442" s="149"/>
    </row>
    <row r="443" spans="20:20" ht="13">
      <c r="T443" s="149"/>
    </row>
    <row r="444" spans="20:20" ht="13">
      <c r="T444" s="149"/>
    </row>
    <row r="445" spans="20:20" ht="13">
      <c r="T445" s="149"/>
    </row>
    <row r="446" spans="20:20" ht="13">
      <c r="T446" s="149"/>
    </row>
    <row r="447" spans="20:20" ht="13">
      <c r="T447" s="149"/>
    </row>
    <row r="448" spans="20:20" ht="13">
      <c r="T448" s="149"/>
    </row>
    <row r="449" spans="20:20" ht="13">
      <c r="T449" s="149"/>
    </row>
    <row r="450" spans="20:20" ht="13">
      <c r="T450" s="149"/>
    </row>
    <row r="451" spans="20:20" ht="13">
      <c r="T451" s="149"/>
    </row>
    <row r="452" spans="20:20" ht="13">
      <c r="T452" s="149"/>
    </row>
    <row r="453" spans="20:20" ht="13">
      <c r="T453" s="149"/>
    </row>
    <row r="454" spans="20:20" ht="13">
      <c r="T454" s="149"/>
    </row>
    <row r="455" spans="20:20" ht="13">
      <c r="T455" s="149"/>
    </row>
    <row r="456" spans="20:20" ht="13">
      <c r="T456" s="149"/>
    </row>
    <row r="457" spans="20:20" ht="13">
      <c r="T457" s="149"/>
    </row>
    <row r="458" spans="20:20" ht="13">
      <c r="T458" s="149"/>
    </row>
    <row r="459" spans="20:20" ht="13">
      <c r="T459" s="149"/>
    </row>
    <row r="460" spans="20:20" ht="13">
      <c r="T460" s="149"/>
    </row>
    <row r="461" spans="20:20" ht="13">
      <c r="T461" s="149"/>
    </row>
    <row r="462" spans="20:20" ht="13">
      <c r="T462" s="149"/>
    </row>
    <row r="463" spans="20:20" ht="13">
      <c r="T463" s="149"/>
    </row>
    <row r="464" spans="20:20" ht="13">
      <c r="T464" s="149"/>
    </row>
    <row r="465" spans="20:20" ht="13">
      <c r="T465" s="149"/>
    </row>
    <row r="466" spans="20:20" ht="13">
      <c r="T466" s="149"/>
    </row>
    <row r="467" spans="20:20" ht="13">
      <c r="T467" s="149"/>
    </row>
    <row r="468" spans="20:20" ht="13">
      <c r="T468" s="149"/>
    </row>
    <row r="469" spans="20:20" ht="13">
      <c r="T469" s="149"/>
    </row>
    <row r="470" spans="20:20" ht="13">
      <c r="T470" s="149"/>
    </row>
    <row r="471" spans="20:20" ht="13">
      <c r="T471" s="149"/>
    </row>
    <row r="472" spans="20:20" ht="13">
      <c r="T472" s="149"/>
    </row>
    <row r="473" spans="20:20" ht="13">
      <c r="T473" s="149"/>
    </row>
    <row r="474" spans="20:20" ht="13">
      <c r="T474" s="149"/>
    </row>
    <row r="475" spans="20:20" ht="13">
      <c r="T475" s="149"/>
    </row>
    <row r="476" spans="20:20" ht="13">
      <c r="T476" s="149"/>
    </row>
    <row r="477" spans="20:20" ht="13">
      <c r="T477" s="149"/>
    </row>
    <row r="478" spans="20:20" ht="13">
      <c r="T478" s="149"/>
    </row>
    <row r="479" spans="20:20" ht="13">
      <c r="T479" s="149"/>
    </row>
    <row r="480" spans="20:20" ht="13">
      <c r="T480" s="149"/>
    </row>
    <row r="481" spans="20:20" ht="13">
      <c r="T481" s="149"/>
    </row>
    <row r="482" spans="20:20" ht="13">
      <c r="T482" s="149"/>
    </row>
    <row r="483" spans="20:20" ht="13">
      <c r="T483" s="149"/>
    </row>
    <row r="484" spans="20:20" ht="13">
      <c r="T484" s="149"/>
    </row>
    <row r="485" spans="20:20" ht="13">
      <c r="T485" s="149"/>
    </row>
    <row r="486" spans="20:20" ht="13">
      <c r="T486" s="149"/>
    </row>
    <row r="487" spans="20:20" ht="13">
      <c r="T487" s="149"/>
    </row>
    <row r="488" spans="20:20" ht="13">
      <c r="T488" s="149"/>
    </row>
    <row r="489" spans="20:20" ht="13">
      <c r="T489" s="149"/>
    </row>
    <row r="490" spans="20:20" ht="13">
      <c r="T490" s="149"/>
    </row>
    <row r="491" spans="20:20" ht="13">
      <c r="T491" s="149"/>
    </row>
    <row r="492" spans="20:20" ht="13">
      <c r="T492" s="149"/>
    </row>
    <row r="493" spans="20:20" ht="13">
      <c r="T493" s="149"/>
    </row>
    <row r="494" spans="20:20" ht="13">
      <c r="T494" s="149"/>
    </row>
    <row r="495" spans="20:20" ht="13">
      <c r="T495" s="149"/>
    </row>
    <row r="496" spans="20:20" ht="13">
      <c r="T496" s="149"/>
    </row>
    <row r="497" spans="20:20" ht="13">
      <c r="T497" s="149"/>
    </row>
    <row r="498" spans="20:20" ht="13">
      <c r="T498" s="149"/>
    </row>
    <row r="499" spans="20:20" ht="13">
      <c r="T499" s="149"/>
    </row>
    <row r="500" spans="20:20" ht="13">
      <c r="T500" s="149"/>
    </row>
    <row r="501" spans="20:20" ht="13">
      <c r="T501" s="149"/>
    </row>
    <row r="502" spans="20:20" ht="13">
      <c r="T502" s="149"/>
    </row>
    <row r="503" spans="20:20" ht="13">
      <c r="T503" s="149"/>
    </row>
    <row r="504" spans="20:20" ht="13">
      <c r="T504" s="149"/>
    </row>
    <row r="505" spans="20:20" ht="13">
      <c r="T505" s="149"/>
    </row>
    <row r="506" spans="20:20" ht="13">
      <c r="T506" s="149"/>
    </row>
    <row r="507" spans="20:20" ht="13">
      <c r="T507" s="149"/>
    </row>
    <row r="508" spans="20:20" ht="13">
      <c r="T508" s="149"/>
    </row>
    <row r="509" spans="20:20" ht="13">
      <c r="T509" s="149"/>
    </row>
    <row r="510" spans="20:20" ht="13">
      <c r="T510" s="149"/>
    </row>
    <row r="511" spans="20:20" ht="13">
      <c r="T511" s="149"/>
    </row>
    <row r="512" spans="20:20" ht="13">
      <c r="T512" s="149"/>
    </row>
    <row r="513" spans="20:20" ht="13">
      <c r="T513" s="149"/>
    </row>
    <row r="514" spans="20:20" ht="13">
      <c r="T514" s="149"/>
    </row>
    <row r="515" spans="20:20" ht="13">
      <c r="T515" s="149"/>
    </row>
    <row r="516" spans="20:20" ht="13">
      <c r="T516" s="149"/>
    </row>
    <row r="517" spans="20:20" ht="13">
      <c r="T517" s="149"/>
    </row>
    <row r="518" spans="20:20" ht="13">
      <c r="T518" s="149"/>
    </row>
    <row r="519" spans="20:20" ht="13">
      <c r="T519" s="149"/>
    </row>
    <row r="520" spans="20:20" ht="13">
      <c r="T520" s="149"/>
    </row>
    <row r="521" spans="20:20" ht="13">
      <c r="T521" s="149"/>
    </row>
    <row r="522" spans="20:20" ht="13">
      <c r="T522" s="149"/>
    </row>
    <row r="523" spans="20:20" ht="13">
      <c r="T523" s="149"/>
    </row>
    <row r="524" spans="20:20" ht="13">
      <c r="T524" s="149"/>
    </row>
    <row r="525" spans="20:20" ht="13">
      <c r="T525" s="149"/>
    </row>
    <row r="526" spans="20:20" ht="13">
      <c r="T526" s="149"/>
    </row>
    <row r="527" spans="20:20" ht="13">
      <c r="T527" s="149"/>
    </row>
    <row r="528" spans="20:20" ht="13">
      <c r="T528" s="149"/>
    </row>
    <row r="529" spans="20:20" ht="13">
      <c r="T529" s="149"/>
    </row>
    <row r="530" spans="20:20" ht="13">
      <c r="T530" s="149"/>
    </row>
    <row r="531" spans="20:20" ht="13">
      <c r="T531" s="149"/>
    </row>
    <row r="532" spans="20:20" ht="13">
      <c r="T532" s="149"/>
    </row>
    <row r="533" spans="20:20" ht="13">
      <c r="T533" s="149"/>
    </row>
    <row r="534" spans="20:20" ht="13">
      <c r="T534" s="149"/>
    </row>
    <row r="535" spans="20:20" ht="13">
      <c r="T535" s="149"/>
    </row>
    <row r="536" spans="20:20" ht="13">
      <c r="T536" s="149"/>
    </row>
    <row r="537" spans="20:20" ht="13">
      <c r="T537" s="149"/>
    </row>
    <row r="538" spans="20:20" ht="13">
      <c r="T538" s="149"/>
    </row>
    <row r="539" spans="20:20" ht="13">
      <c r="T539" s="149"/>
    </row>
    <row r="540" spans="20:20" ht="13">
      <c r="T540" s="149"/>
    </row>
    <row r="541" spans="20:20" ht="13">
      <c r="T541" s="149"/>
    </row>
    <row r="542" spans="20:20" ht="13">
      <c r="T542" s="149"/>
    </row>
    <row r="543" spans="20:20" ht="13">
      <c r="T543" s="149"/>
    </row>
    <row r="544" spans="20:20" ht="13">
      <c r="T544" s="149"/>
    </row>
    <row r="545" spans="20:20" ht="13">
      <c r="T545" s="149"/>
    </row>
    <row r="546" spans="20:20" ht="13">
      <c r="T546" s="149"/>
    </row>
    <row r="547" spans="20:20" ht="13">
      <c r="T547" s="149"/>
    </row>
    <row r="548" spans="20:20" ht="13">
      <c r="T548" s="149"/>
    </row>
    <row r="549" spans="20:20" ht="13">
      <c r="T549" s="149"/>
    </row>
    <row r="550" spans="20:20" ht="13">
      <c r="T550" s="149"/>
    </row>
    <row r="551" spans="20:20" ht="13">
      <c r="T551" s="149"/>
    </row>
    <row r="552" spans="20:20" ht="13">
      <c r="T552" s="149"/>
    </row>
    <row r="553" spans="20:20" ht="13">
      <c r="T553" s="149"/>
    </row>
    <row r="554" spans="20:20" ht="13">
      <c r="T554" s="149"/>
    </row>
    <row r="555" spans="20:20" ht="13">
      <c r="T555" s="149"/>
    </row>
    <row r="556" spans="20:20" ht="13">
      <c r="T556" s="149"/>
    </row>
    <row r="557" spans="20:20" ht="13">
      <c r="T557" s="149"/>
    </row>
    <row r="558" spans="20:20" ht="13">
      <c r="T558" s="149"/>
    </row>
    <row r="559" spans="20:20" ht="13">
      <c r="T559" s="149"/>
    </row>
    <row r="560" spans="20:20" ht="13">
      <c r="T560" s="149"/>
    </row>
    <row r="561" spans="20:20" ht="13">
      <c r="T561" s="149"/>
    </row>
    <row r="562" spans="20:20" ht="13">
      <c r="T562" s="149"/>
    </row>
    <row r="563" spans="20:20" ht="13">
      <c r="T563" s="149"/>
    </row>
    <row r="564" spans="20:20" ht="13">
      <c r="T564" s="149"/>
    </row>
    <row r="565" spans="20:20" ht="13">
      <c r="T565" s="149"/>
    </row>
    <row r="566" spans="20:20" ht="13">
      <c r="T566" s="149"/>
    </row>
    <row r="567" spans="20:20" ht="13">
      <c r="T567" s="149"/>
    </row>
    <row r="568" spans="20:20" ht="13">
      <c r="T568" s="149"/>
    </row>
    <row r="569" spans="20:20" ht="13">
      <c r="T569" s="149"/>
    </row>
    <row r="570" spans="20:20" ht="13">
      <c r="T570" s="149"/>
    </row>
    <row r="571" spans="20:20" ht="13">
      <c r="T571" s="149"/>
    </row>
    <row r="572" spans="20:20" ht="13">
      <c r="T572" s="149"/>
    </row>
    <row r="573" spans="20:20" ht="13">
      <c r="T573" s="149"/>
    </row>
    <row r="574" spans="20:20" ht="13">
      <c r="T574" s="149"/>
    </row>
    <row r="575" spans="20:20" ht="13">
      <c r="T575" s="149"/>
    </row>
    <row r="576" spans="20:20" ht="13">
      <c r="T576" s="149"/>
    </row>
    <row r="577" spans="20:20" ht="13">
      <c r="T577" s="149"/>
    </row>
    <row r="578" spans="20:20" ht="13">
      <c r="T578" s="149"/>
    </row>
    <row r="579" spans="20:20" ht="13">
      <c r="T579" s="149"/>
    </row>
    <row r="580" spans="20:20" ht="13">
      <c r="T580" s="149"/>
    </row>
    <row r="581" spans="20:20" ht="13">
      <c r="T581" s="149"/>
    </row>
    <row r="582" spans="20:20" ht="13">
      <c r="T582" s="149"/>
    </row>
    <row r="583" spans="20:20" ht="13">
      <c r="T583" s="149"/>
    </row>
    <row r="584" spans="20:20" ht="13">
      <c r="T584" s="149"/>
    </row>
    <row r="585" spans="20:20" ht="13">
      <c r="T585" s="149"/>
    </row>
    <row r="586" spans="20:20" ht="13">
      <c r="T586" s="149"/>
    </row>
    <row r="587" spans="20:20" ht="13">
      <c r="T587" s="149"/>
    </row>
    <row r="588" spans="20:20" ht="13">
      <c r="T588" s="149"/>
    </row>
    <row r="589" spans="20:20" ht="13">
      <c r="T589" s="149"/>
    </row>
    <row r="590" spans="20:20" ht="13">
      <c r="T590" s="149"/>
    </row>
    <row r="591" spans="20:20" ht="13">
      <c r="T591" s="149"/>
    </row>
    <row r="592" spans="20:20" ht="13">
      <c r="T592" s="149"/>
    </row>
    <row r="593" spans="20:20" ht="13">
      <c r="T593" s="149"/>
    </row>
    <row r="594" spans="20:20" ht="13">
      <c r="T594" s="149"/>
    </row>
    <row r="595" spans="20:20" ht="13">
      <c r="T595" s="149"/>
    </row>
    <row r="596" spans="20:20" ht="13">
      <c r="T596" s="149"/>
    </row>
    <row r="597" spans="20:20" ht="13">
      <c r="T597" s="149"/>
    </row>
    <row r="598" spans="20:20" ht="13">
      <c r="T598" s="149"/>
    </row>
    <row r="599" spans="20:20" ht="13">
      <c r="T599" s="149"/>
    </row>
    <row r="600" spans="20:20" ht="13">
      <c r="T600" s="149"/>
    </row>
    <row r="601" spans="20:20" ht="13">
      <c r="T601" s="149"/>
    </row>
    <row r="602" spans="20:20" ht="13">
      <c r="T602" s="149"/>
    </row>
    <row r="603" spans="20:20" ht="13">
      <c r="T603" s="149"/>
    </row>
    <row r="604" spans="20:20" ht="13">
      <c r="T604" s="149"/>
    </row>
    <row r="605" spans="20:20" ht="13">
      <c r="T605" s="149"/>
    </row>
    <row r="606" spans="20:20" ht="13">
      <c r="T606" s="149"/>
    </row>
    <row r="607" spans="20:20" ht="13">
      <c r="T607" s="149"/>
    </row>
    <row r="608" spans="20:20" ht="13">
      <c r="T608" s="149"/>
    </row>
    <row r="609" spans="20:20" ht="13">
      <c r="T609" s="149"/>
    </row>
    <row r="610" spans="20:20" ht="13">
      <c r="T610" s="149"/>
    </row>
    <row r="611" spans="20:20" ht="13">
      <c r="T611" s="149"/>
    </row>
    <row r="612" spans="20:20" ht="13">
      <c r="T612" s="149"/>
    </row>
    <row r="613" spans="20:20" ht="13">
      <c r="T613" s="149"/>
    </row>
    <row r="614" spans="20:20" ht="13">
      <c r="T614" s="149"/>
    </row>
    <row r="615" spans="20:20" ht="13">
      <c r="T615" s="149"/>
    </row>
    <row r="616" spans="20:20" ht="13">
      <c r="T616" s="149"/>
    </row>
    <row r="617" spans="20:20" ht="13">
      <c r="T617" s="149"/>
    </row>
    <row r="618" spans="20:20" ht="13">
      <c r="T618" s="149"/>
    </row>
    <row r="619" spans="20:20" ht="13">
      <c r="T619" s="149"/>
    </row>
    <row r="620" spans="20:20" ht="13">
      <c r="T620" s="149"/>
    </row>
    <row r="621" spans="20:20" ht="13">
      <c r="T621" s="149"/>
    </row>
    <row r="622" spans="20:20" ht="13">
      <c r="T622" s="149"/>
    </row>
    <row r="623" spans="20:20" ht="13">
      <c r="T623" s="149"/>
    </row>
    <row r="624" spans="20:20" ht="13">
      <c r="T624" s="149"/>
    </row>
    <row r="625" spans="20:20" ht="13">
      <c r="T625" s="149"/>
    </row>
    <row r="626" spans="20:20" ht="13">
      <c r="T626" s="149"/>
    </row>
    <row r="627" spans="20:20" ht="13">
      <c r="T627" s="149"/>
    </row>
    <row r="628" spans="20:20" ht="13">
      <c r="T628" s="149"/>
    </row>
    <row r="629" spans="20:20" ht="13">
      <c r="T629" s="149"/>
    </row>
    <row r="630" spans="20:20" ht="13">
      <c r="T630" s="149"/>
    </row>
    <row r="631" spans="20:20" ht="13">
      <c r="T631" s="149"/>
    </row>
    <row r="632" spans="20:20" ht="13">
      <c r="T632" s="149"/>
    </row>
    <row r="633" spans="20:20" ht="13">
      <c r="T633" s="149"/>
    </row>
    <row r="634" spans="20:20" ht="13">
      <c r="T634" s="149"/>
    </row>
    <row r="635" spans="20:20" ht="13">
      <c r="T635" s="149"/>
    </row>
    <row r="636" spans="20:20" ht="13">
      <c r="T636" s="149"/>
    </row>
    <row r="637" spans="20:20" ht="13">
      <c r="T637" s="149"/>
    </row>
    <row r="638" spans="20:20" ht="13">
      <c r="T638" s="149"/>
    </row>
    <row r="639" spans="20:20" ht="13">
      <c r="T639" s="149"/>
    </row>
    <row r="640" spans="20:20" ht="13">
      <c r="T640" s="149"/>
    </row>
    <row r="641" spans="20:20" ht="13">
      <c r="T641" s="149"/>
    </row>
    <row r="642" spans="20:20" ht="13">
      <c r="T642" s="149"/>
    </row>
    <row r="643" spans="20:20" ht="13">
      <c r="T643" s="149"/>
    </row>
    <row r="644" spans="20:20" ht="13">
      <c r="T644" s="149"/>
    </row>
    <row r="645" spans="20:20" ht="13">
      <c r="T645" s="149"/>
    </row>
    <row r="646" spans="20:20" ht="13">
      <c r="T646" s="149"/>
    </row>
    <row r="647" spans="20:20" ht="13">
      <c r="T647" s="149"/>
    </row>
    <row r="648" spans="20:20" ht="13">
      <c r="T648" s="149"/>
    </row>
    <row r="649" spans="20:20" ht="13">
      <c r="T649" s="149"/>
    </row>
    <row r="650" spans="20:20" ht="13">
      <c r="T650" s="149"/>
    </row>
    <row r="651" spans="20:20" ht="13">
      <c r="T651" s="149"/>
    </row>
    <row r="652" spans="20:20" ht="13">
      <c r="T652" s="149"/>
    </row>
    <row r="653" spans="20:20" ht="13">
      <c r="T653" s="149"/>
    </row>
    <row r="654" spans="20:20" ht="13">
      <c r="T654" s="149"/>
    </row>
    <row r="655" spans="20:20" ht="13">
      <c r="T655" s="149"/>
    </row>
    <row r="656" spans="20:20" ht="13">
      <c r="T656" s="149"/>
    </row>
    <row r="657" spans="20:20" ht="13">
      <c r="T657" s="149"/>
    </row>
    <row r="658" spans="20:20" ht="13">
      <c r="T658" s="149"/>
    </row>
    <row r="659" spans="20:20" ht="13">
      <c r="T659" s="149"/>
    </row>
    <row r="660" spans="20:20" ht="13">
      <c r="T660" s="149"/>
    </row>
    <row r="661" spans="20:20" ht="13">
      <c r="T661" s="149"/>
    </row>
    <row r="662" spans="20:20" ht="13">
      <c r="T662" s="149"/>
    </row>
    <row r="663" spans="20:20" ht="13">
      <c r="T663" s="149"/>
    </row>
    <row r="664" spans="20:20" ht="13">
      <c r="T664" s="149"/>
    </row>
    <row r="665" spans="20:20" ht="13">
      <c r="T665" s="149"/>
    </row>
    <row r="666" spans="20:20" ht="13">
      <c r="T666" s="149"/>
    </row>
    <row r="667" spans="20:20" ht="13">
      <c r="T667" s="149"/>
    </row>
    <row r="668" spans="20:20" ht="13">
      <c r="T668" s="149"/>
    </row>
    <row r="669" spans="20:20" ht="13">
      <c r="T669" s="149"/>
    </row>
    <row r="670" spans="20:20" ht="13">
      <c r="T670" s="149"/>
    </row>
    <row r="671" spans="20:20" ht="13">
      <c r="T671" s="149"/>
    </row>
    <row r="672" spans="20:20" ht="13">
      <c r="T672" s="149"/>
    </row>
    <row r="673" spans="20:20" ht="13">
      <c r="T673" s="149"/>
    </row>
    <row r="674" spans="20:20" ht="13">
      <c r="T674" s="149"/>
    </row>
    <row r="675" spans="20:20" ht="13">
      <c r="T675" s="149"/>
    </row>
    <row r="676" spans="20:20" ht="13">
      <c r="T676" s="149"/>
    </row>
    <row r="677" spans="20:20" ht="13">
      <c r="T677" s="149"/>
    </row>
    <row r="678" spans="20:20" ht="13">
      <c r="T678" s="149"/>
    </row>
    <row r="679" spans="20:20" ht="13">
      <c r="T679" s="149"/>
    </row>
    <row r="680" spans="20:20" ht="13">
      <c r="T680" s="149"/>
    </row>
    <row r="681" spans="20:20" ht="13">
      <c r="T681" s="149"/>
    </row>
    <row r="682" spans="20:20" ht="13">
      <c r="T682" s="149"/>
    </row>
    <row r="683" spans="20:20" ht="13">
      <c r="T683" s="149"/>
    </row>
    <row r="684" spans="20:20" ht="13">
      <c r="T684" s="149"/>
    </row>
    <row r="685" spans="20:20" ht="13">
      <c r="T685" s="149"/>
    </row>
    <row r="686" spans="20:20" ht="13">
      <c r="T686" s="149"/>
    </row>
    <row r="687" spans="20:20" ht="13">
      <c r="T687" s="149"/>
    </row>
    <row r="688" spans="20:20" ht="13">
      <c r="T688" s="149"/>
    </row>
    <row r="689" spans="20:20" ht="13">
      <c r="T689" s="149"/>
    </row>
    <row r="690" spans="20:20" ht="13">
      <c r="T690" s="149"/>
    </row>
    <row r="691" spans="20:20" ht="13">
      <c r="T691" s="149"/>
    </row>
    <row r="692" spans="20:20" ht="13">
      <c r="T692" s="149"/>
    </row>
    <row r="693" spans="20:20" ht="13">
      <c r="T693" s="149"/>
    </row>
    <row r="694" spans="20:20" ht="13">
      <c r="T694" s="149"/>
    </row>
    <row r="695" spans="20:20" ht="13">
      <c r="T695" s="149"/>
    </row>
    <row r="696" spans="20:20" ht="13">
      <c r="T696" s="149"/>
    </row>
    <row r="697" spans="20:20" ht="13">
      <c r="T697" s="149"/>
    </row>
    <row r="698" spans="20:20" ht="13">
      <c r="T698" s="149"/>
    </row>
    <row r="699" spans="20:20" ht="13">
      <c r="T699" s="149"/>
    </row>
    <row r="700" spans="20:20" ht="13">
      <c r="T700" s="149"/>
    </row>
    <row r="701" spans="20:20" ht="13">
      <c r="T701" s="149"/>
    </row>
    <row r="702" spans="20:20" ht="13">
      <c r="T702" s="149"/>
    </row>
    <row r="703" spans="20:20" ht="13">
      <c r="T703" s="149"/>
    </row>
    <row r="704" spans="20:20" ht="13">
      <c r="T704" s="149"/>
    </row>
    <row r="705" spans="20:20" ht="13">
      <c r="T705" s="149"/>
    </row>
    <row r="706" spans="20:20" ht="13">
      <c r="T706" s="149"/>
    </row>
    <row r="707" spans="20:20" ht="13">
      <c r="T707" s="149"/>
    </row>
    <row r="708" spans="20:20" ht="13">
      <c r="T708" s="149"/>
    </row>
    <row r="709" spans="20:20" ht="13">
      <c r="T709" s="149"/>
    </row>
    <row r="710" spans="20:20" ht="13">
      <c r="T710" s="149"/>
    </row>
    <row r="711" spans="20:20" ht="13">
      <c r="T711" s="149"/>
    </row>
    <row r="712" spans="20:20" ht="13">
      <c r="T712" s="149"/>
    </row>
    <row r="713" spans="20:20" ht="13">
      <c r="T713" s="149"/>
    </row>
    <row r="714" spans="20:20" ht="13">
      <c r="T714" s="149"/>
    </row>
    <row r="715" spans="20:20" ht="13">
      <c r="T715" s="149"/>
    </row>
    <row r="716" spans="20:20" ht="13">
      <c r="T716" s="149"/>
    </row>
    <row r="717" spans="20:20" ht="13">
      <c r="T717" s="149"/>
    </row>
    <row r="718" spans="20:20" ht="13">
      <c r="T718" s="149"/>
    </row>
    <row r="719" spans="20:20" ht="13">
      <c r="T719" s="149"/>
    </row>
    <row r="720" spans="20:20" ht="13">
      <c r="T720" s="149"/>
    </row>
    <row r="721" spans="20:20" ht="13">
      <c r="T721" s="149"/>
    </row>
    <row r="722" spans="20:20" ht="13">
      <c r="T722" s="149"/>
    </row>
    <row r="723" spans="20:20" ht="13">
      <c r="T723" s="149"/>
    </row>
    <row r="724" spans="20:20" ht="13">
      <c r="T724" s="149"/>
    </row>
    <row r="725" spans="20:20" ht="13">
      <c r="T725" s="149"/>
    </row>
    <row r="726" spans="20:20" ht="13">
      <c r="T726" s="149"/>
    </row>
    <row r="727" spans="20:20" ht="13">
      <c r="T727" s="149"/>
    </row>
    <row r="728" spans="20:20" ht="13">
      <c r="T728" s="149"/>
    </row>
    <row r="729" spans="20:20" ht="13">
      <c r="T729" s="149"/>
    </row>
    <row r="730" spans="20:20" ht="13">
      <c r="T730" s="149"/>
    </row>
    <row r="731" spans="20:20" ht="13">
      <c r="T731" s="149"/>
    </row>
    <row r="732" spans="20:20" ht="13">
      <c r="T732" s="149"/>
    </row>
    <row r="733" spans="20:20" ht="13">
      <c r="T733" s="149"/>
    </row>
    <row r="734" spans="20:20" ht="13">
      <c r="T734" s="149"/>
    </row>
    <row r="735" spans="20:20" ht="13">
      <c r="T735" s="149"/>
    </row>
    <row r="736" spans="20:20" ht="13">
      <c r="T736" s="149"/>
    </row>
    <row r="737" spans="20:20" ht="13">
      <c r="T737" s="149"/>
    </row>
    <row r="738" spans="20:20" ht="13">
      <c r="T738" s="149"/>
    </row>
    <row r="739" spans="20:20" ht="13">
      <c r="T739" s="149"/>
    </row>
    <row r="740" spans="20:20" ht="13">
      <c r="T740" s="149"/>
    </row>
    <row r="741" spans="20:20" ht="13">
      <c r="T741" s="149"/>
    </row>
    <row r="742" spans="20:20" ht="13">
      <c r="T742" s="149"/>
    </row>
    <row r="743" spans="20:20" ht="13">
      <c r="T743" s="149"/>
    </row>
    <row r="744" spans="20:20" ht="13">
      <c r="T744" s="149"/>
    </row>
    <row r="745" spans="20:20" ht="13">
      <c r="T745" s="149"/>
    </row>
    <row r="746" spans="20:20" ht="13">
      <c r="T746" s="149"/>
    </row>
    <row r="747" spans="20:20" ht="13">
      <c r="T747" s="149"/>
    </row>
    <row r="748" spans="20:20" ht="13">
      <c r="T748" s="149"/>
    </row>
    <row r="749" spans="20:20" ht="13">
      <c r="T749" s="149"/>
    </row>
    <row r="750" spans="20:20" ht="13">
      <c r="T750" s="149"/>
    </row>
    <row r="751" spans="20:20" ht="13">
      <c r="T751" s="149"/>
    </row>
    <row r="752" spans="20:20" ht="13">
      <c r="T752" s="149"/>
    </row>
    <row r="753" spans="20:20" ht="13">
      <c r="T753" s="149"/>
    </row>
    <row r="754" spans="20:20" ht="13">
      <c r="T754" s="149"/>
    </row>
    <row r="755" spans="20:20" ht="13">
      <c r="T755" s="149"/>
    </row>
    <row r="756" spans="20:20" ht="13">
      <c r="T756" s="149"/>
    </row>
    <row r="757" spans="20:20" ht="13">
      <c r="T757" s="149"/>
    </row>
    <row r="758" spans="20:20" ht="13">
      <c r="T758" s="149"/>
    </row>
    <row r="759" spans="20:20" ht="13">
      <c r="T759" s="149"/>
    </row>
    <row r="760" spans="20:20" ht="13">
      <c r="T760" s="149"/>
    </row>
    <row r="761" spans="20:20" ht="13">
      <c r="T761" s="149"/>
    </row>
    <row r="762" spans="20:20" ht="13">
      <c r="T762" s="149"/>
    </row>
    <row r="763" spans="20:20" ht="13">
      <c r="T763" s="149"/>
    </row>
    <row r="764" spans="20:20" ht="13">
      <c r="T764" s="149"/>
    </row>
    <row r="765" spans="20:20" ht="13">
      <c r="T765" s="149"/>
    </row>
    <row r="766" spans="20:20" ht="13">
      <c r="T766" s="149"/>
    </row>
    <row r="767" spans="20:20" ht="13">
      <c r="T767" s="149"/>
    </row>
    <row r="768" spans="20:20" ht="13">
      <c r="T768" s="149"/>
    </row>
    <row r="769" spans="20:20" ht="13">
      <c r="T769" s="149"/>
    </row>
    <row r="770" spans="20:20" ht="13">
      <c r="T770" s="149"/>
    </row>
    <row r="771" spans="20:20" ht="13">
      <c r="T771" s="149"/>
    </row>
    <row r="772" spans="20:20" ht="13">
      <c r="T772" s="149"/>
    </row>
    <row r="773" spans="20:20" ht="13">
      <c r="T773" s="149"/>
    </row>
    <row r="774" spans="20:20" ht="13">
      <c r="T774" s="149"/>
    </row>
    <row r="775" spans="20:20" ht="13">
      <c r="T775" s="149"/>
    </row>
    <row r="776" spans="20:20" ht="13">
      <c r="T776" s="149"/>
    </row>
    <row r="777" spans="20:20" ht="13">
      <c r="T777" s="149"/>
    </row>
    <row r="778" spans="20:20" ht="13">
      <c r="T778" s="149"/>
    </row>
    <row r="779" spans="20:20" ht="13">
      <c r="T779" s="149"/>
    </row>
    <row r="780" spans="20:20" ht="13">
      <c r="T780" s="149"/>
    </row>
    <row r="781" spans="20:20" ht="13">
      <c r="T781" s="149"/>
    </row>
    <row r="782" spans="20:20" ht="13">
      <c r="T782" s="149"/>
    </row>
    <row r="783" spans="20:20" ht="13">
      <c r="T783" s="149"/>
    </row>
    <row r="784" spans="20:20" ht="13">
      <c r="T784" s="149"/>
    </row>
    <row r="785" spans="20:20" ht="13">
      <c r="T785" s="149"/>
    </row>
    <row r="786" spans="20:20" ht="13">
      <c r="T786" s="149"/>
    </row>
    <row r="787" spans="20:20" ht="13">
      <c r="T787" s="149"/>
    </row>
    <row r="788" spans="20:20" ht="13">
      <c r="T788" s="149"/>
    </row>
    <row r="789" spans="20:20" ht="13">
      <c r="T789" s="149"/>
    </row>
    <row r="790" spans="20:20" ht="13">
      <c r="T790" s="149"/>
    </row>
    <row r="791" spans="20:20" ht="13">
      <c r="T791" s="149"/>
    </row>
    <row r="792" spans="20:20" ht="13">
      <c r="T792" s="149"/>
    </row>
    <row r="793" spans="20:20" ht="13">
      <c r="T793" s="149"/>
    </row>
    <row r="794" spans="20:20" ht="13">
      <c r="T794" s="149"/>
    </row>
    <row r="795" spans="20:20" ht="13">
      <c r="T795" s="149"/>
    </row>
    <row r="796" spans="20:20" ht="13">
      <c r="T796" s="149"/>
    </row>
    <row r="797" spans="20:20" ht="13">
      <c r="T797" s="149"/>
    </row>
    <row r="798" spans="20:20" ht="13">
      <c r="T798" s="149"/>
    </row>
    <row r="799" spans="20:20" ht="13">
      <c r="T799" s="149"/>
    </row>
    <row r="800" spans="20:20" ht="13">
      <c r="T800" s="149"/>
    </row>
    <row r="801" spans="20:20" ht="13">
      <c r="T801" s="149"/>
    </row>
    <row r="802" spans="20:20" ht="13">
      <c r="T802" s="149"/>
    </row>
    <row r="803" spans="20:20" ht="13">
      <c r="T803" s="149"/>
    </row>
    <row r="804" spans="20:20" ht="13">
      <c r="T804" s="149"/>
    </row>
    <row r="805" spans="20:20" ht="13">
      <c r="T805" s="149"/>
    </row>
    <row r="806" spans="20:20" ht="13">
      <c r="T806" s="149"/>
    </row>
    <row r="807" spans="20:20" ht="13">
      <c r="T807" s="149"/>
    </row>
    <row r="808" spans="20:20" ht="13">
      <c r="T808" s="149"/>
    </row>
    <row r="809" spans="20:20" ht="13">
      <c r="T809" s="149"/>
    </row>
    <row r="810" spans="20:20" ht="13">
      <c r="T810" s="149"/>
    </row>
    <row r="811" spans="20:20" ht="13">
      <c r="T811" s="149"/>
    </row>
    <row r="812" spans="20:20" ht="13">
      <c r="T812" s="149"/>
    </row>
    <row r="813" spans="20:20" ht="13">
      <c r="T813" s="149"/>
    </row>
    <row r="814" spans="20:20" ht="13">
      <c r="T814" s="149"/>
    </row>
    <row r="815" spans="20:20" ht="13">
      <c r="T815" s="149"/>
    </row>
    <row r="816" spans="20:20" ht="13">
      <c r="T816" s="149"/>
    </row>
    <row r="817" spans="20:20" ht="13">
      <c r="T817" s="149"/>
    </row>
    <row r="818" spans="20:20" ht="13">
      <c r="T818" s="149"/>
    </row>
    <row r="819" spans="20:20" ht="13">
      <c r="T819" s="149"/>
    </row>
    <row r="820" spans="20:20" ht="13">
      <c r="T820" s="149"/>
    </row>
    <row r="821" spans="20:20" ht="13">
      <c r="T821" s="149"/>
    </row>
    <row r="822" spans="20:20" ht="13">
      <c r="T822" s="149"/>
    </row>
    <row r="823" spans="20:20" ht="13">
      <c r="T823" s="149"/>
    </row>
    <row r="824" spans="20:20" ht="13">
      <c r="T824" s="149"/>
    </row>
    <row r="825" spans="20:20" ht="13">
      <c r="T825" s="149"/>
    </row>
    <row r="826" spans="20:20" ht="13">
      <c r="T826" s="149"/>
    </row>
    <row r="827" spans="20:20" ht="13">
      <c r="T827" s="149"/>
    </row>
    <row r="828" spans="20:20" ht="13">
      <c r="T828" s="149"/>
    </row>
    <row r="829" spans="20:20" ht="13">
      <c r="T829" s="149"/>
    </row>
    <row r="830" spans="20:20" ht="13">
      <c r="T830" s="149"/>
    </row>
    <row r="831" spans="20:20" ht="13">
      <c r="T831" s="149"/>
    </row>
    <row r="832" spans="20:20" ht="13">
      <c r="T832" s="149"/>
    </row>
    <row r="833" spans="20:20" ht="13">
      <c r="T833" s="149"/>
    </row>
    <row r="834" spans="20:20" ht="13">
      <c r="T834" s="149"/>
    </row>
    <row r="835" spans="20:20" ht="13">
      <c r="T835" s="149"/>
    </row>
    <row r="836" spans="20:20" ht="13">
      <c r="T836" s="149"/>
    </row>
    <row r="837" spans="20:20" ht="13">
      <c r="T837" s="149"/>
    </row>
    <row r="838" spans="20:20" ht="13">
      <c r="T838" s="149"/>
    </row>
    <row r="839" spans="20:20" ht="13">
      <c r="T839" s="149"/>
    </row>
    <row r="840" spans="20:20" ht="13">
      <c r="T840" s="149"/>
    </row>
    <row r="841" spans="20:20" ht="13">
      <c r="T841" s="149"/>
    </row>
    <row r="842" spans="20:20" ht="13">
      <c r="T842" s="149"/>
    </row>
    <row r="843" spans="20:20" ht="13">
      <c r="T843" s="149"/>
    </row>
    <row r="844" spans="20:20" ht="13">
      <c r="T844" s="149"/>
    </row>
    <row r="845" spans="20:20" ht="13">
      <c r="T845" s="149"/>
    </row>
    <row r="846" spans="20:20" ht="13">
      <c r="T846" s="149"/>
    </row>
    <row r="847" spans="20:20" ht="13">
      <c r="T847" s="149"/>
    </row>
    <row r="848" spans="20:20" ht="13">
      <c r="T848" s="149"/>
    </row>
    <row r="849" spans="20:20" ht="13">
      <c r="T849" s="149"/>
    </row>
    <row r="850" spans="20:20" ht="13">
      <c r="T850" s="149"/>
    </row>
    <row r="851" spans="20:20" ht="13">
      <c r="T851" s="149"/>
    </row>
    <row r="852" spans="20:20" ht="13">
      <c r="T852" s="149"/>
    </row>
    <row r="853" spans="20:20" ht="13">
      <c r="T853" s="149"/>
    </row>
    <row r="854" spans="20:20" ht="13">
      <c r="T854" s="149"/>
    </row>
    <row r="855" spans="20:20" ht="13">
      <c r="T855" s="149"/>
    </row>
    <row r="856" spans="20:20" ht="13">
      <c r="T856" s="149"/>
    </row>
    <row r="857" spans="20:20" ht="13">
      <c r="T857" s="149"/>
    </row>
    <row r="858" spans="20:20" ht="13">
      <c r="T858" s="149"/>
    </row>
    <row r="859" spans="20:20" ht="13">
      <c r="T859" s="149"/>
    </row>
    <row r="860" spans="20:20" ht="13">
      <c r="T860" s="149"/>
    </row>
    <row r="861" spans="20:20" ht="13">
      <c r="T861" s="149"/>
    </row>
    <row r="862" spans="20:20" ht="13">
      <c r="T862" s="149"/>
    </row>
    <row r="863" spans="20:20" ht="13">
      <c r="T863" s="149"/>
    </row>
    <row r="864" spans="20:20" ht="13">
      <c r="T864" s="149"/>
    </row>
    <row r="865" spans="20:20" ht="13">
      <c r="T865" s="149"/>
    </row>
    <row r="866" spans="20:20" ht="13">
      <c r="T866" s="149"/>
    </row>
    <row r="867" spans="20:20" ht="13">
      <c r="T867" s="149"/>
    </row>
    <row r="868" spans="20:20" ht="13">
      <c r="T868" s="149"/>
    </row>
    <row r="869" spans="20:20" ht="13">
      <c r="T869" s="149"/>
    </row>
    <row r="870" spans="20:20" ht="13">
      <c r="T870" s="149"/>
    </row>
    <row r="871" spans="20:20" ht="13">
      <c r="T871" s="149"/>
    </row>
    <row r="872" spans="20:20" ht="13">
      <c r="T872" s="149"/>
    </row>
    <row r="873" spans="20:20" ht="13">
      <c r="T873" s="149"/>
    </row>
    <row r="874" spans="20:20" ht="13">
      <c r="T874" s="149"/>
    </row>
    <row r="875" spans="20:20" ht="13">
      <c r="T875" s="149"/>
    </row>
    <row r="876" spans="20:20" ht="13">
      <c r="T876" s="149"/>
    </row>
    <row r="877" spans="20:20" ht="13">
      <c r="T877" s="149"/>
    </row>
    <row r="878" spans="20:20" ht="13">
      <c r="T878" s="149"/>
    </row>
    <row r="879" spans="20:20" ht="13">
      <c r="T879" s="149"/>
    </row>
    <row r="880" spans="20:20" ht="13">
      <c r="T880" s="149"/>
    </row>
    <row r="881" spans="20:20" ht="13">
      <c r="T881" s="149"/>
    </row>
    <row r="882" spans="20:20" ht="13">
      <c r="T882" s="149"/>
    </row>
    <row r="883" spans="20:20" ht="13">
      <c r="T883" s="149"/>
    </row>
    <row r="884" spans="20:20" ht="13">
      <c r="T884" s="149"/>
    </row>
    <row r="885" spans="20:20" ht="13">
      <c r="T885" s="149"/>
    </row>
    <row r="886" spans="20:20" ht="13">
      <c r="T886" s="149"/>
    </row>
    <row r="887" spans="20:20" ht="13">
      <c r="T887" s="149"/>
    </row>
    <row r="888" spans="20:20" ht="13">
      <c r="T888" s="149"/>
    </row>
    <row r="889" spans="20:20" ht="13">
      <c r="T889" s="149"/>
    </row>
    <row r="890" spans="20:20" ht="13">
      <c r="T890" s="149"/>
    </row>
    <row r="891" spans="20:20" ht="13">
      <c r="T891" s="149"/>
    </row>
    <row r="892" spans="20:20" ht="13">
      <c r="T892" s="149"/>
    </row>
    <row r="893" spans="20:20" ht="13">
      <c r="T893" s="149"/>
    </row>
    <row r="894" spans="20:20" ht="13">
      <c r="T894" s="149"/>
    </row>
    <row r="895" spans="20:20" ht="13">
      <c r="T895" s="149"/>
    </row>
    <row r="896" spans="20:20" ht="13">
      <c r="T896" s="149"/>
    </row>
    <row r="897" spans="20:20" ht="13">
      <c r="T897" s="149"/>
    </row>
    <row r="898" spans="20:20" ht="13">
      <c r="T898" s="149"/>
    </row>
    <row r="899" spans="20:20" ht="13">
      <c r="T899" s="149"/>
    </row>
    <row r="900" spans="20:20" ht="13">
      <c r="T900" s="149"/>
    </row>
    <row r="901" spans="20:20" ht="13">
      <c r="T901" s="149"/>
    </row>
    <row r="902" spans="20:20" ht="13">
      <c r="T902" s="149"/>
    </row>
    <row r="903" spans="20:20" ht="13">
      <c r="T903" s="149"/>
    </row>
    <row r="904" spans="20:20" ht="13">
      <c r="T904" s="149"/>
    </row>
    <row r="905" spans="20:20" ht="13">
      <c r="T905" s="149"/>
    </row>
    <row r="906" spans="20:20" ht="13">
      <c r="T906" s="149"/>
    </row>
    <row r="907" spans="20:20" ht="13">
      <c r="T907" s="149"/>
    </row>
    <row r="908" spans="20:20" ht="13">
      <c r="T908" s="149"/>
    </row>
    <row r="909" spans="20:20" ht="13">
      <c r="T909" s="149"/>
    </row>
    <row r="910" spans="20:20" ht="13">
      <c r="T910" s="149"/>
    </row>
    <row r="911" spans="20:20" ht="13">
      <c r="T911" s="149"/>
    </row>
    <row r="912" spans="20:20" ht="13">
      <c r="T912" s="149"/>
    </row>
    <row r="913" spans="20:20" ht="13">
      <c r="T913" s="149"/>
    </row>
    <row r="914" spans="20:20" ht="13">
      <c r="T914" s="149"/>
    </row>
    <row r="915" spans="20:20" ht="13">
      <c r="T915" s="149"/>
    </row>
    <row r="916" spans="20:20" ht="13">
      <c r="T916" s="149"/>
    </row>
    <row r="917" spans="20:20" ht="13">
      <c r="T917" s="149"/>
    </row>
    <row r="918" spans="20:20" ht="13">
      <c r="T918" s="149"/>
    </row>
    <row r="919" spans="20:20" ht="13">
      <c r="T919" s="149"/>
    </row>
    <row r="920" spans="20:20" ht="13">
      <c r="T920" s="149"/>
    </row>
    <row r="921" spans="20:20" ht="13">
      <c r="T921" s="149"/>
    </row>
    <row r="922" spans="20:20" ht="13">
      <c r="T922" s="149"/>
    </row>
    <row r="923" spans="20:20" ht="13">
      <c r="T923" s="149"/>
    </row>
    <row r="924" spans="20:20" ht="13">
      <c r="T924" s="149"/>
    </row>
    <row r="925" spans="20:20" ht="13">
      <c r="T925" s="149"/>
    </row>
    <row r="926" spans="20:20" ht="13">
      <c r="T926" s="149"/>
    </row>
    <row r="927" spans="20:20" ht="13">
      <c r="T927" s="149"/>
    </row>
    <row r="928" spans="20:20" ht="13">
      <c r="T928" s="149"/>
    </row>
    <row r="929" spans="20:20" ht="13">
      <c r="T929" s="149"/>
    </row>
    <row r="930" spans="20:20" ht="13">
      <c r="T930" s="149"/>
    </row>
    <row r="931" spans="20:20" ht="13">
      <c r="T931" s="149"/>
    </row>
    <row r="932" spans="20:20" ht="13">
      <c r="T932" s="149"/>
    </row>
    <row r="933" spans="20:20" ht="13">
      <c r="T933" s="149"/>
    </row>
    <row r="934" spans="20:20" ht="13">
      <c r="T934" s="149"/>
    </row>
    <row r="935" spans="20:20" ht="13">
      <c r="T935" s="149"/>
    </row>
    <row r="936" spans="20:20" ht="13">
      <c r="T936" s="149"/>
    </row>
    <row r="937" spans="20:20" ht="13">
      <c r="T937" s="149"/>
    </row>
    <row r="938" spans="20:20" ht="13">
      <c r="T938" s="149"/>
    </row>
    <row r="939" spans="20:20" ht="13">
      <c r="T939" s="149"/>
    </row>
    <row r="940" spans="20:20" ht="13">
      <c r="T940" s="149"/>
    </row>
    <row r="941" spans="20:20" ht="13">
      <c r="T941" s="149"/>
    </row>
    <row r="942" spans="20:20" ht="13">
      <c r="T942" s="149"/>
    </row>
    <row r="943" spans="20:20" ht="13">
      <c r="T943" s="149"/>
    </row>
    <row r="944" spans="20:20" ht="13">
      <c r="T944" s="149"/>
    </row>
    <row r="945" spans="20:20" ht="13">
      <c r="T945" s="149"/>
    </row>
    <row r="946" spans="20:20" ht="13">
      <c r="T946" s="149"/>
    </row>
    <row r="947" spans="20:20" ht="13">
      <c r="T947" s="149"/>
    </row>
    <row r="948" spans="20:20" ht="13">
      <c r="T948" s="149"/>
    </row>
    <row r="949" spans="20:20" ht="13">
      <c r="T949" s="149"/>
    </row>
    <row r="950" spans="20:20" ht="13">
      <c r="T950" s="149"/>
    </row>
    <row r="951" spans="20:20" ht="13">
      <c r="T951" s="149"/>
    </row>
    <row r="952" spans="20:20" ht="13">
      <c r="T952" s="149"/>
    </row>
    <row r="953" spans="20:20" ht="13">
      <c r="T953" s="149"/>
    </row>
    <row r="954" spans="20:20" ht="13">
      <c r="T954" s="149"/>
    </row>
    <row r="955" spans="20:20" ht="13">
      <c r="T955" s="149"/>
    </row>
    <row r="956" spans="20:20" ht="13">
      <c r="T956" s="149"/>
    </row>
    <row r="957" spans="20:20" ht="13">
      <c r="T957" s="149"/>
    </row>
    <row r="958" spans="20:20" ht="13">
      <c r="T958" s="149"/>
    </row>
    <row r="959" spans="20:20" ht="13">
      <c r="T959" s="149"/>
    </row>
    <row r="960" spans="20:20" ht="13">
      <c r="T960" s="149"/>
    </row>
    <row r="961" spans="20:20" ht="13">
      <c r="T961" s="149"/>
    </row>
    <row r="962" spans="20:20" ht="13">
      <c r="T962" s="149"/>
    </row>
    <row r="963" spans="20:20" ht="13">
      <c r="T963" s="149"/>
    </row>
    <row r="964" spans="20:20" ht="13">
      <c r="T964" s="149"/>
    </row>
    <row r="965" spans="20:20" ht="13">
      <c r="T965" s="149"/>
    </row>
    <row r="966" spans="20:20" ht="13">
      <c r="T966" s="149"/>
    </row>
    <row r="967" spans="20:20" ht="13">
      <c r="T967" s="149"/>
    </row>
    <row r="968" spans="20:20" ht="13">
      <c r="T968" s="149"/>
    </row>
    <row r="969" spans="20:20" ht="13">
      <c r="T969" s="149"/>
    </row>
    <row r="970" spans="20:20" ht="13">
      <c r="T970" s="149"/>
    </row>
    <row r="971" spans="20:20" ht="13">
      <c r="T971" s="149"/>
    </row>
    <row r="972" spans="20:20" ht="13">
      <c r="T972" s="149"/>
    </row>
    <row r="973" spans="20:20" ht="13">
      <c r="T973" s="149"/>
    </row>
    <row r="974" spans="20:20" ht="13">
      <c r="T974" s="149"/>
    </row>
    <row r="975" spans="20:20" ht="13">
      <c r="T975" s="149"/>
    </row>
    <row r="976" spans="20:20" ht="13">
      <c r="T976" s="149"/>
    </row>
    <row r="977" spans="20:20" ht="13">
      <c r="T977" s="149"/>
    </row>
    <row r="978" spans="20:20" ht="13">
      <c r="T978" s="149"/>
    </row>
    <row r="979" spans="20:20" ht="13">
      <c r="T979" s="149"/>
    </row>
    <row r="980" spans="20:20" ht="13">
      <c r="T980" s="149"/>
    </row>
    <row r="981" spans="20:20" ht="13">
      <c r="T981" s="149"/>
    </row>
    <row r="982" spans="20:20" ht="13">
      <c r="T982" s="149"/>
    </row>
    <row r="983" spans="20:20" ht="13">
      <c r="T983" s="149"/>
    </row>
    <row r="984" spans="20:20" ht="13">
      <c r="T984" s="149"/>
    </row>
    <row r="985" spans="20:20" ht="13">
      <c r="T985" s="149"/>
    </row>
    <row r="986" spans="20:20" ht="13">
      <c r="T986" s="149"/>
    </row>
    <row r="987" spans="20:20" ht="13">
      <c r="T987" s="149"/>
    </row>
    <row r="988" spans="20:20" ht="13">
      <c r="T988" s="149"/>
    </row>
    <row r="989" spans="20:20" ht="13">
      <c r="T989" s="149"/>
    </row>
    <row r="990" spans="20:20" ht="13">
      <c r="T990" s="149"/>
    </row>
    <row r="991" spans="20:20" ht="13">
      <c r="T991" s="149"/>
    </row>
    <row r="992" spans="20:20" ht="13">
      <c r="T992" s="149"/>
    </row>
    <row r="993" spans="20:20" ht="13">
      <c r="T993" s="149"/>
    </row>
    <row r="994" spans="20:20" ht="13">
      <c r="T994" s="149"/>
    </row>
    <row r="995" spans="20:20" ht="13">
      <c r="T995" s="149"/>
    </row>
    <row r="996" spans="20:20" ht="13">
      <c r="T996" s="149"/>
    </row>
    <row r="997" spans="20:20" ht="13">
      <c r="T997" s="149"/>
    </row>
    <row r="998" spans="20:20" ht="13">
      <c r="T998" s="149"/>
    </row>
    <row r="999" spans="20:20" ht="13">
      <c r="T999" s="149"/>
    </row>
    <row r="1000" spans="20:20" ht="13">
      <c r="T1000" s="149"/>
    </row>
  </sheetData>
  <mergeCells count="14">
    <mergeCell ref="R2:S2"/>
    <mergeCell ref="T2:T4"/>
    <mergeCell ref="B3:C4"/>
    <mergeCell ref="P3:Q4"/>
    <mergeCell ref="M3:M4"/>
    <mergeCell ref="B2:C2"/>
    <mergeCell ref="E2:J2"/>
    <mergeCell ref="K2:M2"/>
    <mergeCell ref="P2:Q2"/>
    <mergeCell ref="D3:D4"/>
    <mergeCell ref="E3:G3"/>
    <mergeCell ref="H3:J3"/>
    <mergeCell ref="K3:K4"/>
    <mergeCell ref="L3:L4"/>
  </mergeCells>
  <phoneticPr fontId="6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honeticPr fontId="6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V1000"/>
  <sheetViews>
    <sheetView workbookViewId="0"/>
  </sheetViews>
  <sheetFormatPr baseColWidth="10" defaultColWidth="12.6640625" defaultRowHeight="15.75" customHeight="1"/>
  <sheetData>
    <row r="1" spans="1:22">
      <c r="A1" s="54"/>
      <c r="B1" s="54"/>
      <c r="C1" s="54"/>
      <c r="D1" s="54"/>
      <c r="E1" s="54"/>
      <c r="F1" s="54"/>
      <c r="G1" s="54"/>
      <c r="H1" s="132"/>
      <c r="J1" s="132"/>
      <c r="K1" s="132"/>
      <c r="L1" s="3"/>
      <c r="Q1" s="125"/>
    </row>
    <row r="2" spans="1:22">
      <c r="A2" s="54"/>
      <c r="B2" s="54"/>
      <c r="C2" s="54"/>
      <c r="D2" s="54"/>
      <c r="E2" s="54"/>
      <c r="F2" s="54"/>
      <c r="G2" s="54"/>
      <c r="H2" s="132"/>
      <c r="J2" s="3"/>
      <c r="K2" s="3"/>
      <c r="L2" s="3"/>
      <c r="Q2" s="125"/>
    </row>
    <row r="3" spans="1:22" ht="15.75" customHeight="1">
      <c r="A3" s="54"/>
      <c r="B3" s="54"/>
      <c r="C3" s="54"/>
      <c r="D3" s="54"/>
      <c r="E3" s="54"/>
      <c r="F3" s="803"/>
      <c r="G3" s="794"/>
      <c r="H3" s="133"/>
      <c r="I3" s="74" t="s">
        <v>15</v>
      </c>
      <c r="J3" s="810" t="s">
        <v>88</v>
      </c>
      <c r="K3" s="794"/>
      <c r="L3" s="794"/>
      <c r="M3" s="14"/>
      <c r="N3" s="793" t="s">
        <v>11</v>
      </c>
      <c r="O3" s="794"/>
      <c r="P3" s="794"/>
      <c r="Q3" s="125"/>
    </row>
    <row r="4" spans="1:22">
      <c r="A4" s="54"/>
      <c r="B4" s="54"/>
      <c r="C4" s="54"/>
      <c r="D4" s="54"/>
      <c r="E4" s="54"/>
      <c r="F4" s="789" t="s">
        <v>10</v>
      </c>
      <c r="G4" s="788"/>
      <c r="H4" s="86"/>
      <c r="I4" s="807" t="s">
        <v>65</v>
      </c>
      <c r="J4" s="80" t="s">
        <v>3</v>
      </c>
      <c r="K4" s="785" t="s">
        <v>66</v>
      </c>
      <c r="L4" s="802"/>
      <c r="M4" s="134"/>
      <c r="N4" s="80" t="s">
        <v>3</v>
      </c>
      <c r="O4" s="785" t="s">
        <v>66</v>
      </c>
      <c r="P4" s="802"/>
      <c r="Q4" s="827" t="s">
        <v>89</v>
      </c>
      <c r="R4" s="826" t="s">
        <v>129</v>
      </c>
      <c r="S4" s="794"/>
      <c r="T4" s="823"/>
    </row>
    <row r="5" spans="1:22">
      <c r="A5" s="54"/>
      <c r="B5" s="70" t="s">
        <v>90</v>
      </c>
      <c r="C5" s="70" t="s">
        <v>91</v>
      </c>
      <c r="D5" s="54"/>
      <c r="E5" s="54"/>
      <c r="F5" s="791"/>
      <c r="G5" s="786"/>
      <c r="H5" s="81" t="s">
        <v>89</v>
      </c>
      <c r="I5" s="786"/>
      <c r="J5" s="80" t="s">
        <v>63</v>
      </c>
      <c r="K5" s="25" t="s">
        <v>18</v>
      </c>
      <c r="L5" s="81" t="s">
        <v>69</v>
      </c>
      <c r="M5" s="134"/>
      <c r="N5" s="80" t="s">
        <v>63</v>
      </c>
      <c r="O5" s="25" t="s">
        <v>18</v>
      </c>
      <c r="P5" s="81" t="s">
        <v>69</v>
      </c>
      <c r="Q5" s="786"/>
      <c r="R5" s="186" t="s">
        <v>130</v>
      </c>
      <c r="S5" s="153" t="s">
        <v>131</v>
      </c>
      <c r="T5" s="187" t="s">
        <v>132</v>
      </c>
      <c r="U5" s="4" t="s">
        <v>133</v>
      </c>
      <c r="V5" s="80" t="s">
        <v>63</v>
      </c>
    </row>
    <row r="6" spans="1:22">
      <c r="A6" s="70" t="s">
        <v>92</v>
      </c>
      <c r="B6" s="135">
        <v>300</v>
      </c>
      <c r="C6" s="135">
        <v>200</v>
      </c>
      <c r="D6" s="54"/>
      <c r="E6" s="54"/>
      <c r="F6" s="188">
        <v>43586</v>
      </c>
      <c r="G6" s="38" t="s">
        <v>49</v>
      </c>
      <c r="H6" s="105">
        <f t="shared" ref="H6:H36" si="0">IF(E6="Break",$C$6/2,$C$6)</f>
        <v>200</v>
      </c>
      <c r="I6" s="105">
        <f t="shared" ref="I6:I36" si="1">$B$11*H6</f>
        <v>59333.333333333336</v>
      </c>
      <c r="J6" s="105">
        <f t="shared" ref="J6:J10" si="2">IF(E6="break",0,L6)</f>
        <v>12933.333333333336</v>
      </c>
      <c r="K6" s="64">
        <v>5800</v>
      </c>
      <c r="L6" s="136">
        <f t="shared" ref="L6:L36" si="3">I6-K6*$B$9</f>
        <v>12933.333333333336</v>
      </c>
      <c r="M6" s="136">
        <f t="shared" ref="M6:M36" si="4">$C$22*$C$11</f>
        <v>69894.166666666672</v>
      </c>
      <c r="N6" s="136">
        <f t="shared" ref="N6:N36" si="5">IF(E6="Break",J6,(M6-K6*$C$9))</f>
        <v>23494.166666666672</v>
      </c>
      <c r="O6" s="136">
        <f>'MayJune working'!M6</f>
        <v>5800</v>
      </c>
      <c r="P6" s="105">
        <f t="shared" ref="P6:P36" si="6">L6</f>
        <v>12933.333333333336</v>
      </c>
      <c r="Q6" s="189">
        <f t="shared" ref="Q6:Q36" si="7">(N6+O6*$C$9)/$C$11</f>
        <v>235.59831460674158</v>
      </c>
      <c r="T6" s="27"/>
      <c r="V6" s="23">
        <f t="shared" ref="V6:V36" si="8">N6+U6</f>
        <v>23494.166666666672</v>
      </c>
    </row>
    <row r="7" spans="1:22">
      <c r="A7" s="70" t="s">
        <v>93</v>
      </c>
      <c r="B7" s="135">
        <v>8000</v>
      </c>
      <c r="C7" s="137"/>
      <c r="D7" s="54"/>
      <c r="E7" s="54"/>
      <c r="F7" s="188">
        <v>43587</v>
      </c>
      <c r="G7" s="38" t="s">
        <v>51</v>
      </c>
      <c r="H7" s="39">
        <f t="shared" si="0"/>
        <v>200</v>
      </c>
      <c r="I7" s="39">
        <f t="shared" si="1"/>
        <v>59333.333333333336</v>
      </c>
      <c r="J7" s="39">
        <f t="shared" si="2"/>
        <v>15333.333333333336</v>
      </c>
      <c r="K7" s="64">
        <v>5500</v>
      </c>
      <c r="L7" s="138">
        <f t="shared" si="3"/>
        <v>15333.333333333336</v>
      </c>
      <c r="M7" s="138">
        <f t="shared" si="4"/>
        <v>69894.166666666672</v>
      </c>
      <c r="N7" s="138">
        <f t="shared" si="5"/>
        <v>25894.166666666672</v>
      </c>
      <c r="O7" s="136">
        <f>'MayJune working'!M7</f>
        <v>5500</v>
      </c>
      <c r="P7" s="39">
        <f t="shared" si="6"/>
        <v>15333.333333333336</v>
      </c>
      <c r="Q7" s="40">
        <f t="shared" si="7"/>
        <v>235.59831460674158</v>
      </c>
      <c r="T7" s="27"/>
      <c r="V7" s="23">
        <f t="shared" si="8"/>
        <v>25894.166666666672</v>
      </c>
    </row>
    <row r="8" spans="1:22">
      <c r="A8" s="70" t="s">
        <v>95</v>
      </c>
      <c r="B8" s="135">
        <v>25000</v>
      </c>
      <c r="C8" s="137"/>
      <c r="D8" s="54"/>
      <c r="E8" s="54"/>
      <c r="F8" s="188">
        <v>43588</v>
      </c>
      <c r="G8" s="38" t="s">
        <v>29</v>
      </c>
      <c r="H8" s="39">
        <f t="shared" si="0"/>
        <v>200</v>
      </c>
      <c r="I8" s="39">
        <f t="shared" si="1"/>
        <v>59333.333333333336</v>
      </c>
      <c r="J8" s="39">
        <f t="shared" si="2"/>
        <v>15333.333333333336</v>
      </c>
      <c r="K8" s="64">
        <v>5500</v>
      </c>
      <c r="L8" s="138">
        <f t="shared" si="3"/>
        <v>15333.333333333336</v>
      </c>
      <c r="M8" s="138">
        <f t="shared" si="4"/>
        <v>69894.166666666672</v>
      </c>
      <c r="N8" s="138">
        <f t="shared" si="5"/>
        <v>25894.166666666672</v>
      </c>
      <c r="O8" s="136">
        <f>'MayJune working'!M8</f>
        <v>5500</v>
      </c>
      <c r="P8" s="39">
        <f t="shared" si="6"/>
        <v>15333.333333333336</v>
      </c>
      <c r="Q8" s="40">
        <f t="shared" si="7"/>
        <v>235.59831460674158</v>
      </c>
      <c r="T8" s="27"/>
      <c r="V8" s="23">
        <f t="shared" si="8"/>
        <v>25894.166666666672</v>
      </c>
    </row>
    <row r="9" spans="1:22">
      <c r="A9" s="70" t="s">
        <v>97</v>
      </c>
      <c r="B9" s="135">
        <v>8</v>
      </c>
      <c r="C9" s="135">
        <v>8</v>
      </c>
      <c r="D9" s="54"/>
      <c r="E9" s="70"/>
      <c r="F9" s="188">
        <v>43589</v>
      </c>
      <c r="G9" s="38" t="s">
        <v>33</v>
      </c>
      <c r="H9" s="39">
        <f t="shared" si="0"/>
        <v>200</v>
      </c>
      <c r="I9" s="39">
        <f t="shared" si="1"/>
        <v>59333.333333333336</v>
      </c>
      <c r="J9" s="39">
        <f t="shared" si="2"/>
        <v>19333.333333333336</v>
      </c>
      <c r="K9" s="64">
        <v>5000</v>
      </c>
      <c r="L9" s="138">
        <f t="shared" si="3"/>
        <v>19333.333333333336</v>
      </c>
      <c r="M9" s="138">
        <f t="shared" si="4"/>
        <v>69894.166666666672</v>
      </c>
      <c r="N9" s="138">
        <f t="shared" si="5"/>
        <v>29894.166666666672</v>
      </c>
      <c r="O9" s="136">
        <f>'MayJune working'!M9</f>
        <v>5000</v>
      </c>
      <c r="P9" s="39">
        <f t="shared" si="6"/>
        <v>19333.333333333336</v>
      </c>
      <c r="Q9" s="40">
        <f t="shared" si="7"/>
        <v>235.59831460674158</v>
      </c>
      <c r="T9" s="27"/>
      <c r="V9" s="23">
        <f t="shared" si="8"/>
        <v>29894.166666666672</v>
      </c>
    </row>
    <row r="10" spans="1:22">
      <c r="A10" s="70" t="s">
        <v>99</v>
      </c>
      <c r="B10" s="135">
        <f>B7*B9+B8</f>
        <v>89000</v>
      </c>
      <c r="C10" s="137">
        <f>B10/B6*C6</f>
        <v>59333.333333333336</v>
      </c>
      <c r="D10" s="54"/>
      <c r="E10" s="70" t="s">
        <v>98</v>
      </c>
      <c r="F10" s="190">
        <v>43590</v>
      </c>
      <c r="G10" s="45" t="s">
        <v>37</v>
      </c>
      <c r="H10" s="39">
        <f t="shared" si="0"/>
        <v>100</v>
      </c>
      <c r="I10" s="39">
        <f t="shared" si="1"/>
        <v>29666.666666666668</v>
      </c>
      <c r="J10" s="39">
        <f t="shared" si="2"/>
        <v>0</v>
      </c>
      <c r="K10" s="97">
        <v>5300</v>
      </c>
      <c r="L10" s="138">
        <f t="shared" si="3"/>
        <v>-12733.333333333332</v>
      </c>
      <c r="M10" s="138">
        <f t="shared" si="4"/>
        <v>69894.166666666672</v>
      </c>
      <c r="N10" s="138">
        <f t="shared" si="5"/>
        <v>0</v>
      </c>
      <c r="O10" s="136">
        <f>'MayJune working'!M10</f>
        <v>5300</v>
      </c>
      <c r="P10" s="39">
        <f t="shared" si="6"/>
        <v>-12733.333333333332</v>
      </c>
      <c r="Q10" s="40">
        <f t="shared" si="7"/>
        <v>142.92134831460675</v>
      </c>
      <c r="R10" s="34"/>
      <c r="S10" s="34"/>
      <c r="T10" s="87"/>
      <c r="V10" s="23">
        <f t="shared" si="8"/>
        <v>0</v>
      </c>
    </row>
    <row r="11" spans="1:22">
      <c r="A11" s="70" t="s">
        <v>100</v>
      </c>
      <c r="B11" s="135">
        <f t="shared" ref="B11:C11" si="9">B10/B6</f>
        <v>296.66666666666669</v>
      </c>
      <c r="C11" s="135">
        <f t="shared" si="9"/>
        <v>296.66666666666669</v>
      </c>
      <c r="D11" s="54"/>
      <c r="E11" s="70" t="s">
        <v>98</v>
      </c>
      <c r="F11" s="188">
        <v>43591</v>
      </c>
      <c r="G11" s="51" t="s">
        <v>41</v>
      </c>
      <c r="H11" s="39">
        <f t="shared" si="0"/>
        <v>100</v>
      </c>
      <c r="I11" s="39">
        <f t="shared" si="1"/>
        <v>29666.666666666668</v>
      </c>
      <c r="J11" s="39">
        <v>10000</v>
      </c>
      <c r="K11" s="191">
        <v>7000</v>
      </c>
      <c r="L11" s="138">
        <f t="shared" si="3"/>
        <v>-26333.333333333332</v>
      </c>
      <c r="M11" s="138">
        <f t="shared" si="4"/>
        <v>69894.166666666672</v>
      </c>
      <c r="N11" s="138">
        <f t="shared" si="5"/>
        <v>10000</v>
      </c>
      <c r="O11" s="136">
        <f>'MayJune working'!M11</f>
        <v>6000</v>
      </c>
      <c r="P11" s="39">
        <f t="shared" si="6"/>
        <v>-26333.333333333332</v>
      </c>
      <c r="Q11" s="40">
        <f t="shared" si="7"/>
        <v>195.50561797752809</v>
      </c>
      <c r="R11" s="4" t="s">
        <v>134</v>
      </c>
      <c r="S11" s="4"/>
      <c r="T11" s="192"/>
      <c r="U11" s="193">
        <v>0</v>
      </c>
      <c r="V11" s="23">
        <f t="shared" si="8"/>
        <v>10000</v>
      </c>
    </row>
    <row r="12" spans="1:22">
      <c r="A12" s="54"/>
      <c r="B12" s="135"/>
      <c r="C12" s="137"/>
      <c r="D12" s="54"/>
      <c r="E12" s="70" t="s">
        <v>98</v>
      </c>
      <c r="F12" s="188">
        <v>43592</v>
      </c>
      <c r="G12" s="38" t="s">
        <v>46</v>
      </c>
      <c r="H12" s="46">
        <f t="shared" si="0"/>
        <v>100</v>
      </c>
      <c r="I12" s="46">
        <f t="shared" si="1"/>
        <v>29666.666666666668</v>
      </c>
      <c r="J12" s="46">
        <v>0</v>
      </c>
      <c r="K12" s="64">
        <v>6500</v>
      </c>
      <c r="L12" s="142">
        <f t="shared" si="3"/>
        <v>-22333.333333333332</v>
      </c>
      <c r="M12" s="142">
        <f t="shared" si="4"/>
        <v>69894.166666666672</v>
      </c>
      <c r="N12" s="138">
        <f t="shared" si="5"/>
        <v>0</v>
      </c>
      <c r="O12" s="136">
        <f>'MayJune working'!M12</f>
        <v>8000</v>
      </c>
      <c r="P12" s="46">
        <f t="shared" si="6"/>
        <v>-22333.333333333332</v>
      </c>
      <c r="Q12" s="48">
        <f t="shared" si="7"/>
        <v>215.73033707865167</v>
      </c>
      <c r="R12" s="4" t="s">
        <v>134</v>
      </c>
      <c r="S12" s="4"/>
      <c r="T12" s="192"/>
      <c r="U12" s="193">
        <v>0</v>
      </c>
      <c r="V12" s="23">
        <f t="shared" si="8"/>
        <v>0</v>
      </c>
    </row>
    <row r="13" spans="1:22">
      <c r="B13" s="137"/>
      <c r="C13" s="137"/>
      <c r="D13" s="54"/>
      <c r="E13" s="70" t="s">
        <v>98</v>
      </c>
      <c r="F13" s="188">
        <v>43593</v>
      </c>
      <c r="G13" s="38" t="s">
        <v>49</v>
      </c>
      <c r="H13" s="105">
        <f t="shared" si="0"/>
        <v>100</v>
      </c>
      <c r="I13" s="105">
        <f t="shared" si="1"/>
        <v>29666.666666666668</v>
      </c>
      <c r="J13" s="105">
        <v>3000</v>
      </c>
      <c r="K13" s="64">
        <v>6500</v>
      </c>
      <c r="L13" s="136">
        <f t="shared" si="3"/>
        <v>-22333.333333333332</v>
      </c>
      <c r="M13" s="136">
        <f t="shared" si="4"/>
        <v>69894.166666666672</v>
      </c>
      <c r="N13" s="138">
        <f t="shared" si="5"/>
        <v>3000</v>
      </c>
      <c r="O13" s="136">
        <f>'MayJune working'!M13</f>
        <v>6500</v>
      </c>
      <c r="P13" s="105">
        <f t="shared" si="6"/>
        <v>-22333.333333333332</v>
      </c>
      <c r="Q13" s="189">
        <f t="shared" si="7"/>
        <v>185.39325842696627</v>
      </c>
      <c r="R13" s="4" t="s">
        <v>134</v>
      </c>
      <c r="S13" s="4"/>
      <c r="T13" s="192"/>
      <c r="U13" s="193">
        <v>0</v>
      </c>
      <c r="V13" s="23">
        <f t="shared" si="8"/>
        <v>3000</v>
      </c>
    </row>
    <row r="14" spans="1:22">
      <c r="A14" s="70" t="s">
        <v>101</v>
      </c>
      <c r="B14" s="135">
        <v>30</v>
      </c>
      <c r="C14" s="135">
        <v>31</v>
      </c>
      <c r="D14" s="54"/>
      <c r="E14" s="70" t="s">
        <v>98</v>
      </c>
      <c r="F14" s="188">
        <v>43594</v>
      </c>
      <c r="G14" s="38" t="s">
        <v>51</v>
      </c>
      <c r="H14" s="39">
        <f t="shared" si="0"/>
        <v>100</v>
      </c>
      <c r="I14" s="39">
        <f t="shared" si="1"/>
        <v>29666.666666666668</v>
      </c>
      <c r="J14" s="39">
        <f t="shared" ref="J14:J19" si="10">IF(E14="break",0,L14)</f>
        <v>0</v>
      </c>
      <c r="K14" s="191">
        <v>8000</v>
      </c>
      <c r="L14" s="138">
        <f t="shared" si="3"/>
        <v>-34333.333333333328</v>
      </c>
      <c r="M14" s="138">
        <f t="shared" si="4"/>
        <v>69894.166666666672</v>
      </c>
      <c r="N14" s="138">
        <f t="shared" si="5"/>
        <v>0</v>
      </c>
      <c r="O14" s="136">
        <f>'MayJune working'!M14</f>
        <v>8000</v>
      </c>
      <c r="P14" s="39">
        <f t="shared" si="6"/>
        <v>-34333.333333333328</v>
      </c>
      <c r="Q14" s="40">
        <f t="shared" si="7"/>
        <v>215.73033707865167</v>
      </c>
      <c r="R14" s="4" t="s">
        <v>135</v>
      </c>
      <c r="S14" s="4"/>
      <c r="T14" s="192"/>
      <c r="U14" s="193">
        <v>1000</v>
      </c>
      <c r="V14" s="23">
        <f t="shared" si="8"/>
        <v>1000</v>
      </c>
    </row>
    <row r="15" spans="1:22">
      <c r="A15" s="70" t="s">
        <v>102</v>
      </c>
      <c r="B15" s="137">
        <f>SUM(K6:K36)/B14</f>
        <v>5996.666666666667</v>
      </c>
      <c r="C15" s="137">
        <f>SUM(K6:K36)/C14</f>
        <v>5803.2258064516127</v>
      </c>
      <c r="D15" s="54"/>
      <c r="E15" s="54"/>
      <c r="F15" s="188">
        <v>43595</v>
      </c>
      <c r="G15" s="38" t="s">
        <v>29</v>
      </c>
      <c r="H15" s="39">
        <f t="shared" si="0"/>
        <v>200</v>
      </c>
      <c r="I15" s="39">
        <f t="shared" si="1"/>
        <v>59333.333333333336</v>
      </c>
      <c r="J15" s="39">
        <f t="shared" si="10"/>
        <v>15333.333333333336</v>
      </c>
      <c r="K15" s="64">
        <v>5500</v>
      </c>
      <c r="L15" s="138">
        <f t="shared" si="3"/>
        <v>15333.333333333336</v>
      </c>
      <c r="M15" s="138">
        <f t="shared" si="4"/>
        <v>69894.166666666672</v>
      </c>
      <c r="N15" s="138">
        <f t="shared" si="5"/>
        <v>25894.166666666672</v>
      </c>
      <c r="O15" s="136">
        <f>'MayJune working'!M15</f>
        <v>5500</v>
      </c>
      <c r="P15" s="39">
        <f t="shared" si="6"/>
        <v>15333.333333333336</v>
      </c>
      <c r="Q15" s="40">
        <f t="shared" si="7"/>
        <v>235.59831460674158</v>
      </c>
      <c r="T15" s="27"/>
      <c r="U15" s="193">
        <v>1800</v>
      </c>
      <c r="V15" s="23">
        <f t="shared" si="8"/>
        <v>27694.166666666672</v>
      </c>
    </row>
    <row r="16" spans="1:22">
      <c r="A16" s="70" t="s">
        <v>103</v>
      </c>
      <c r="B16" s="137">
        <f>SUM(K6:K36)</f>
        <v>179900</v>
      </c>
      <c r="C16" s="137">
        <f>SUM(K6:K36)</f>
        <v>179900</v>
      </c>
      <c r="D16" s="54">
        <f>C25/C16</f>
        <v>2.8220307578284252</v>
      </c>
      <c r="E16" s="54"/>
      <c r="F16" s="188">
        <v>43596</v>
      </c>
      <c r="G16" s="38" t="s">
        <v>33</v>
      </c>
      <c r="H16" s="39">
        <f t="shared" si="0"/>
        <v>200</v>
      </c>
      <c r="I16" s="39">
        <f t="shared" si="1"/>
        <v>59333.333333333336</v>
      </c>
      <c r="J16" s="39">
        <f t="shared" si="10"/>
        <v>19333.333333333336</v>
      </c>
      <c r="K16" s="64">
        <v>5000</v>
      </c>
      <c r="L16" s="138">
        <f t="shared" si="3"/>
        <v>19333.333333333336</v>
      </c>
      <c r="M16" s="138">
        <f t="shared" si="4"/>
        <v>69894.166666666672</v>
      </c>
      <c r="N16" s="138">
        <f t="shared" si="5"/>
        <v>29894.166666666672</v>
      </c>
      <c r="O16" s="136">
        <f>'MayJune working'!M16</f>
        <v>5000</v>
      </c>
      <c r="P16" s="39">
        <f t="shared" si="6"/>
        <v>19333.333333333336</v>
      </c>
      <c r="Q16" s="40">
        <f t="shared" si="7"/>
        <v>235.59831460674158</v>
      </c>
      <c r="T16" s="27"/>
      <c r="U16" s="193">
        <v>3500</v>
      </c>
      <c r="V16" s="23">
        <f t="shared" si="8"/>
        <v>33394.166666666672</v>
      </c>
    </row>
    <row r="17" spans="1:22">
      <c r="A17" s="70" t="s">
        <v>104</v>
      </c>
      <c r="B17" s="137">
        <f>SUM(J6:J36)</f>
        <v>238533.33333333346</v>
      </c>
      <c r="C17" s="137">
        <f>SUM(J6:J36)</f>
        <v>238533.33333333346</v>
      </c>
      <c r="D17" s="54"/>
      <c r="E17" s="70" t="s">
        <v>98</v>
      </c>
      <c r="F17" s="190">
        <v>43597</v>
      </c>
      <c r="G17" s="45" t="s">
        <v>37</v>
      </c>
      <c r="H17" s="39">
        <f t="shared" si="0"/>
        <v>100</v>
      </c>
      <c r="I17" s="39">
        <f t="shared" si="1"/>
        <v>29666.666666666668</v>
      </c>
      <c r="J17" s="39">
        <f t="shared" si="10"/>
        <v>0</v>
      </c>
      <c r="K17" s="97">
        <v>5300</v>
      </c>
      <c r="L17" s="138">
        <f t="shared" si="3"/>
        <v>-12733.333333333332</v>
      </c>
      <c r="M17" s="138">
        <f t="shared" si="4"/>
        <v>69894.166666666672</v>
      </c>
      <c r="N17" s="138">
        <f t="shared" si="5"/>
        <v>0</v>
      </c>
      <c r="O17" s="136">
        <f>'MayJune working'!M17</f>
        <v>5300</v>
      </c>
      <c r="P17" s="39">
        <f t="shared" si="6"/>
        <v>-12733.333333333332</v>
      </c>
      <c r="Q17" s="40">
        <f t="shared" si="7"/>
        <v>142.92134831460675</v>
      </c>
      <c r="R17" s="34"/>
      <c r="S17" s="34"/>
      <c r="T17" s="87"/>
      <c r="U17" s="193">
        <v>0</v>
      </c>
      <c r="V17" s="23">
        <f t="shared" si="8"/>
        <v>0</v>
      </c>
    </row>
    <row r="18" spans="1:22">
      <c r="A18" s="70" t="s">
        <v>105</v>
      </c>
      <c r="B18" s="143">
        <f t="shared" ref="B18:C18" si="11">B17/B16</f>
        <v>1.3259218084120814</v>
      </c>
      <c r="C18" s="143">
        <f t="shared" si="11"/>
        <v>1.3259218084120814</v>
      </c>
      <c r="D18" s="54"/>
      <c r="E18" s="54"/>
      <c r="F18" s="188">
        <v>43598</v>
      </c>
      <c r="G18" s="51" t="s">
        <v>41</v>
      </c>
      <c r="H18" s="39">
        <f t="shared" si="0"/>
        <v>200</v>
      </c>
      <c r="I18" s="39">
        <f t="shared" si="1"/>
        <v>59333.333333333336</v>
      </c>
      <c r="J18" s="39">
        <f t="shared" si="10"/>
        <v>7333.3333333333358</v>
      </c>
      <c r="K18" s="64">
        <v>6500</v>
      </c>
      <c r="L18" s="138">
        <f t="shared" si="3"/>
        <v>7333.3333333333358</v>
      </c>
      <c r="M18" s="138">
        <f t="shared" si="4"/>
        <v>69894.166666666672</v>
      </c>
      <c r="N18" s="138">
        <f t="shared" si="5"/>
        <v>17894.166666666672</v>
      </c>
      <c r="O18" s="136">
        <f>'MayJune working'!M18</f>
        <v>6500</v>
      </c>
      <c r="P18" s="39">
        <f t="shared" si="6"/>
        <v>7333.3333333333358</v>
      </c>
      <c r="Q18" s="40">
        <f t="shared" si="7"/>
        <v>235.59831460674158</v>
      </c>
      <c r="T18" s="27"/>
      <c r="U18" s="193">
        <v>0</v>
      </c>
      <c r="V18" s="23">
        <f t="shared" si="8"/>
        <v>17894.166666666672</v>
      </c>
    </row>
    <row r="19" spans="1:22">
      <c r="A19" s="70" t="s">
        <v>106</v>
      </c>
      <c r="B19" s="143"/>
      <c r="C19" s="144">
        <v>2.5</v>
      </c>
      <c r="D19" s="54"/>
      <c r="E19" s="70"/>
      <c r="F19" s="188">
        <v>43599</v>
      </c>
      <c r="G19" s="38" t="s">
        <v>46</v>
      </c>
      <c r="H19" s="46">
        <f t="shared" si="0"/>
        <v>200</v>
      </c>
      <c r="I19" s="46">
        <f t="shared" si="1"/>
        <v>59333.333333333336</v>
      </c>
      <c r="J19" s="46">
        <f t="shared" si="10"/>
        <v>11333.333333333336</v>
      </c>
      <c r="K19" s="64">
        <v>6000</v>
      </c>
      <c r="L19" s="142">
        <f t="shared" si="3"/>
        <v>11333.333333333336</v>
      </c>
      <c r="M19" s="142">
        <f t="shared" si="4"/>
        <v>69894.166666666672</v>
      </c>
      <c r="N19" s="138">
        <f t="shared" si="5"/>
        <v>21894.166666666672</v>
      </c>
      <c r="O19" s="136">
        <f>'MayJune working'!M19</f>
        <v>6000</v>
      </c>
      <c r="P19" s="46">
        <f t="shared" si="6"/>
        <v>11333.333333333336</v>
      </c>
      <c r="Q19" s="48">
        <f t="shared" si="7"/>
        <v>235.59831460674158</v>
      </c>
      <c r="T19" s="27"/>
      <c r="U19" s="193">
        <v>1500</v>
      </c>
      <c r="V19" s="23">
        <f t="shared" si="8"/>
        <v>23394.166666666672</v>
      </c>
    </row>
    <row r="20" spans="1:22">
      <c r="A20" s="70" t="s">
        <v>107</v>
      </c>
      <c r="B20" s="137"/>
      <c r="C20" s="137">
        <f>IF(C18&lt;C19,(C16*C19-C17)/(C14-COUNTIF(E6:E36,"Break")),0)</f>
        <v>10560.833333333327</v>
      </c>
      <c r="D20" s="54"/>
      <c r="E20" s="70"/>
      <c r="F20" s="188">
        <v>43600</v>
      </c>
      <c r="G20" s="38" t="s">
        <v>49</v>
      </c>
      <c r="H20" s="105">
        <f t="shared" si="0"/>
        <v>200</v>
      </c>
      <c r="I20" s="105">
        <f t="shared" si="1"/>
        <v>59333.333333333336</v>
      </c>
      <c r="J20" s="105">
        <v>5000</v>
      </c>
      <c r="K20" s="64">
        <v>5800</v>
      </c>
      <c r="L20" s="136">
        <f t="shared" si="3"/>
        <v>12933.333333333336</v>
      </c>
      <c r="M20" s="136">
        <f t="shared" si="4"/>
        <v>69894.166666666672</v>
      </c>
      <c r="N20" s="138">
        <f t="shared" si="5"/>
        <v>23494.166666666672</v>
      </c>
      <c r="O20" s="136">
        <f>'MayJune working'!M20</f>
        <v>5800</v>
      </c>
      <c r="P20" s="105">
        <f t="shared" si="6"/>
        <v>12933.333333333336</v>
      </c>
      <c r="Q20" s="189">
        <f t="shared" si="7"/>
        <v>235.59831460674158</v>
      </c>
      <c r="T20" s="27"/>
      <c r="U20" s="193">
        <v>2500</v>
      </c>
      <c r="V20" s="23">
        <f t="shared" si="8"/>
        <v>25994.166666666672</v>
      </c>
    </row>
    <row r="21" spans="1:22">
      <c r="A21" s="70" t="s">
        <v>109</v>
      </c>
      <c r="B21" s="137"/>
      <c r="C21" s="137">
        <f>C20/C11</f>
        <v>35.598314606741546</v>
      </c>
      <c r="D21" s="54"/>
      <c r="E21" s="70"/>
      <c r="F21" s="188">
        <v>43601</v>
      </c>
      <c r="G21" s="38" t="s">
        <v>51</v>
      </c>
      <c r="H21" s="39">
        <f t="shared" si="0"/>
        <v>200</v>
      </c>
      <c r="I21" s="39">
        <f t="shared" si="1"/>
        <v>59333.333333333336</v>
      </c>
      <c r="J21" s="39">
        <v>0</v>
      </c>
      <c r="K21" s="64">
        <v>5500</v>
      </c>
      <c r="L21" s="138">
        <f t="shared" si="3"/>
        <v>15333.333333333336</v>
      </c>
      <c r="M21" s="138">
        <f t="shared" si="4"/>
        <v>69894.166666666672</v>
      </c>
      <c r="N21" s="138">
        <f t="shared" si="5"/>
        <v>25894.166666666672</v>
      </c>
      <c r="O21" s="136">
        <f>'MayJune working'!M21</f>
        <v>5500</v>
      </c>
      <c r="P21" s="39">
        <f t="shared" si="6"/>
        <v>15333.333333333336</v>
      </c>
      <c r="Q21" s="40">
        <f t="shared" si="7"/>
        <v>235.59831460674158</v>
      </c>
      <c r="T21" s="27"/>
      <c r="U21" s="193">
        <v>3500</v>
      </c>
      <c r="V21" s="23">
        <f t="shared" si="8"/>
        <v>29394.166666666672</v>
      </c>
    </row>
    <row r="22" spans="1:22">
      <c r="A22" s="70" t="s">
        <v>110</v>
      </c>
      <c r="B22" s="137"/>
      <c r="C22" s="147">
        <f>C21+C6</f>
        <v>235.59831460674155</v>
      </c>
      <c r="D22" s="54"/>
      <c r="E22" s="54"/>
      <c r="F22" s="188">
        <v>43602</v>
      </c>
      <c r="G22" s="38" t="s">
        <v>29</v>
      </c>
      <c r="H22" s="39">
        <f t="shared" si="0"/>
        <v>200</v>
      </c>
      <c r="I22" s="39">
        <f t="shared" si="1"/>
        <v>59333.333333333336</v>
      </c>
      <c r="J22" s="39">
        <v>0</v>
      </c>
      <c r="K22" s="64">
        <v>5500</v>
      </c>
      <c r="L22" s="138">
        <f t="shared" si="3"/>
        <v>15333.333333333336</v>
      </c>
      <c r="M22" s="138">
        <f t="shared" si="4"/>
        <v>69894.166666666672</v>
      </c>
      <c r="N22" s="138">
        <f t="shared" si="5"/>
        <v>25894.166666666672</v>
      </c>
      <c r="O22" s="136">
        <f>'MayJune working'!M22</f>
        <v>5500</v>
      </c>
      <c r="P22" s="39">
        <f t="shared" si="6"/>
        <v>15333.333333333336</v>
      </c>
      <c r="Q22" s="40">
        <f t="shared" si="7"/>
        <v>235.59831460674158</v>
      </c>
      <c r="T22" s="27"/>
      <c r="U22" s="193">
        <v>4300</v>
      </c>
      <c r="V22" s="23">
        <f t="shared" si="8"/>
        <v>30194.166666666672</v>
      </c>
    </row>
    <row r="23" spans="1:22">
      <c r="A23" s="70" t="s">
        <v>110</v>
      </c>
      <c r="B23" s="54"/>
      <c r="C23" s="147">
        <f>MAX(Q6:Q35)</f>
        <v>249.08146067415731</v>
      </c>
      <c r="D23" s="54"/>
      <c r="E23" s="70"/>
      <c r="F23" s="188">
        <v>43603</v>
      </c>
      <c r="G23" s="38" t="s">
        <v>33</v>
      </c>
      <c r="H23" s="39">
        <f t="shared" si="0"/>
        <v>200</v>
      </c>
      <c r="I23" s="39">
        <f t="shared" si="1"/>
        <v>59333.333333333336</v>
      </c>
      <c r="J23" s="39">
        <v>0</v>
      </c>
      <c r="K23" s="64">
        <v>5000</v>
      </c>
      <c r="L23" s="138">
        <f t="shared" si="3"/>
        <v>19333.333333333336</v>
      </c>
      <c r="M23" s="138">
        <f t="shared" si="4"/>
        <v>69894.166666666672</v>
      </c>
      <c r="N23" s="138">
        <f t="shared" si="5"/>
        <v>29894.166666666672</v>
      </c>
      <c r="O23" s="136">
        <f>'MayJune working'!M23</f>
        <v>5000</v>
      </c>
      <c r="P23" s="39">
        <f t="shared" si="6"/>
        <v>19333.333333333336</v>
      </c>
      <c r="Q23" s="40">
        <f t="shared" si="7"/>
        <v>235.59831460674158</v>
      </c>
      <c r="T23" s="27"/>
      <c r="U23" s="193">
        <v>6000</v>
      </c>
      <c r="V23" s="23">
        <f t="shared" si="8"/>
        <v>35894.166666666672</v>
      </c>
    </row>
    <row r="24" spans="1:22">
      <c r="A24" s="54"/>
      <c r="B24" s="54"/>
      <c r="C24" s="54"/>
      <c r="D24" s="54"/>
      <c r="E24" s="70" t="s">
        <v>98</v>
      </c>
      <c r="F24" s="190">
        <v>43604</v>
      </c>
      <c r="G24" s="45" t="s">
        <v>37</v>
      </c>
      <c r="H24" s="39">
        <f t="shared" si="0"/>
        <v>100</v>
      </c>
      <c r="I24" s="39">
        <f t="shared" si="1"/>
        <v>29666.666666666668</v>
      </c>
      <c r="J24" s="39">
        <f t="shared" ref="J24:J37" si="12">IF(E24="break",0,L24)</f>
        <v>0</v>
      </c>
      <c r="K24" s="97">
        <v>5300</v>
      </c>
      <c r="L24" s="138">
        <f t="shared" si="3"/>
        <v>-12733.333333333332</v>
      </c>
      <c r="M24" s="138">
        <f t="shared" si="4"/>
        <v>69894.166666666672</v>
      </c>
      <c r="N24" s="138">
        <f t="shared" si="5"/>
        <v>0</v>
      </c>
      <c r="O24" s="136">
        <f>'MayJune working'!M24</f>
        <v>5300</v>
      </c>
      <c r="P24" s="39">
        <f t="shared" si="6"/>
        <v>-12733.333333333332</v>
      </c>
      <c r="Q24" s="40">
        <f t="shared" si="7"/>
        <v>142.92134831460675</v>
      </c>
      <c r="R24" s="34"/>
      <c r="S24" s="34"/>
      <c r="T24" s="87"/>
      <c r="U24" s="193">
        <v>0</v>
      </c>
      <c r="V24" s="23">
        <f t="shared" si="8"/>
        <v>0</v>
      </c>
    </row>
    <row r="25" spans="1:22">
      <c r="A25" s="70" t="s">
        <v>111</v>
      </c>
      <c r="B25" s="54"/>
      <c r="C25" s="137">
        <f>SUM(N6:N36)</f>
        <v>507683.33333333366</v>
      </c>
      <c r="D25" s="54">
        <f>C25/C55</f>
        <v>2.6762431910033402</v>
      </c>
      <c r="E25" s="54"/>
      <c r="F25" s="188">
        <v>43605</v>
      </c>
      <c r="G25" s="51" t="s">
        <v>41</v>
      </c>
      <c r="H25" s="39">
        <f t="shared" si="0"/>
        <v>200</v>
      </c>
      <c r="I25" s="39">
        <f t="shared" si="1"/>
        <v>59333.333333333336</v>
      </c>
      <c r="J25" s="39">
        <f t="shared" si="12"/>
        <v>7333.3333333333358</v>
      </c>
      <c r="K25" s="64">
        <v>6500</v>
      </c>
      <c r="L25" s="138">
        <f t="shared" si="3"/>
        <v>7333.3333333333358</v>
      </c>
      <c r="M25" s="138">
        <f t="shared" si="4"/>
        <v>69894.166666666672</v>
      </c>
      <c r="N25" s="138">
        <f t="shared" si="5"/>
        <v>17894.166666666672</v>
      </c>
      <c r="O25" s="136">
        <f>'MayJune working'!M25</f>
        <v>6500</v>
      </c>
      <c r="P25" s="39">
        <f t="shared" si="6"/>
        <v>7333.3333333333358</v>
      </c>
      <c r="Q25" s="40">
        <f t="shared" si="7"/>
        <v>235.59831460674158</v>
      </c>
      <c r="T25" s="192" t="s">
        <v>136</v>
      </c>
      <c r="U25" s="193">
        <v>0</v>
      </c>
      <c r="V25" s="23">
        <f t="shared" si="8"/>
        <v>17894.166666666672</v>
      </c>
    </row>
    <row r="26" spans="1:22">
      <c r="A26" s="54"/>
      <c r="B26" s="54"/>
      <c r="C26" s="54">
        <f>C25/C16</f>
        <v>2.8220307578284252</v>
      </c>
      <c r="D26" s="54"/>
      <c r="E26" s="70"/>
      <c r="F26" s="188">
        <v>43606</v>
      </c>
      <c r="G26" s="38" t="s">
        <v>46</v>
      </c>
      <c r="H26" s="46">
        <f t="shared" si="0"/>
        <v>200</v>
      </c>
      <c r="I26" s="46">
        <f t="shared" si="1"/>
        <v>59333.333333333336</v>
      </c>
      <c r="J26" s="46">
        <f t="shared" si="12"/>
        <v>11333.333333333336</v>
      </c>
      <c r="K26" s="64">
        <v>6000</v>
      </c>
      <c r="L26" s="142">
        <f t="shared" si="3"/>
        <v>11333.333333333336</v>
      </c>
      <c r="M26" s="142">
        <f t="shared" si="4"/>
        <v>69894.166666666672</v>
      </c>
      <c r="N26" s="138">
        <f t="shared" si="5"/>
        <v>21894.166666666672</v>
      </c>
      <c r="O26" s="136">
        <f>'MayJune working'!M26</f>
        <v>6000</v>
      </c>
      <c r="P26" s="46">
        <f t="shared" si="6"/>
        <v>11333.333333333336</v>
      </c>
      <c r="Q26" s="48">
        <f t="shared" si="7"/>
        <v>235.59831460674158</v>
      </c>
      <c r="T26" s="192" t="s">
        <v>136</v>
      </c>
      <c r="U26" s="193">
        <v>0</v>
      </c>
      <c r="V26" s="23">
        <f t="shared" si="8"/>
        <v>21894.166666666672</v>
      </c>
    </row>
    <row r="27" spans="1:22">
      <c r="A27" s="54"/>
      <c r="B27" s="54"/>
      <c r="C27" s="54"/>
      <c r="D27" s="54"/>
      <c r="E27" s="70" t="s">
        <v>98</v>
      </c>
      <c r="F27" s="188">
        <v>43607</v>
      </c>
      <c r="G27" s="38" t="s">
        <v>49</v>
      </c>
      <c r="H27" s="105">
        <f t="shared" si="0"/>
        <v>100</v>
      </c>
      <c r="I27" s="105">
        <f t="shared" si="1"/>
        <v>29666.666666666668</v>
      </c>
      <c r="J27" s="105">
        <f t="shared" si="12"/>
        <v>0</v>
      </c>
      <c r="K27" s="64">
        <v>5800</v>
      </c>
      <c r="L27" s="136">
        <f t="shared" si="3"/>
        <v>-16733.333333333332</v>
      </c>
      <c r="M27" s="136">
        <f t="shared" si="4"/>
        <v>69894.166666666672</v>
      </c>
      <c r="N27" s="138">
        <f t="shared" si="5"/>
        <v>0</v>
      </c>
      <c r="O27" s="136">
        <f>'MayJune working'!M27</f>
        <v>8000</v>
      </c>
      <c r="P27" s="105">
        <f t="shared" si="6"/>
        <v>-16733.333333333332</v>
      </c>
      <c r="Q27" s="189">
        <f t="shared" si="7"/>
        <v>215.73033707865167</v>
      </c>
      <c r="T27" s="192" t="s">
        <v>136</v>
      </c>
      <c r="U27" s="193">
        <v>0</v>
      </c>
      <c r="V27" s="23">
        <f t="shared" si="8"/>
        <v>0</v>
      </c>
    </row>
    <row r="28" spans="1:22">
      <c r="A28" s="54"/>
      <c r="B28" s="54"/>
      <c r="C28" s="54"/>
      <c r="D28" s="54"/>
      <c r="E28" s="54"/>
      <c r="F28" s="188">
        <v>43608</v>
      </c>
      <c r="G28" s="38" t="s">
        <v>51</v>
      </c>
      <c r="H28" s="39">
        <f t="shared" si="0"/>
        <v>200</v>
      </c>
      <c r="I28" s="39">
        <f t="shared" si="1"/>
        <v>59333.333333333336</v>
      </c>
      <c r="J28" s="39">
        <f t="shared" si="12"/>
        <v>11333.333333333336</v>
      </c>
      <c r="K28" s="64">
        <v>6000</v>
      </c>
      <c r="L28" s="138">
        <f t="shared" si="3"/>
        <v>11333.333333333336</v>
      </c>
      <c r="M28" s="138">
        <f t="shared" si="4"/>
        <v>69894.166666666672</v>
      </c>
      <c r="N28" s="138">
        <f t="shared" si="5"/>
        <v>21894.166666666672</v>
      </c>
      <c r="O28" s="136">
        <f>'MayJune working'!M28</f>
        <v>6000</v>
      </c>
      <c r="P28" s="39">
        <f t="shared" si="6"/>
        <v>11333.333333333336</v>
      </c>
      <c r="Q28" s="40">
        <f t="shared" si="7"/>
        <v>235.59831460674158</v>
      </c>
      <c r="R28" s="4"/>
      <c r="S28" s="4"/>
      <c r="T28" s="192" t="s">
        <v>137</v>
      </c>
      <c r="U28" s="193">
        <v>1000</v>
      </c>
      <c r="V28" s="23">
        <f t="shared" si="8"/>
        <v>22894.166666666672</v>
      </c>
    </row>
    <row r="29" spans="1:22">
      <c r="A29" s="54"/>
      <c r="B29" s="54"/>
      <c r="C29" s="54"/>
      <c r="D29" s="54"/>
      <c r="E29" s="54"/>
      <c r="F29" s="188">
        <v>43609</v>
      </c>
      <c r="G29" s="38" t="s">
        <v>29</v>
      </c>
      <c r="H29" s="39">
        <f t="shared" si="0"/>
        <v>200</v>
      </c>
      <c r="I29" s="39">
        <f t="shared" si="1"/>
        <v>59333.333333333336</v>
      </c>
      <c r="J29" s="39">
        <f t="shared" si="12"/>
        <v>15333.333333333336</v>
      </c>
      <c r="K29" s="64">
        <v>5500</v>
      </c>
      <c r="L29" s="138">
        <f t="shared" si="3"/>
        <v>15333.333333333336</v>
      </c>
      <c r="M29" s="138">
        <f t="shared" si="4"/>
        <v>69894.166666666672</v>
      </c>
      <c r="N29" s="138">
        <f t="shared" si="5"/>
        <v>25894.166666666672</v>
      </c>
      <c r="O29" s="136">
        <f>'MayJune working'!M29</f>
        <v>5500</v>
      </c>
      <c r="P29" s="39">
        <f t="shared" si="6"/>
        <v>15333.333333333336</v>
      </c>
      <c r="Q29" s="40">
        <f t="shared" si="7"/>
        <v>235.59831460674158</v>
      </c>
      <c r="T29" s="27"/>
      <c r="U29" s="193">
        <v>3800</v>
      </c>
      <c r="V29" s="23">
        <f t="shared" si="8"/>
        <v>29694.166666666672</v>
      </c>
    </row>
    <row r="30" spans="1:22">
      <c r="A30" s="54"/>
      <c r="B30" s="54"/>
      <c r="C30" s="54"/>
      <c r="D30" s="54"/>
      <c r="E30" s="54"/>
      <c r="F30" s="188">
        <v>43610</v>
      </c>
      <c r="G30" s="38" t="s">
        <v>33</v>
      </c>
      <c r="H30" s="39">
        <f t="shared" si="0"/>
        <v>200</v>
      </c>
      <c r="I30" s="39">
        <f t="shared" si="1"/>
        <v>59333.333333333336</v>
      </c>
      <c r="J30" s="39">
        <f t="shared" si="12"/>
        <v>19333.333333333336</v>
      </c>
      <c r="K30" s="64">
        <v>5000</v>
      </c>
      <c r="L30" s="138">
        <f t="shared" si="3"/>
        <v>19333.333333333336</v>
      </c>
      <c r="M30" s="138">
        <f t="shared" si="4"/>
        <v>69894.166666666672</v>
      </c>
      <c r="N30" s="138">
        <f t="shared" si="5"/>
        <v>29894.166666666672</v>
      </c>
      <c r="O30" s="136">
        <f>'MayJune working'!M30</f>
        <v>5000</v>
      </c>
      <c r="P30" s="39">
        <f t="shared" si="6"/>
        <v>19333.333333333336</v>
      </c>
      <c r="Q30" s="40">
        <f t="shared" si="7"/>
        <v>235.59831460674158</v>
      </c>
      <c r="T30" s="27"/>
      <c r="U30" s="193">
        <v>4500</v>
      </c>
      <c r="V30" s="23">
        <f t="shared" si="8"/>
        <v>34394.166666666672</v>
      </c>
    </row>
    <row r="31" spans="1:22">
      <c r="A31" s="54"/>
      <c r="B31" s="54"/>
      <c r="C31" s="54">
        <f>C55*2.5</f>
        <v>474250</v>
      </c>
      <c r="D31" s="54"/>
      <c r="E31" s="70" t="s">
        <v>98</v>
      </c>
      <c r="F31" s="190">
        <v>43611</v>
      </c>
      <c r="G31" s="45" t="s">
        <v>37</v>
      </c>
      <c r="H31" s="39">
        <f t="shared" si="0"/>
        <v>100</v>
      </c>
      <c r="I31" s="39">
        <f t="shared" si="1"/>
        <v>29666.666666666668</v>
      </c>
      <c r="J31" s="39">
        <f t="shared" si="12"/>
        <v>0</v>
      </c>
      <c r="K31" s="97">
        <v>5300</v>
      </c>
      <c r="L31" s="138">
        <f t="shared" si="3"/>
        <v>-12733.333333333332</v>
      </c>
      <c r="M31" s="138">
        <f t="shared" si="4"/>
        <v>69894.166666666672</v>
      </c>
      <c r="N31" s="138">
        <f t="shared" si="5"/>
        <v>0</v>
      </c>
      <c r="O31" s="136">
        <f>'MayJune working'!M31</f>
        <v>5300</v>
      </c>
      <c r="P31" s="39">
        <f t="shared" si="6"/>
        <v>-12733.333333333332</v>
      </c>
      <c r="Q31" s="40">
        <f t="shared" si="7"/>
        <v>142.92134831460675</v>
      </c>
      <c r="R31" s="34"/>
      <c r="S31" s="34"/>
      <c r="T31" s="87"/>
      <c r="U31" s="193">
        <v>0</v>
      </c>
      <c r="V31" s="23">
        <f t="shared" si="8"/>
        <v>0</v>
      </c>
    </row>
    <row r="32" spans="1:22">
      <c r="A32" s="54"/>
      <c r="B32" s="54"/>
      <c r="C32" s="54"/>
      <c r="D32" s="54"/>
      <c r="E32" s="70" t="s">
        <v>98</v>
      </c>
      <c r="F32" s="188">
        <v>43612</v>
      </c>
      <c r="G32" s="51" t="s">
        <v>41</v>
      </c>
      <c r="H32" s="39">
        <f t="shared" si="0"/>
        <v>100</v>
      </c>
      <c r="I32" s="39">
        <f t="shared" si="1"/>
        <v>29666.666666666668</v>
      </c>
      <c r="J32" s="39">
        <f t="shared" si="12"/>
        <v>0</v>
      </c>
      <c r="K32" s="64">
        <v>6500</v>
      </c>
      <c r="L32" s="138">
        <f t="shared" si="3"/>
        <v>-22333.333333333332</v>
      </c>
      <c r="M32" s="138">
        <f t="shared" si="4"/>
        <v>69894.166666666672</v>
      </c>
      <c r="N32" s="138">
        <f t="shared" si="5"/>
        <v>0</v>
      </c>
      <c r="O32" s="136">
        <f>'MayJune working'!M32</f>
        <v>7300</v>
      </c>
      <c r="P32" s="39">
        <f t="shared" si="6"/>
        <v>-22333.333333333332</v>
      </c>
      <c r="Q32" s="40">
        <f t="shared" si="7"/>
        <v>196.85393258426964</v>
      </c>
      <c r="S32" s="4" t="s">
        <v>138</v>
      </c>
      <c r="T32" s="27"/>
      <c r="U32" s="193">
        <v>0</v>
      </c>
      <c r="V32" s="23">
        <f t="shared" si="8"/>
        <v>0</v>
      </c>
    </row>
    <row r="33" spans="1:22">
      <c r="A33" s="54"/>
      <c r="B33" s="54"/>
      <c r="C33" s="54"/>
      <c r="D33" s="54"/>
      <c r="E33" s="70"/>
      <c r="F33" s="188">
        <v>43613</v>
      </c>
      <c r="G33" s="38" t="s">
        <v>46</v>
      </c>
      <c r="H33" s="46">
        <f t="shared" si="0"/>
        <v>200</v>
      </c>
      <c r="I33" s="46">
        <f t="shared" si="1"/>
        <v>59333.333333333336</v>
      </c>
      <c r="J33" s="46">
        <f t="shared" si="12"/>
        <v>11333.333333333336</v>
      </c>
      <c r="K33" s="64">
        <v>6000</v>
      </c>
      <c r="L33" s="142">
        <f t="shared" si="3"/>
        <v>11333.333333333336</v>
      </c>
      <c r="M33" s="142">
        <f t="shared" si="4"/>
        <v>69894.166666666672</v>
      </c>
      <c r="N33" s="138">
        <f t="shared" si="5"/>
        <v>21894.166666666672</v>
      </c>
      <c r="O33" s="136">
        <f>'MayJune working'!M33</f>
        <v>6500</v>
      </c>
      <c r="P33" s="46">
        <f t="shared" si="6"/>
        <v>11333.333333333336</v>
      </c>
      <c r="Q33" s="48">
        <f t="shared" si="7"/>
        <v>249.08146067415731</v>
      </c>
      <c r="S33" s="4" t="s">
        <v>138</v>
      </c>
      <c r="T33" s="27"/>
      <c r="U33" s="193">
        <v>1500</v>
      </c>
      <c r="V33" s="23">
        <f t="shared" si="8"/>
        <v>23394.166666666672</v>
      </c>
    </row>
    <row r="34" spans="1:22">
      <c r="A34" s="54"/>
      <c r="B34" s="54"/>
      <c r="C34" s="54"/>
      <c r="D34" s="54"/>
      <c r="E34" s="54"/>
      <c r="F34" s="188">
        <v>43614</v>
      </c>
      <c r="G34" s="38" t="s">
        <v>49</v>
      </c>
      <c r="H34" s="105">
        <f t="shared" si="0"/>
        <v>200</v>
      </c>
      <c r="I34" s="105">
        <f t="shared" si="1"/>
        <v>59333.333333333336</v>
      </c>
      <c r="J34" s="105">
        <f t="shared" si="12"/>
        <v>12933.333333333336</v>
      </c>
      <c r="K34" s="64">
        <v>5800</v>
      </c>
      <c r="L34" s="136">
        <f t="shared" si="3"/>
        <v>12933.333333333336</v>
      </c>
      <c r="M34" s="136">
        <f t="shared" si="4"/>
        <v>69894.166666666672</v>
      </c>
      <c r="N34" s="138">
        <f t="shared" si="5"/>
        <v>23494.166666666672</v>
      </c>
      <c r="O34" s="136">
        <f>'MayJune working'!M34</f>
        <v>6000</v>
      </c>
      <c r="P34" s="105">
        <f t="shared" si="6"/>
        <v>12933.333333333336</v>
      </c>
      <c r="Q34" s="189">
        <f t="shared" si="7"/>
        <v>240.99157303370788</v>
      </c>
      <c r="S34" s="4" t="s">
        <v>138</v>
      </c>
      <c r="T34" s="27"/>
      <c r="U34" s="193">
        <v>0</v>
      </c>
      <c r="V34" s="23">
        <f t="shared" si="8"/>
        <v>23494.166666666672</v>
      </c>
    </row>
    <row r="35" spans="1:22">
      <c r="A35" s="54"/>
      <c r="B35" s="54"/>
      <c r="C35" s="54"/>
      <c r="D35" s="54"/>
      <c r="E35" s="70" t="s">
        <v>98</v>
      </c>
      <c r="F35" s="188">
        <v>43615</v>
      </c>
      <c r="G35" s="38" t="s">
        <v>51</v>
      </c>
      <c r="H35" s="46">
        <f t="shared" si="0"/>
        <v>100</v>
      </c>
      <c r="I35" s="46">
        <f t="shared" si="1"/>
        <v>29666.666666666668</v>
      </c>
      <c r="J35" s="46">
        <f t="shared" si="12"/>
        <v>0</v>
      </c>
      <c r="K35" s="64">
        <v>5500</v>
      </c>
      <c r="L35" s="142">
        <f t="shared" si="3"/>
        <v>-14333.333333333332</v>
      </c>
      <c r="M35" s="142">
        <f t="shared" si="4"/>
        <v>69894.166666666672</v>
      </c>
      <c r="N35" s="138">
        <f t="shared" si="5"/>
        <v>0</v>
      </c>
      <c r="O35" s="136">
        <f>'MayJune working'!M35</f>
        <v>7000</v>
      </c>
      <c r="P35" s="46">
        <f t="shared" si="6"/>
        <v>-14333.333333333332</v>
      </c>
      <c r="Q35" s="48">
        <f t="shared" si="7"/>
        <v>188.76404494382021</v>
      </c>
      <c r="S35" s="4" t="s">
        <v>139</v>
      </c>
      <c r="T35" s="27"/>
      <c r="U35" s="193">
        <v>1000</v>
      </c>
      <c r="V35" s="23">
        <f t="shared" si="8"/>
        <v>1000</v>
      </c>
    </row>
    <row r="36" spans="1:22">
      <c r="A36" s="54"/>
      <c r="B36" s="54"/>
      <c r="C36" s="54"/>
      <c r="D36" s="54"/>
      <c r="E36" s="54"/>
      <c r="F36" s="190">
        <v>43616</v>
      </c>
      <c r="G36" s="45" t="s">
        <v>29</v>
      </c>
      <c r="H36" s="46">
        <f t="shared" si="0"/>
        <v>200</v>
      </c>
      <c r="I36" s="46">
        <f t="shared" si="1"/>
        <v>59333.333333333336</v>
      </c>
      <c r="J36" s="46">
        <f t="shared" si="12"/>
        <v>15333.333333333336</v>
      </c>
      <c r="K36" s="97">
        <v>5500</v>
      </c>
      <c r="L36" s="142">
        <f t="shared" si="3"/>
        <v>15333.333333333336</v>
      </c>
      <c r="M36" s="142">
        <f t="shared" si="4"/>
        <v>69894.166666666672</v>
      </c>
      <c r="N36" s="138">
        <f t="shared" si="5"/>
        <v>25894.166666666672</v>
      </c>
      <c r="O36" s="136">
        <f>'MayJune working'!M36</f>
        <v>5500</v>
      </c>
      <c r="P36" s="46">
        <f t="shared" si="6"/>
        <v>15333.333333333336</v>
      </c>
      <c r="Q36" s="48">
        <f t="shared" si="7"/>
        <v>235.59831460674158</v>
      </c>
      <c r="R36" s="34"/>
      <c r="S36" s="34"/>
      <c r="T36" s="87"/>
      <c r="U36" s="193">
        <v>3800</v>
      </c>
      <c r="V36" s="23">
        <f t="shared" si="8"/>
        <v>29694.166666666672</v>
      </c>
    </row>
    <row r="37" spans="1:22">
      <c r="H37" s="46"/>
      <c r="I37" s="46"/>
      <c r="J37" s="46">
        <f t="shared" si="12"/>
        <v>0</v>
      </c>
      <c r="Q37" s="125"/>
      <c r="U37" s="193"/>
    </row>
    <row r="38" spans="1:22">
      <c r="Q38" s="125"/>
      <c r="U38" s="193"/>
    </row>
    <row r="39" spans="1:22">
      <c r="Q39" s="125"/>
    </row>
    <row r="40" spans="1:22">
      <c r="Q40" s="125"/>
    </row>
    <row r="41" spans="1:22">
      <c r="Q41" s="125"/>
    </row>
    <row r="42" spans="1:22" ht="15.75" customHeight="1">
      <c r="A42" s="54"/>
      <c r="B42" s="54"/>
      <c r="C42" s="54"/>
      <c r="D42" s="54"/>
      <c r="E42" s="54"/>
      <c r="F42" s="803"/>
      <c r="G42" s="794"/>
      <c r="H42" s="133"/>
      <c r="I42" s="74" t="s">
        <v>15</v>
      </c>
      <c r="J42" s="810" t="s">
        <v>88</v>
      </c>
      <c r="K42" s="794"/>
      <c r="L42" s="794"/>
      <c r="M42" s="14"/>
      <c r="N42" s="793" t="s">
        <v>11</v>
      </c>
      <c r="O42" s="794"/>
      <c r="P42" s="794"/>
      <c r="Q42" s="125"/>
    </row>
    <row r="43" spans="1:22">
      <c r="A43" s="54"/>
      <c r="B43" s="54"/>
      <c r="C43" s="54"/>
      <c r="D43" s="54"/>
      <c r="E43" s="54"/>
      <c r="F43" s="789" t="s">
        <v>10</v>
      </c>
      <c r="G43" s="788"/>
      <c r="H43" s="86"/>
      <c r="I43" s="807" t="s">
        <v>65</v>
      </c>
      <c r="J43" s="80" t="s">
        <v>3</v>
      </c>
      <c r="K43" s="785" t="s">
        <v>66</v>
      </c>
      <c r="L43" s="802"/>
      <c r="M43" s="134"/>
      <c r="N43" s="80" t="s">
        <v>3</v>
      </c>
      <c r="O43" s="785" t="s">
        <v>66</v>
      </c>
      <c r="P43" s="802"/>
      <c r="Q43" s="827" t="s">
        <v>89</v>
      </c>
      <c r="R43" s="826" t="s">
        <v>129</v>
      </c>
      <c r="S43" s="794"/>
      <c r="T43" s="823"/>
    </row>
    <row r="44" spans="1:22">
      <c r="A44" s="54"/>
      <c r="B44" s="70" t="s">
        <v>90</v>
      </c>
      <c r="C44" s="70" t="s">
        <v>91</v>
      </c>
      <c r="D44" s="54"/>
      <c r="E44" s="54"/>
      <c r="F44" s="791"/>
      <c r="G44" s="786"/>
      <c r="H44" s="81" t="s">
        <v>89</v>
      </c>
      <c r="I44" s="786"/>
      <c r="J44" s="80" t="s">
        <v>63</v>
      </c>
      <c r="K44" s="25" t="s">
        <v>18</v>
      </c>
      <c r="L44" s="81" t="s">
        <v>69</v>
      </c>
      <c r="M44" s="134"/>
      <c r="N44" s="80" t="s">
        <v>63</v>
      </c>
      <c r="O44" s="25" t="s">
        <v>18</v>
      </c>
      <c r="P44" s="81" t="s">
        <v>69</v>
      </c>
      <c r="Q44" s="786"/>
      <c r="R44" s="194" t="s">
        <v>130</v>
      </c>
      <c r="S44" s="153" t="s">
        <v>131</v>
      </c>
      <c r="T44" s="187" t="s">
        <v>132</v>
      </c>
      <c r="V44" s="80" t="s">
        <v>63</v>
      </c>
    </row>
    <row r="45" spans="1:22">
      <c r="A45" s="70" t="s">
        <v>92</v>
      </c>
      <c r="B45" s="135">
        <v>300</v>
      </c>
      <c r="C45" s="135">
        <v>200</v>
      </c>
      <c r="D45" s="54"/>
      <c r="E45" s="54"/>
      <c r="F45" s="188">
        <v>43617</v>
      </c>
      <c r="G45" s="38" t="s">
        <v>33</v>
      </c>
      <c r="H45" s="23">
        <f t="shared" ref="H45:H74" si="13">IF(E45="Break",$C$6/2,$C$6)</f>
        <v>200</v>
      </c>
      <c r="I45" s="23">
        <f t="shared" ref="I45:I74" si="14">$B$11*H45</f>
        <v>59333.333333333336</v>
      </c>
      <c r="J45" s="23">
        <f t="shared" ref="J45:J58" si="15">IF(E45="break",0,L45)</f>
        <v>19333.333333333336</v>
      </c>
      <c r="K45" s="23">
        <f>'MayJune working'!Y6</f>
        <v>5000</v>
      </c>
      <c r="L45" s="23">
        <f t="shared" ref="L45:L74" si="16">I45-K45*$B$9</f>
        <v>19333.333333333336</v>
      </c>
      <c r="M45" s="23">
        <f t="shared" ref="M45:M74" si="17">$C$22*$C$11</f>
        <v>69894.166666666672</v>
      </c>
      <c r="N45" s="195">
        <f t="shared" ref="N45:N74" si="18">IF(E45="Break",J45,(M45-K45*$C$9))</f>
        <v>29894.166666666672</v>
      </c>
      <c r="O45" s="23">
        <f t="shared" ref="O45:P45" si="19">K45</f>
        <v>5000</v>
      </c>
      <c r="P45" s="23">
        <f t="shared" si="19"/>
        <v>19333.333333333336</v>
      </c>
      <c r="Q45" s="125">
        <f t="shared" ref="Q45:Q74" si="20">(N45+O45*$C$9)/$C$11</f>
        <v>235.59831460674158</v>
      </c>
      <c r="T45" s="27"/>
      <c r="U45" s="4">
        <v>4500</v>
      </c>
      <c r="V45" s="23">
        <f t="shared" ref="V45:V75" si="21">N45+U45</f>
        <v>34394.166666666672</v>
      </c>
    </row>
    <row r="46" spans="1:22">
      <c r="A46" s="70" t="s">
        <v>93</v>
      </c>
      <c r="B46" s="135">
        <v>8000</v>
      </c>
      <c r="C46" s="137"/>
      <c r="D46" s="54"/>
      <c r="E46" s="70" t="s">
        <v>98</v>
      </c>
      <c r="F46" s="190">
        <v>43618</v>
      </c>
      <c r="G46" s="45" t="s">
        <v>37</v>
      </c>
      <c r="H46" s="47">
        <f t="shared" si="13"/>
        <v>100</v>
      </c>
      <c r="I46" s="47">
        <f t="shared" si="14"/>
        <v>29666.666666666668</v>
      </c>
      <c r="J46" s="47">
        <f t="shared" si="15"/>
        <v>0</v>
      </c>
      <c r="K46" s="47">
        <f>'MayJune working'!Y7</f>
        <v>5300</v>
      </c>
      <c r="L46" s="47">
        <f t="shared" si="16"/>
        <v>-12733.333333333332</v>
      </c>
      <c r="M46" s="47">
        <f t="shared" si="17"/>
        <v>69894.166666666672</v>
      </c>
      <c r="N46" s="196">
        <f t="shared" si="18"/>
        <v>0</v>
      </c>
      <c r="O46" s="47">
        <f t="shared" ref="O46:P46" si="22">K46</f>
        <v>5300</v>
      </c>
      <c r="P46" s="47">
        <f t="shared" si="22"/>
        <v>-12733.333333333332</v>
      </c>
      <c r="Q46" s="197">
        <f t="shared" si="20"/>
        <v>142.92134831460675</v>
      </c>
      <c r="R46" s="34"/>
      <c r="S46" s="34"/>
      <c r="T46" s="87"/>
      <c r="U46" s="4">
        <v>0</v>
      </c>
      <c r="V46" s="23">
        <f t="shared" si="21"/>
        <v>0</v>
      </c>
    </row>
    <row r="47" spans="1:22">
      <c r="A47" s="70" t="s">
        <v>95</v>
      </c>
      <c r="B47" s="135">
        <v>25000</v>
      </c>
      <c r="C47" s="137"/>
      <c r="D47" s="54"/>
      <c r="E47" s="54"/>
      <c r="F47" s="188">
        <v>43619</v>
      </c>
      <c r="G47" s="51" t="s">
        <v>41</v>
      </c>
      <c r="H47" s="64">
        <f t="shared" si="13"/>
        <v>200</v>
      </c>
      <c r="I47" s="64">
        <f t="shared" si="14"/>
        <v>59333.333333333336</v>
      </c>
      <c r="J47" s="64">
        <f t="shared" si="15"/>
        <v>7333.3333333333358</v>
      </c>
      <c r="K47" s="64">
        <f>'MayJune working'!Y8</f>
        <v>6500</v>
      </c>
      <c r="L47" s="64">
        <f t="shared" si="16"/>
        <v>7333.3333333333358</v>
      </c>
      <c r="M47" s="64">
        <f t="shared" si="17"/>
        <v>69894.166666666672</v>
      </c>
      <c r="N47" s="198">
        <f t="shared" si="18"/>
        <v>17894.166666666672</v>
      </c>
      <c r="O47" s="64">
        <f t="shared" ref="O47:P47" si="23">K47</f>
        <v>6500</v>
      </c>
      <c r="P47" s="64">
        <f t="shared" si="23"/>
        <v>7333.3333333333358</v>
      </c>
      <c r="Q47" s="199">
        <f t="shared" si="20"/>
        <v>235.59831460674158</v>
      </c>
      <c r="S47" s="4" t="s">
        <v>138</v>
      </c>
      <c r="T47" s="27"/>
      <c r="U47" s="4">
        <v>0</v>
      </c>
      <c r="V47" s="23">
        <f t="shared" si="21"/>
        <v>17894.166666666672</v>
      </c>
    </row>
    <row r="48" spans="1:22">
      <c r="A48" s="70" t="s">
        <v>97</v>
      </c>
      <c r="B48" s="135">
        <v>8</v>
      </c>
      <c r="C48" s="135">
        <v>8</v>
      </c>
      <c r="D48" s="54"/>
      <c r="E48" s="70"/>
      <c r="F48" s="188">
        <v>43620</v>
      </c>
      <c r="G48" s="38" t="s">
        <v>46</v>
      </c>
      <c r="H48" s="64">
        <f t="shared" si="13"/>
        <v>200</v>
      </c>
      <c r="I48" s="64">
        <f t="shared" si="14"/>
        <v>59333.333333333336</v>
      </c>
      <c r="J48" s="64">
        <f t="shared" si="15"/>
        <v>15333.333333333336</v>
      </c>
      <c r="K48" s="64">
        <f>'MayJune working'!Y9</f>
        <v>5500</v>
      </c>
      <c r="L48" s="64">
        <f t="shared" si="16"/>
        <v>15333.333333333336</v>
      </c>
      <c r="M48" s="64">
        <f t="shared" si="17"/>
        <v>69894.166666666672</v>
      </c>
      <c r="N48" s="198">
        <f t="shared" si="18"/>
        <v>25894.166666666672</v>
      </c>
      <c r="O48" s="64">
        <f t="shared" ref="O48:P48" si="24">K48</f>
        <v>5500</v>
      </c>
      <c r="P48" s="64">
        <f t="shared" si="24"/>
        <v>15333.333333333336</v>
      </c>
      <c r="Q48" s="199">
        <f t="shared" si="20"/>
        <v>235.59831460674158</v>
      </c>
      <c r="S48" s="4" t="s">
        <v>138</v>
      </c>
      <c r="T48" s="27"/>
      <c r="U48" s="4">
        <v>0</v>
      </c>
      <c r="V48" s="23">
        <f t="shared" si="21"/>
        <v>25894.166666666672</v>
      </c>
    </row>
    <row r="49" spans="1:22">
      <c r="A49" s="70" t="s">
        <v>99</v>
      </c>
      <c r="B49" s="135">
        <f>B46*B48+B47</f>
        <v>89000</v>
      </c>
      <c r="C49" s="137">
        <f>B49/B45*C45</f>
        <v>59333.333333333336</v>
      </c>
      <c r="D49" s="54"/>
      <c r="E49" s="70" t="s">
        <v>108</v>
      </c>
      <c r="F49" s="188">
        <v>43621</v>
      </c>
      <c r="G49" s="38" t="s">
        <v>49</v>
      </c>
      <c r="H49" s="64">
        <f t="shared" si="13"/>
        <v>200</v>
      </c>
      <c r="I49" s="64">
        <f t="shared" si="14"/>
        <v>59333.333333333336</v>
      </c>
      <c r="J49" s="64">
        <f t="shared" si="15"/>
        <v>3333.3333333333358</v>
      </c>
      <c r="K49" s="64">
        <f>'MayJune working'!Y10</f>
        <v>7000</v>
      </c>
      <c r="L49" s="64">
        <f t="shared" si="16"/>
        <v>3333.3333333333358</v>
      </c>
      <c r="M49" s="64">
        <f t="shared" si="17"/>
        <v>69894.166666666672</v>
      </c>
      <c r="N49" s="198">
        <f t="shared" si="18"/>
        <v>13894.166666666672</v>
      </c>
      <c r="O49" s="64">
        <f t="shared" ref="O49:P49" si="25">K49</f>
        <v>7000</v>
      </c>
      <c r="P49" s="64">
        <f t="shared" si="25"/>
        <v>3333.3333333333358</v>
      </c>
      <c r="Q49" s="199">
        <f t="shared" si="20"/>
        <v>235.59831460674158</v>
      </c>
      <c r="S49" s="4" t="s">
        <v>138</v>
      </c>
      <c r="T49" s="192" t="s">
        <v>140</v>
      </c>
      <c r="U49" s="4">
        <v>0</v>
      </c>
      <c r="V49" s="23">
        <f t="shared" si="21"/>
        <v>13894.166666666672</v>
      </c>
    </row>
    <row r="50" spans="1:22">
      <c r="A50" s="70" t="s">
        <v>100</v>
      </c>
      <c r="B50" s="135">
        <f t="shared" ref="B50:C50" si="26">B49/B45</f>
        <v>296.66666666666669</v>
      </c>
      <c r="C50" s="135">
        <f t="shared" si="26"/>
        <v>296.66666666666669</v>
      </c>
      <c r="D50" s="54"/>
      <c r="E50" s="70" t="s">
        <v>98</v>
      </c>
      <c r="F50" s="188">
        <v>43622</v>
      </c>
      <c r="G50" s="38" t="s">
        <v>51</v>
      </c>
      <c r="H50" s="64">
        <f t="shared" si="13"/>
        <v>100</v>
      </c>
      <c r="I50" s="64">
        <f t="shared" si="14"/>
        <v>29666.666666666668</v>
      </c>
      <c r="J50" s="64">
        <f t="shared" si="15"/>
        <v>0</v>
      </c>
      <c r="K50" s="64">
        <f>'MayJune working'!Y11</f>
        <v>6800</v>
      </c>
      <c r="L50" s="64">
        <f t="shared" si="16"/>
        <v>-24733.333333333332</v>
      </c>
      <c r="M50" s="64">
        <f t="shared" si="17"/>
        <v>69894.166666666672</v>
      </c>
      <c r="N50" s="198">
        <f t="shared" si="18"/>
        <v>0</v>
      </c>
      <c r="O50" s="64">
        <f t="shared" ref="O50:P50" si="27">K50</f>
        <v>6800</v>
      </c>
      <c r="P50" s="64">
        <f t="shared" si="27"/>
        <v>-24733.333333333332</v>
      </c>
      <c r="Q50" s="199">
        <f t="shared" si="20"/>
        <v>183.37078651685391</v>
      </c>
      <c r="R50" s="4" t="s">
        <v>141</v>
      </c>
      <c r="S50" s="4" t="s">
        <v>139</v>
      </c>
      <c r="T50" s="27"/>
      <c r="U50" s="4">
        <v>1000</v>
      </c>
      <c r="V50" s="23">
        <f t="shared" si="21"/>
        <v>1000</v>
      </c>
    </row>
    <row r="51" spans="1:22" ht="14">
      <c r="A51" s="54"/>
      <c r="B51" s="135"/>
      <c r="C51" s="137"/>
      <c r="D51" s="54"/>
      <c r="E51" s="70" t="s">
        <v>98</v>
      </c>
      <c r="F51" s="188">
        <v>43623</v>
      </c>
      <c r="G51" s="38" t="s">
        <v>29</v>
      </c>
      <c r="H51" s="23">
        <f t="shared" si="13"/>
        <v>100</v>
      </c>
      <c r="I51" s="23">
        <f t="shared" si="14"/>
        <v>29666.666666666668</v>
      </c>
      <c r="J51" s="23">
        <f t="shared" si="15"/>
        <v>0</v>
      </c>
      <c r="K51" s="23">
        <f>'MayJune working'!Y12</f>
        <v>8000</v>
      </c>
      <c r="L51" s="23">
        <f t="shared" si="16"/>
        <v>-34333.333333333328</v>
      </c>
      <c r="M51" s="23">
        <f t="shared" si="17"/>
        <v>69894.166666666672</v>
      </c>
      <c r="N51" s="195">
        <f t="shared" si="18"/>
        <v>0</v>
      </c>
      <c r="O51" s="23">
        <f t="shared" ref="O51:P51" si="28">K51</f>
        <v>8000</v>
      </c>
      <c r="P51" s="23">
        <f t="shared" si="28"/>
        <v>-34333.333333333328</v>
      </c>
      <c r="Q51" s="125">
        <f t="shared" si="20"/>
        <v>215.73033707865167</v>
      </c>
      <c r="R51" s="4" t="s">
        <v>142</v>
      </c>
      <c r="T51" s="27"/>
      <c r="U51" s="4">
        <v>1800</v>
      </c>
      <c r="V51" s="23">
        <f t="shared" si="21"/>
        <v>1800</v>
      </c>
    </row>
    <row r="52" spans="1:22" ht="14">
      <c r="B52" s="137"/>
      <c r="C52" s="137"/>
      <c r="D52" s="54"/>
      <c r="E52" s="70"/>
      <c r="F52" s="188">
        <v>43624</v>
      </c>
      <c r="G52" s="38" t="s">
        <v>33</v>
      </c>
      <c r="H52" s="23">
        <f t="shared" si="13"/>
        <v>200</v>
      </c>
      <c r="I52" s="23">
        <f t="shared" si="14"/>
        <v>59333.333333333336</v>
      </c>
      <c r="J52" s="23">
        <f t="shared" si="15"/>
        <v>4933.3333333333358</v>
      </c>
      <c r="K52" s="23">
        <f>'MayJune working'!Y13</f>
        <v>6800</v>
      </c>
      <c r="L52" s="23">
        <f t="shared" si="16"/>
        <v>4933.3333333333358</v>
      </c>
      <c r="M52" s="23">
        <f t="shared" si="17"/>
        <v>69894.166666666672</v>
      </c>
      <c r="N52" s="195">
        <f t="shared" si="18"/>
        <v>15494.166666666672</v>
      </c>
      <c r="O52" s="23">
        <f t="shared" ref="O52:P52" si="29">K52</f>
        <v>6800</v>
      </c>
      <c r="P52" s="23">
        <f t="shared" si="29"/>
        <v>4933.3333333333358</v>
      </c>
      <c r="Q52" s="125">
        <f t="shared" si="20"/>
        <v>235.59831460674158</v>
      </c>
      <c r="R52" s="4" t="s">
        <v>141</v>
      </c>
      <c r="T52" s="27"/>
      <c r="U52" s="4">
        <v>3500</v>
      </c>
      <c r="V52" s="23">
        <f t="shared" si="21"/>
        <v>18994.166666666672</v>
      </c>
    </row>
    <row r="53" spans="1:22" ht="14">
      <c r="A53" s="70" t="s">
        <v>101</v>
      </c>
      <c r="B53" s="135">
        <v>30</v>
      </c>
      <c r="C53" s="135">
        <v>30</v>
      </c>
      <c r="D53" s="54"/>
      <c r="E53" s="70" t="s">
        <v>98</v>
      </c>
      <c r="F53" s="190">
        <v>43625</v>
      </c>
      <c r="G53" s="45" t="s">
        <v>37</v>
      </c>
      <c r="H53" s="47">
        <f t="shared" si="13"/>
        <v>100</v>
      </c>
      <c r="I53" s="47">
        <f t="shared" si="14"/>
        <v>29666.666666666668</v>
      </c>
      <c r="J53" s="47">
        <f t="shared" si="15"/>
        <v>0</v>
      </c>
      <c r="K53" s="47">
        <f>'MayJune working'!Y14</f>
        <v>6800</v>
      </c>
      <c r="L53" s="47">
        <f t="shared" si="16"/>
        <v>-24733.333333333332</v>
      </c>
      <c r="M53" s="47">
        <f t="shared" si="17"/>
        <v>69894.166666666672</v>
      </c>
      <c r="N53" s="196">
        <f t="shared" si="18"/>
        <v>0</v>
      </c>
      <c r="O53" s="47">
        <f t="shared" ref="O53:P53" si="30">K53</f>
        <v>6800</v>
      </c>
      <c r="P53" s="47">
        <f t="shared" si="30"/>
        <v>-24733.333333333332</v>
      </c>
      <c r="Q53" s="197">
        <f t="shared" si="20"/>
        <v>183.37078651685391</v>
      </c>
      <c r="R53" s="200" t="s">
        <v>141</v>
      </c>
      <c r="S53" s="34"/>
      <c r="T53" s="87"/>
      <c r="U53" s="4">
        <v>0</v>
      </c>
      <c r="V53" s="23">
        <f t="shared" si="21"/>
        <v>0</v>
      </c>
    </row>
    <row r="54" spans="1:22" ht="14">
      <c r="A54" s="70" t="s">
        <v>102</v>
      </c>
      <c r="B54" s="137">
        <f>SUM(K45:K75)/B53</f>
        <v>6323.333333333333</v>
      </c>
      <c r="C54" s="137">
        <f>SUM(K45:K75)/C53</f>
        <v>6323.333333333333</v>
      </c>
      <c r="D54" s="54"/>
      <c r="E54" s="54"/>
      <c r="F54" s="188">
        <v>43626</v>
      </c>
      <c r="G54" s="51" t="s">
        <v>41</v>
      </c>
      <c r="H54" s="23">
        <f t="shared" si="13"/>
        <v>200</v>
      </c>
      <c r="I54" s="23">
        <f t="shared" si="14"/>
        <v>59333.333333333336</v>
      </c>
      <c r="J54" s="23">
        <f t="shared" si="15"/>
        <v>3333.3333333333358</v>
      </c>
      <c r="K54" s="23">
        <f>'MayJune working'!Y15</f>
        <v>7000</v>
      </c>
      <c r="L54" s="23">
        <f t="shared" si="16"/>
        <v>3333.3333333333358</v>
      </c>
      <c r="M54" s="23">
        <f t="shared" si="17"/>
        <v>69894.166666666672</v>
      </c>
      <c r="N54" s="195">
        <f t="shared" si="18"/>
        <v>13894.166666666672</v>
      </c>
      <c r="O54" s="23">
        <f t="shared" ref="O54:P54" si="31">K54</f>
        <v>7000</v>
      </c>
      <c r="P54" s="23">
        <f t="shared" si="31"/>
        <v>3333.3333333333358</v>
      </c>
      <c r="Q54" s="125">
        <f t="shared" si="20"/>
        <v>235.59831460674158</v>
      </c>
      <c r="R54" s="4" t="s">
        <v>143</v>
      </c>
      <c r="T54" s="27"/>
      <c r="U54" s="4">
        <v>0</v>
      </c>
      <c r="V54" s="23">
        <f t="shared" si="21"/>
        <v>13894.166666666672</v>
      </c>
    </row>
    <row r="55" spans="1:22" ht="14">
      <c r="A55" s="70" t="s">
        <v>103</v>
      </c>
      <c r="B55" s="137">
        <f>SUM(K45:K75)</f>
        <v>189700</v>
      </c>
      <c r="C55" s="137">
        <f>SUM(K45:K75)</f>
        <v>189700</v>
      </c>
      <c r="D55" s="54">
        <f>C64/C55</f>
        <v>1.9662669126691279</v>
      </c>
      <c r="E55" s="70" t="s">
        <v>98</v>
      </c>
      <c r="F55" s="188">
        <v>43627</v>
      </c>
      <c r="G55" s="38" t="s">
        <v>46</v>
      </c>
      <c r="H55" s="23">
        <f t="shared" si="13"/>
        <v>100</v>
      </c>
      <c r="I55" s="23">
        <f t="shared" si="14"/>
        <v>29666.666666666668</v>
      </c>
      <c r="J55" s="23">
        <f t="shared" si="15"/>
        <v>0</v>
      </c>
      <c r="K55" s="23">
        <f>'MayJune working'!Y16</f>
        <v>6800</v>
      </c>
      <c r="L55" s="23">
        <f t="shared" si="16"/>
        <v>-24733.333333333332</v>
      </c>
      <c r="M55" s="23">
        <f t="shared" si="17"/>
        <v>69894.166666666672</v>
      </c>
      <c r="N55" s="195">
        <f t="shared" si="18"/>
        <v>0</v>
      </c>
      <c r="O55" s="23">
        <f t="shared" ref="O55:P55" si="32">K55</f>
        <v>6800</v>
      </c>
      <c r="P55" s="23">
        <f t="shared" si="32"/>
        <v>-24733.333333333332</v>
      </c>
      <c r="Q55" s="125">
        <f t="shared" si="20"/>
        <v>183.37078651685391</v>
      </c>
      <c r="R55" s="4" t="s">
        <v>143</v>
      </c>
      <c r="T55" s="201" t="s">
        <v>144</v>
      </c>
      <c r="U55" s="4">
        <v>1500</v>
      </c>
      <c r="V55" s="23">
        <f t="shared" si="21"/>
        <v>1500</v>
      </c>
    </row>
    <row r="56" spans="1:22" ht="14">
      <c r="A56" s="70" t="s">
        <v>104</v>
      </c>
      <c r="B56" s="137">
        <f>SUM(J45:J75)</f>
        <v>183133.33333333343</v>
      </c>
      <c r="C56" s="137">
        <f>SUM(J45:J75)</f>
        <v>183133.33333333343</v>
      </c>
      <c r="E56" s="70" t="s">
        <v>98</v>
      </c>
      <c r="F56" s="188">
        <v>43628</v>
      </c>
      <c r="G56" s="38" t="s">
        <v>49</v>
      </c>
      <c r="H56" s="23">
        <f t="shared" si="13"/>
        <v>100</v>
      </c>
      <c r="I56" s="23">
        <f t="shared" si="14"/>
        <v>29666.666666666668</v>
      </c>
      <c r="J56" s="23">
        <f t="shared" si="15"/>
        <v>0</v>
      </c>
      <c r="K56" s="23">
        <f>'MayJune working'!Y17</f>
        <v>8000</v>
      </c>
      <c r="L56" s="23">
        <f t="shared" si="16"/>
        <v>-34333.333333333328</v>
      </c>
      <c r="M56" s="23">
        <f t="shared" si="17"/>
        <v>69894.166666666672</v>
      </c>
      <c r="N56" s="195">
        <f t="shared" si="18"/>
        <v>0</v>
      </c>
      <c r="O56" s="23">
        <f t="shared" ref="O56:P56" si="33">K56</f>
        <v>8000</v>
      </c>
      <c r="P56" s="23">
        <f t="shared" si="33"/>
        <v>-34333.333333333328</v>
      </c>
      <c r="Q56" s="125">
        <f t="shared" si="20"/>
        <v>215.73033707865167</v>
      </c>
      <c r="R56" s="4" t="s">
        <v>145</v>
      </c>
      <c r="T56" s="27"/>
      <c r="U56" s="4">
        <v>0</v>
      </c>
      <c r="V56" s="23">
        <f t="shared" si="21"/>
        <v>0</v>
      </c>
    </row>
    <row r="57" spans="1:22" ht="14">
      <c r="A57" s="70" t="s">
        <v>105</v>
      </c>
      <c r="B57" s="143">
        <f t="shared" ref="B57:C57" si="34">B56/B55</f>
        <v>0.96538393955368174</v>
      </c>
      <c r="C57" s="143">
        <f t="shared" si="34"/>
        <v>0.96538393955368174</v>
      </c>
      <c r="D57" s="54"/>
      <c r="E57" s="54"/>
      <c r="F57" s="188">
        <v>43629</v>
      </c>
      <c r="G57" s="38" t="s">
        <v>51</v>
      </c>
      <c r="H57" s="23">
        <f t="shared" si="13"/>
        <v>200</v>
      </c>
      <c r="I57" s="23">
        <f t="shared" si="14"/>
        <v>59333.333333333336</v>
      </c>
      <c r="J57" s="23">
        <f t="shared" si="15"/>
        <v>4933.3333333333358</v>
      </c>
      <c r="K57" s="23">
        <f>'MayJune working'!Y18</f>
        <v>6800</v>
      </c>
      <c r="L57" s="23">
        <f t="shared" si="16"/>
        <v>4933.3333333333358</v>
      </c>
      <c r="M57" s="23">
        <f t="shared" si="17"/>
        <v>69894.166666666672</v>
      </c>
      <c r="N57" s="195">
        <f t="shared" si="18"/>
        <v>15494.166666666672</v>
      </c>
      <c r="O57" s="23">
        <f t="shared" ref="O57:P57" si="35">K57</f>
        <v>6800</v>
      </c>
      <c r="P57" s="23">
        <f t="shared" si="35"/>
        <v>4933.3333333333358</v>
      </c>
      <c r="Q57" s="125">
        <f t="shared" si="20"/>
        <v>235.59831460674158</v>
      </c>
      <c r="R57" s="4" t="s">
        <v>143</v>
      </c>
      <c r="T57" s="27"/>
      <c r="U57" s="4">
        <v>1000</v>
      </c>
      <c r="V57" s="23">
        <f t="shared" si="21"/>
        <v>16494.166666666672</v>
      </c>
    </row>
    <row r="58" spans="1:22" ht="14">
      <c r="A58" s="70" t="s">
        <v>106</v>
      </c>
      <c r="B58" s="143"/>
      <c r="C58" s="144">
        <v>2.2000000000000002</v>
      </c>
      <c r="D58" s="54"/>
      <c r="E58" s="70"/>
      <c r="F58" s="188">
        <v>43630</v>
      </c>
      <c r="G58" s="38" t="s">
        <v>29</v>
      </c>
      <c r="H58" s="23">
        <f t="shared" si="13"/>
        <v>200</v>
      </c>
      <c r="I58" s="23">
        <f t="shared" si="14"/>
        <v>59333.333333333336</v>
      </c>
      <c r="J58" s="23">
        <f t="shared" si="15"/>
        <v>7333.3333333333358</v>
      </c>
      <c r="K58" s="23">
        <f>'MayJune working'!Y19</f>
        <v>6500</v>
      </c>
      <c r="L58" s="23">
        <f t="shared" si="16"/>
        <v>7333.3333333333358</v>
      </c>
      <c r="M58" s="23">
        <f t="shared" si="17"/>
        <v>69894.166666666672</v>
      </c>
      <c r="N58" s="195">
        <f t="shared" si="18"/>
        <v>17894.166666666672</v>
      </c>
      <c r="O58" s="23">
        <f t="shared" ref="O58:P58" si="36">K58</f>
        <v>6500</v>
      </c>
      <c r="P58" s="23">
        <f t="shared" si="36"/>
        <v>7333.3333333333358</v>
      </c>
      <c r="Q58" s="125">
        <f t="shared" si="20"/>
        <v>235.59831460674158</v>
      </c>
      <c r="R58" s="4" t="s">
        <v>146</v>
      </c>
      <c r="T58" s="27"/>
      <c r="U58" s="4">
        <v>1800</v>
      </c>
      <c r="V58" s="23">
        <f t="shared" si="21"/>
        <v>19694.166666666672</v>
      </c>
    </row>
    <row r="59" spans="1:22" ht="14">
      <c r="A59" s="70" t="s">
        <v>107</v>
      </c>
      <c r="B59" s="137"/>
      <c r="C59" s="137">
        <f>IF(C57&lt;C58,(C55*C58-C56)/(C53-COUNTIF(E45:E74,"Break")),0)</f>
        <v>13776.862745098037</v>
      </c>
      <c r="D59" s="54"/>
      <c r="E59" s="70"/>
      <c r="F59" s="188">
        <v>43631</v>
      </c>
      <c r="G59" s="38" t="s">
        <v>33</v>
      </c>
      <c r="H59" s="23">
        <f t="shared" si="13"/>
        <v>200</v>
      </c>
      <c r="I59" s="23">
        <f t="shared" si="14"/>
        <v>59333.333333333336</v>
      </c>
      <c r="J59" s="23">
        <v>5000</v>
      </c>
      <c r="K59" s="23">
        <f>'MayJune working'!Y20</f>
        <v>5500</v>
      </c>
      <c r="L59" s="23">
        <f t="shared" si="16"/>
        <v>15333.333333333336</v>
      </c>
      <c r="M59" s="23">
        <f t="shared" si="17"/>
        <v>69894.166666666672</v>
      </c>
      <c r="N59" s="195">
        <f t="shared" si="18"/>
        <v>25894.166666666672</v>
      </c>
      <c r="O59" s="23">
        <f t="shared" ref="O59:P59" si="37">K59</f>
        <v>5500</v>
      </c>
      <c r="P59" s="23">
        <f t="shared" si="37"/>
        <v>15333.333333333336</v>
      </c>
      <c r="Q59" s="125">
        <f t="shared" si="20"/>
        <v>235.59831460674158</v>
      </c>
      <c r="R59" s="4" t="s">
        <v>146</v>
      </c>
      <c r="T59" s="27"/>
      <c r="U59" s="4">
        <v>3500</v>
      </c>
      <c r="V59" s="23">
        <f t="shared" si="21"/>
        <v>29394.166666666672</v>
      </c>
    </row>
    <row r="60" spans="1:22" ht="14">
      <c r="A60" s="70" t="s">
        <v>109</v>
      </c>
      <c r="B60" s="137"/>
      <c r="C60" s="137">
        <f>C59/C50</f>
        <v>46.438863185723719</v>
      </c>
      <c r="D60" s="54"/>
      <c r="E60" s="70" t="s">
        <v>98</v>
      </c>
      <c r="F60" s="190">
        <v>43632</v>
      </c>
      <c r="G60" s="45" t="s">
        <v>37</v>
      </c>
      <c r="H60" s="47">
        <f t="shared" si="13"/>
        <v>100</v>
      </c>
      <c r="I60" s="47">
        <f t="shared" si="14"/>
        <v>29666.666666666668</v>
      </c>
      <c r="J60" s="47">
        <v>0</v>
      </c>
      <c r="K60" s="47">
        <f>'MayJune working'!Y21</f>
        <v>5500</v>
      </c>
      <c r="L60" s="47">
        <f t="shared" si="16"/>
        <v>-14333.333333333332</v>
      </c>
      <c r="M60" s="47">
        <f t="shared" si="17"/>
        <v>69894.166666666672</v>
      </c>
      <c r="N60" s="196">
        <f t="shared" si="18"/>
        <v>0</v>
      </c>
      <c r="O60" s="47">
        <f t="shared" ref="O60:P60" si="38">K60</f>
        <v>5500</v>
      </c>
      <c r="P60" s="47">
        <f t="shared" si="38"/>
        <v>-14333.333333333332</v>
      </c>
      <c r="Q60" s="197">
        <f t="shared" si="20"/>
        <v>148.31460674157302</v>
      </c>
      <c r="R60" s="200" t="s">
        <v>147</v>
      </c>
      <c r="S60" s="34"/>
      <c r="T60" s="87"/>
      <c r="U60" s="4">
        <v>0</v>
      </c>
      <c r="V60" s="23">
        <f t="shared" si="21"/>
        <v>0</v>
      </c>
    </row>
    <row r="61" spans="1:22" ht="14">
      <c r="A61" s="70" t="s">
        <v>110</v>
      </c>
      <c r="B61" s="137"/>
      <c r="C61" s="147">
        <f>C60+C45</f>
        <v>246.43886318572373</v>
      </c>
      <c r="D61" s="54"/>
      <c r="E61" s="70" t="s">
        <v>98</v>
      </c>
      <c r="F61" s="188">
        <v>43633</v>
      </c>
      <c r="G61" s="51" t="s">
        <v>41</v>
      </c>
      <c r="H61" s="23">
        <f t="shared" si="13"/>
        <v>100</v>
      </c>
      <c r="I61" s="23">
        <f t="shared" si="14"/>
        <v>29666.666666666668</v>
      </c>
      <c r="J61" s="23">
        <v>0</v>
      </c>
      <c r="K61" s="23">
        <f>'MayJune working'!Y22</f>
        <v>6500</v>
      </c>
      <c r="L61" s="23">
        <f t="shared" si="16"/>
        <v>-22333.333333333332</v>
      </c>
      <c r="M61" s="23">
        <f t="shared" si="17"/>
        <v>69894.166666666672</v>
      </c>
      <c r="N61" s="195">
        <f t="shared" si="18"/>
        <v>0</v>
      </c>
      <c r="O61" s="23">
        <f t="shared" ref="O61:P61" si="39">K61</f>
        <v>6500</v>
      </c>
      <c r="P61" s="23">
        <f t="shared" si="39"/>
        <v>-22333.333333333332</v>
      </c>
      <c r="Q61" s="125">
        <f t="shared" si="20"/>
        <v>175.28089887640448</v>
      </c>
      <c r="R61" s="4" t="s">
        <v>147</v>
      </c>
      <c r="T61" s="27"/>
      <c r="U61" s="4">
        <v>0</v>
      </c>
      <c r="V61" s="23">
        <f t="shared" si="21"/>
        <v>0</v>
      </c>
    </row>
    <row r="62" spans="1:22" ht="14">
      <c r="A62" s="70" t="s">
        <v>110</v>
      </c>
      <c r="B62" s="54"/>
      <c r="C62" s="147">
        <f>MAX(Q45:Q74)</f>
        <v>323.59550561797749</v>
      </c>
      <c r="D62" s="54"/>
      <c r="E62" s="70" t="s">
        <v>98</v>
      </c>
      <c r="F62" s="188">
        <v>43634</v>
      </c>
      <c r="G62" s="38" t="s">
        <v>46</v>
      </c>
      <c r="H62" s="23">
        <f t="shared" si="13"/>
        <v>100</v>
      </c>
      <c r="I62" s="23">
        <f t="shared" si="14"/>
        <v>29666.666666666668</v>
      </c>
      <c r="J62" s="23">
        <v>0</v>
      </c>
      <c r="K62" s="23">
        <f>'MayJune working'!Y23</f>
        <v>12000</v>
      </c>
      <c r="L62" s="23">
        <f t="shared" si="16"/>
        <v>-66333.333333333328</v>
      </c>
      <c r="M62" s="23">
        <f t="shared" si="17"/>
        <v>69894.166666666672</v>
      </c>
      <c r="N62" s="195">
        <f t="shared" si="18"/>
        <v>0</v>
      </c>
      <c r="O62" s="23">
        <f t="shared" ref="O62:P62" si="40">K62</f>
        <v>12000</v>
      </c>
      <c r="P62" s="23">
        <f t="shared" si="40"/>
        <v>-66333.333333333328</v>
      </c>
      <c r="Q62" s="125">
        <f t="shared" si="20"/>
        <v>323.59550561797749</v>
      </c>
      <c r="R62" s="4" t="s">
        <v>148</v>
      </c>
      <c r="T62" s="192" t="s">
        <v>148</v>
      </c>
      <c r="U62" s="4">
        <v>0</v>
      </c>
      <c r="V62" s="23">
        <f t="shared" si="21"/>
        <v>0</v>
      </c>
    </row>
    <row r="63" spans="1:22" ht="14">
      <c r="A63" s="54"/>
      <c r="B63" s="54"/>
      <c r="C63" s="54"/>
      <c r="D63" s="54"/>
      <c r="E63" s="70" t="s">
        <v>98</v>
      </c>
      <c r="F63" s="188">
        <v>43635</v>
      </c>
      <c r="G63" s="38" t="s">
        <v>49</v>
      </c>
      <c r="H63" s="23">
        <f t="shared" si="13"/>
        <v>100</v>
      </c>
      <c r="I63" s="23">
        <f t="shared" si="14"/>
        <v>29666.666666666668</v>
      </c>
      <c r="J63" s="23">
        <f t="shared" ref="J63:J74" si="41">IF(E63="break",0,L63)</f>
        <v>0</v>
      </c>
      <c r="K63" s="23">
        <f>'MayJune working'!Y24</f>
        <v>6000</v>
      </c>
      <c r="L63" s="23">
        <f t="shared" si="16"/>
        <v>-18333.333333333332</v>
      </c>
      <c r="M63" s="23">
        <f t="shared" si="17"/>
        <v>69894.166666666672</v>
      </c>
      <c r="N63" s="195">
        <f t="shared" si="18"/>
        <v>0</v>
      </c>
      <c r="O63" s="23">
        <f t="shared" ref="O63:P63" si="42">K63</f>
        <v>6000</v>
      </c>
      <c r="P63" s="23">
        <f t="shared" si="42"/>
        <v>-18333.333333333332</v>
      </c>
      <c r="Q63" s="125">
        <f t="shared" si="20"/>
        <v>161.79775280898875</v>
      </c>
      <c r="R63" s="4" t="s">
        <v>149</v>
      </c>
      <c r="T63" s="27"/>
      <c r="U63" s="4">
        <v>0</v>
      </c>
      <c r="V63" s="23">
        <f t="shared" si="21"/>
        <v>0</v>
      </c>
    </row>
    <row r="64" spans="1:22" ht="14">
      <c r="A64" s="70" t="s">
        <v>111</v>
      </c>
      <c r="B64" s="54"/>
      <c r="C64" s="137">
        <f>SUM(N45:N74)</f>
        <v>373000.83333333355</v>
      </c>
      <c r="D64" s="54"/>
      <c r="E64" s="54"/>
      <c r="F64" s="188">
        <v>43636</v>
      </c>
      <c r="G64" s="38" t="s">
        <v>51</v>
      </c>
      <c r="H64" s="23">
        <f t="shared" si="13"/>
        <v>200</v>
      </c>
      <c r="I64" s="23">
        <f t="shared" si="14"/>
        <v>59333.333333333336</v>
      </c>
      <c r="J64" s="23">
        <f t="shared" si="41"/>
        <v>11333.333333333336</v>
      </c>
      <c r="K64" s="23">
        <f>'MayJune working'!Y25</f>
        <v>6000</v>
      </c>
      <c r="L64" s="23">
        <f t="shared" si="16"/>
        <v>11333.333333333336</v>
      </c>
      <c r="M64" s="23">
        <f t="shared" si="17"/>
        <v>69894.166666666672</v>
      </c>
      <c r="N64" s="195">
        <f t="shared" si="18"/>
        <v>21894.166666666672</v>
      </c>
      <c r="O64" s="23">
        <f t="shared" ref="O64:P64" si="43">K64</f>
        <v>6000</v>
      </c>
      <c r="P64" s="23">
        <f t="shared" si="43"/>
        <v>11333.333333333336</v>
      </c>
      <c r="Q64" s="125">
        <f t="shared" si="20"/>
        <v>235.59831460674158</v>
      </c>
      <c r="R64" s="4" t="s">
        <v>149</v>
      </c>
      <c r="T64" s="27"/>
      <c r="U64" s="4">
        <v>1000</v>
      </c>
      <c r="V64" s="23">
        <f t="shared" si="21"/>
        <v>22894.166666666672</v>
      </c>
    </row>
    <row r="65" spans="1:22" ht="14">
      <c r="A65" s="54"/>
      <c r="B65" s="54"/>
      <c r="C65" s="54">
        <f>C64/C55</f>
        <v>1.9662669126691279</v>
      </c>
      <c r="D65" s="54"/>
      <c r="E65" s="70"/>
      <c r="F65" s="188">
        <v>43637</v>
      </c>
      <c r="G65" s="38" t="s">
        <v>29</v>
      </c>
      <c r="H65" s="23">
        <f t="shared" si="13"/>
        <v>200</v>
      </c>
      <c r="I65" s="23">
        <f t="shared" si="14"/>
        <v>59333.333333333336</v>
      </c>
      <c r="J65" s="23">
        <f t="shared" si="41"/>
        <v>19333.333333333336</v>
      </c>
      <c r="K65" s="23">
        <f>'MayJune working'!Y26</f>
        <v>5000</v>
      </c>
      <c r="L65" s="23">
        <f t="shared" si="16"/>
        <v>19333.333333333336</v>
      </c>
      <c r="M65" s="23">
        <f t="shared" si="17"/>
        <v>69894.166666666672</v>
      </c>
      <c r="N65" s="195">
        <f t="shared" si="18"/>
        <v>29894.166666666672</v>
      </c>
      <c r="O65" s="23">
        <f t="shared" ref="O65:P65" si="44">K65</f>
        <v>5000</v>
      </c>
      <c r="P65" s="23">
        <f t="shared" si="44"/>
        <v>19333.333333333336</v>
      </c>
      <c r="Q65" s="125">
        <f t="shared" si="20"/>
        <v>235.59831460674158</v>
      </c>
      <c r="T65" s="27"/>
      <c r="U65" s="4">
        <v>3800</v>
      </c>
      <c r="V65" s="23">
        <f t="shared" si="21"/>
        <v>33694.166666666672</v>
      </c>
    </row>
    <row r="66" spans="1:22" ht="14">
      <c r="A66" s="54"/>
      <c r="B66" s="54"/>
      <c r="C66" s="54"/>
      <c r="D66" s="54"/>
      <c r="E66" s="54"/>
      <c r="F66" s="188">
        <v>43638</v>
      </c>
      <c r="G66" s="38" t="s">
        <v>33</v>
      </c>
      <c r="H66" s="23">
        <f t="shared" si="13"/>
        <v>200</v>
      </c>
      <c r="I66" s="23">
        <f t="shared" si="14"/>
        <v>59333.333333333336</v>
      </c>
      <c r="J66" s="23">
        <f t="shared" si="41"/>
        <v>19333.333333333336</v>
      </c>
      <c r="K66" s="23">
        <f>'MayJune working'!Y27</f>
        <v>5000</v>
      </c>
      <c r="L66" s="23">
        <f t="shared" si="16"/>
        <v>19333.333333333336</v>
      </c>
      <c r="M66" s="23">
        <f t="shared" si="17"/>
        <v>69894.166666666672</v>
      </c>
      <c r="N66" s="195">
        <f t="shared" si="18"/>
        <v>29894.166666666672</v>
      </c>
      <c r="O66" s="23">
        <f t="shared" ref="O66:P66" si="45">K66</f>
        <v>5000</v>
      </c>
      <c r="P66" s="23">
        <f t="shared" si="45"/>
        <v>19333.333333333336</v>
      </c>
      <c r="Q66" s="125">
        <f t="shared" si="20"/>
        <v>235.59831460674158</v>
      </c>
      <c r="T66" s="27"/>
      <c r="U66" s="4">
        <v>4500</v>
      </c>
      <c r="V66" s="23">
        <f t="shared" si="21"/>
        <v>34394.166666666672</v>
      </c>
    </row>
    <row r="67" spans="1:22" ht="14">
      <c r="A67" s="54"/>
      <c r="B67" s="54"/>
      <c r="C67" s="54"/>
      <c r="D67" s="54"/>
      <c r="E67" s="70" t="s">
        <v>98</v>
      </c>
      <c r="F67" s="190">
        <v>43639</v>
      </c>
      <c r="G67" s="45" t="s">
        <v>37</v>
      </c>
      <c r="H67" s="47">
        <f t="shared" si="13"/>
        <v>100</v>
      </c>
      <c r="I67" s="47">
        <f t="shared" si="14"/>
        <v>29666.666666666668</v>
      </c>
      <c r="J67" s="47">
        <f t="shared" si="41"/>
        <v>0</v>
      </c>
      <c r="K67" s="47">
        <f>'MayJune working'!Y28</f>
        <v>5300</v>
      </c>
      <c r="L67" s="47">
        <f t="shared" si="16"/>
        <v>-12733.333333333332</v>
      </c>
      <c r="M67" s="47">
        <f t="shared" si="17"/>
        <v>69894.166666666672</v>
      </c>
      <c r="N67" s="196">
        <f t="shared" si="18"/>
        <v>0</v>
      </c>
      <c r="O67" s="47">
        <f t="shared" ref="O67:P67" si="46">K67</f>
        <v>5300</v>
      </c>
      <c r="P67" s="47">
        <f t="shared" si="46"/>
        <v>-12733.333333333332</v>
      </c>
      <c r="Q67" s="197">
        <f t="shared" si="20"/>
        <v>142.92134831460675</v>
      </c>
      <c r="R67" s="34"/>
      <c r="S67" s="34"/>
      <c r="T67" s="87"/>
      <c r="U67" s="4">
        <v>0</v>
      </c>
      <c r="V67" s="23">
        <f t="shared" si="21"/>
        <v>0</v>
      </c>
    </row>
    <row r="68" spans="1:22" ht="14">
      <c r="A68" s="54"/>
      <c r="B68" s="54"/>
      <c r="C68" s="54"/>
      <c r="D68" s="54"/>
      <c r="E68" s="54"/>
      <c r="F68" s="188">
        <v>43640</v>
      </c>
      <c r="G68" s="51" t="s">
        <v>41</v>
      </c>
      <c r="H68" s="64">
        <f t="shared" si="13"/>
        <v>200</v>
      </c>
      <c r="I68" s="64">
        <f t="shared" si="14"/>
        <v>59333.333333333336</v>
      </c>
      <c r="J68" s="64">
        <f t="shared" si="41"/>
        <v>7333.3333333333358</v>
      </c>
      <c r="K68" s="64">
        <f>'MayJune working'!Y29</f>
        <v>6500</v>
      </c>
      <c r="L68" s="64">
        <f t="shared" si="16"/>
        <v>7333.3333333333358</v>
      </c>
      <c r="M68" s="64">
        <f t="shared" si="17"/>
        <v>69894.166666666672</v>
      </c>
      <c r="N68" s="198">
        <f t="shared" si="18"/>
        <v>17894.166666666672</v>
      </c>
      <c r="O68" s="64">
        <f t="shared" ref="O68:P68" si="47">K68</f>
        <v>6500</v>
      </c>
      <c r="P68" s="64">
        <f t="shared" si="47"/>
        <v>7333.3333333333358</v>
      </c>
      <c r="Q68" s="199">
        <f t="shared" si="20"/>
        <v>235.59831460674158</v>
      </c>
      <c r="S68" s="4" t="s">
        <v>138</v>
      </c>
      <c r="T68" s="27"/>
      <c r="U68" s="4">
        <v>0</v>
      </c>
      <c r="V68" s="23">
        <f t="shared" si="21"/>
        <v>17894.166666666672</v>
      </c>
    </row>
    <row r="69" spans="1:22" ht="14">
      <c r="A69" s="54"/>
      <c r="B69" s="54"/>
      <c r="C69" s="54"/>
      <c r="D69" s="54"/>
      <c r="E69" s="54"/>
      <c r="F69" s="188">
        <v>43641</v>
      </c>
      <c r="G69" s="38" t="s">
        <v>46</v>
      </c>
      <c r="H69" s="64">
        <f t="shared" si="13"/>
        <v>200</v>
      </c>
      <c r="I69" s="64">
        <f t="shared" si="14"/>
        <v>59333.333333333336</v>
      </c>
      <c r="J69" s="64">
        <f t="shared" si="41"/>
        <v>11333.333333333336</v>
      </c>
      <c r="K69" s="64">
        <f>'MayJune working'!Y30</f>
        <v>6000</v>
      </c>
      <c r="L69" s="64">
        <f t="shared" si="16"/>
        <v>11333.333333333336</v>
      </c>
      <c r="M69" s="64">
        <f t="shared" si="17"/>
        <v>69894.166666666672</v>
      </c>
      <c r="N69" s="198">
        <f t="shared" si="18"/>
        <v>21894.166666666672</v>
      </c>
      <c r="O69" s="64">
        <f t="shared" ref="O69:P69" si="48">K69</f>
        <v>6000</v>
      </c>
      <c r="P69" s="64">
        <f t="shared" si="48"/>
        <v>11333.333333333336</v>
      </c>
      <c r="Q69" s="199">
        <f t="shared" si="20"/>
        <v>235.59831460674158</v>
      </c>
      <c r="S69" s="4" t="s">
        <v>138</v>
      </c>
      <c r="T69" s="192" t="s">
        <v>136</v>
      </c>
      <c r="U69" s="4">
        <v>1500</v>
      </c>
      <c r="V69" s="23">
        <f t="shared" si="21"/>
        <v>23394.166666666672</v>
      </c>
    </row>
    <row r="70" spans="1:22" ht="14">
      <c r="A70" s="54"/>
      <c r="B70" s="54"/>
      <c r="C70" s="54"/>
      <c r="D70" s="54"/>
      <c r="E70" s="70"/>
      <c r="F70" s="188">
        <v>43642</v>
      </c>
      <c r="G70" s="38" t="s">
        <v>49</v>
      </c>
      <c r="H70" s="64">
        <f t="shared" si="13"/>
        <v>200</v>
      </c>
      <c r="I70" s="64">
        <f t="shared" si="14"/>
        <v>59333.333333333336</v>
      </c>
      <c r="J70" s="64">
        <f t="shared" si="41"/>
        <v>12933.333333333336</v>
      </c>
      <c r="K70" s="64">
        <f>'MayJune working'!Y31</f>
        <v>5800</v>
      </c>
      <c r="L70" s="64">
        <f t="shared" si="16"/>
        <v>12933.333333333336</v>
      </c>
      <c r="M70" s="64">
        <f t="shared" si="17"/>
        <v>69894.166666666672</v>
      </c>
      <c r="N70" s="198">
        <f t="shared" si="18"/>
        <v>23494.166666666672</v>
      </c>
      <c r="O70" s="64">
        <f t="shared" ref="O70:P70" si="49">K70</f>
        <v>5800</v>
      </c>
      <c r="P70" s="64">
        <f t="shared" si="49"/>
        <v>12933.333333333336</v>
      </c>
      <c r="Q70" s="199">
        <f t="shared" si="20"/>
        <v>235.59831460674158</v>
      </c>
      <c r="S70" s="4" t="s">
        <v>138</v>
      </c>
      <c r="T70" s="192" t="s">
        <v>136</v>
      </c>
      <c r="U70" s="4">
        <v>0</v>
      </c>
      <c r="V70" s="23">
        <f t="shared" si="21"/>
        <v>23494.166666666672</v>
      </c>
    </row>
    <row r="71" spans="1:22" ht="14">
      <c r="A71" s="54"/>
      <c r="B71" s="54"/>
      <c r="C71" s="54"/>
      <c r="D71" s="54"/>
      <c r="E71" s="70" t="s">
        <v>98</v>
      </c>
      <c r="F71" s="188">
        <v>43643</v>
      </c>
      <c r="G71" s="38" t="s">
        <v>51</v>
      </c>
      <c r="H71" s="64">
        <f t="shared" si="13"/>
        <v>100</v>
      </c>
      <c r="I71" s="64">
        <f t="shared" si="14"/>
        <v>29666.666666666668</v>
      </c>
      <c r="J71" s="64">
        <f t="shared" si="41"/>
        <v>0</v>
      </c>
      <c r="K71" s="64">
        <f>'MayJune working'!Y32</f>
        <v>5500</v>
      </c>
      <c r="L71" s="64">
        <f t="shared" si="16"/>
        <v>-14333.333333333332</v>
      </c>
      <c r="M71" s="64">
        <f t="shared" si="17"/>
        <v>69894.166666666672</v>
      </c>
      <c r="N71" s="198">
        <f t="shared" si="18"/>
        <v>0</v>
      </c>
      <c r="O71" s="64">
        <f t="shared" ref="O71:P71" si="50">K71</f>
        <v>5500</v>
      </c>
      <c r="P71" s="64">
        <f t="shared" si="50"/>
        <v>-14333.333333333332</v>
      </c>
      <c r="Q71" s="199">
        <f t="shared" si="20"/>
        <v>148.31460674157302</v>
      </c>
      <c r="S71" s="4" t="s">
        <v>139</v>
      </c>
      <c r="T71" s="192" t="s">
        <v>136</v>
      </c>
      <c r="U71" s="4">
        <v>1000</v>
      </c>
      <c r="V71" s="23">
        <f t="shared" si="21"/>
        <v>1000</v>
      </c>
    </row>
    <row r="72" spans="1:22" ht="14">
      <c r="A72" s="54"/>
      <c r="B72" s="54"/>
      <c r="C72" s="54"/>
      <c r="D72" s="54"/>
      <c r="E72" s="70"/>
      <c r="F72" s="188">
        <v>43644</v>
      </c>
      <c r="G72" s="38" t="s">
        <v>29</v>
      </c>
      <c r="H72" s="23">
        <f t="shared" si="13"/>
        <v>200</v>
      </c>
      <c r="I72" s="23">
        <f t="shared" si="14"/>
        <v>59333.333333333336</v>
      </c>
      <c r="J72" s="23">
        <f t="shared" si="41"/>
        <v>11333.333333333336</v>
      </c>
      <c r="K72" s="23">
        <f>'MayJune working'!Y33</f>
        <v>6000</v>
      </c>
      <c r="L72" s="23">
        <f t="shared" si="16"/>
        <v>11333.333333333336</v>
      </c>
      <c r="M72" s="23">
        <f t="shared" si="17"/>
        <v>69894.166666666672</v>
      </c>
      <c r="N72" s="195">
        <f t="shared" si="18"/>
        <v>21894.166666666672</v>
      </c>
      <c r="O72" s="23">
        <f t="shared" ref="O72:P72" si="51">K72</f>
        <v>6000</v>
      </c>
      <c r="P72" s="23">
        <f t="shared" si="51"/>
        <v>11333.333333333336</v>
      </c>
      <c r="Q72" s="125">
        <f t="shared" si="20"/>
        <v>235.59831460674158</v>
      </c>
      <c r="T72" s="192" t="s">
        <v>137</v>
      </c>
      <c r="U72" s="4">
        <v>3800</v>
      </c>
      <c r="V72" s="23">
        <f t="shared" si="21"/>
        <v>25694.166666666672</v>
      </c>
    </row>
    <row r="73" spans="1:22" ht="14">
      <c r="A73" s="54"/>
      <c r="B73" s="54"/>
      <c r="C73" s="54"/>
      <c r="D73" s="54"/>
      <c r="E73" s="54"/>
      <c r="F73" s="188">
        <v>43645</v>
      </c>
      <c r="G73" s="38" t="s">
        <v>33</v>
      </c>
      <c r="H73" s="23">
        <f t="shared" si="13"/>
        <v>200</v>
      </c>
      <c r="I73" s="23">
        <f t="shared" si="14"/>
        <v>59333.333333333336</v>
      </c>
      <c r="J73" s="23">
        <f t="shared" si="41"/>
        <v>19333.333333333336</v>
      </c>
      <c r="K73" s="23">
        <f>'MayJune working'!Y34</f>
        <v>5000</v>
      </c>
      <c r="L73" s="23">
        <f t="shared" si="16"/>
        <v>19333.333333333336</v>
      </c>
      <c r="M73" s="23">
        <f t="shared" si="17"/>
        <v>69894.166666666672</v>
      </c>
      <c r="N73" s="195">
        <f t="shared" si="18"/>
        <v>29894.166666666672</v>
      </c>
      <c r="O73" s="23">
        <f t="shared" ref="O73:P73" si="52">K73</f>
        <v>5000</v>
      </c>
      <c r="P73" s="23">
        <f t="shared" si="52"/>
        <v>19333.333333333336</v>
      </c>
      <c r="Q73" s="125">
        <f t="shared" si="20"/>
        <v>235.59831460674158</v>
      </c>
      <c r="T73" s="27"/>
      <c r="U73" s="4">
        <v>4500</v>
      </c>
      <c r="V73" s="23">
        <f t="shared" si="21"/>
        <v>34394.166666666672</v>
      </c>
    </row>
    <row r="74" spans="1:22" ht="14">
      <c r="A74" s="54"/>
      <c r="B74" s="54"/>
      <c r="C74" s="54"/>
      <c r="D74" s="54"/>
      <c r="E74" s="70" t="s">
        <v>98</v>
      </c>
      <c r="F74" s="190">
        <v>43646</v>
      </c>
      <c r="G74" s="45" t="s">
        <v>37</v>
      </c>
      <c r="H74" s="47">
        <f t="shared" si="13"/>
        <v>100</v>
      </c>
      <c r="I74" s="47">
        <f t="shared" si="14"/>
        <v>29666.666666666668</v>
      </c>
      <c r="J74" s="47">
        <f t="shared" si="41"/>
        <v>0</v>
      </c>
      <c r="K74" s="47">
        <f>'MayJune working'!Y35</f>
        <v>5300</v>
      </c>
      <c r="L74" s="47">
        <f t="shared" si="16"/>
        <v>-12733.333333333332</v>
      </c>
      <c r="M74" s="47">
        <f t="shared" si="17"/>
        <v>69894.166666666672</v>
      </c>
      <c r="N74" s="196">
        <f t="shared" si="18"/>
        <v>0</v>
      </c>
      <c r="O74" s="47">
        <f t="shared" ref="O74:P74" si="53">K74</f>
        <v>5300</v>
      </c>
      <c r="P74" s="47">
        <f t="shared" si="53"/>
        <v>-12733.333333333332</v>
      </c>
      <c r="Q74" s="197">
        <f t="shared" si="20"/>
        <v>142.92134831460675</v>
      </c>
      <c r="R74" s="34"/>
      <c r="S74" s="34"/>
      <c r="T74" s="87"/>
      <c r="U74" s="4">
        <v>0</v>
      </c>
      <c r="V74" s="23">
        <f t="shared" si="21"/>
        <v>0</v>
      </c>
    </row>
    <row r="75" spans="1:22" ht="14">
      <c r="A75" s="54"/>
      <c r="B75" s="54"/>
      <c r="C75" s="54"/>
      <c r="D75" s="54"/>
      <c r="E75" s="54"/>
      <c r="F75" s="190"/>
      <c r="G75" s="45"/>
      <c r="H75" s="46"/>
      <c r="I75" s="46"/>
      <c r="J75" s="46"/>
      <c r="K75" s="97"/>
      <c r="L75" s="142"/>
      <c r="M75" s="142"/>
      <c r="N75" s="138"/>
      <c r="O75" s="136"/>
      <c r="P75" s="46"/>
      <c r="Q75" s="48"/>
      <c r="V75" s="23">
        <f t="shared" si="21"/>
        <v>0</v>
      </c>
    </row>
    <row r="76" spans="1:22" ht="14">
      <c r="H76" s="46"/>
      <c r="I76" s="46"/>
      <c r="J76" s="46">
        <f>IF(E76="break",0,L76)</f>
        <v>0</v>
      </c>
      <c r="Q76" s="125"/>
    </row>
    <row r="77" spans="1:22" ht="13">
      <c r="Q77" s="125"/>
    </row>
    <row r="78" spans="1:22" ht="13">
      <c r="Q78" s="125"/>
    </row>
    <row r="79" spans="1:22" ht="13">
      <c r="Q79" s="125"/>
    </row>
    <row r="80" spans="1:22" ht="16">
      <c r="B80" s="202"/>
      <c r="C80" s="202"/>
      <c r="D80" s="202"/>
      <c r="E80" s="202"/>
      <c r="F80" s="202"/>
      <c r="G80" s="202"/>
      <c r="H80" s="202"/>
      <c r="I80" s="202"/>
      <c r="J80" s="202"/>
      <c r="Q80" s="125"/>
    </row>
    <row r="81" spans="2:17" ht="16">
      <c r="B81" s="202"/>
      <c r="C81" s="202"/>
      <c r="D81" s="202"/>
      <c r="E81" s="202"/>
      <c r="F81" s="202"/>
      <c r="G81" s="202"/>
      <c r="H81" s="202"/>
      <c r="I81" s="202"/>
      <c r="J81" s="202"/>
      <c r="Q81" s="125"/>
    </row>
    <row r="82" spans="2:17" ht="16">
      <c r="B82" s="202"/>
      <c r="C82" s="202"/>
      <c r="D82" s="203"/>
      <c r="E82" s="204" t="s">
        <v>150</v>
      </c>
      <c r="F82" s="204" t="s">
        <v>151</v>
      </c>
      <c r="G82" s="204" t="s">
        <v>152</v>
      </c>
      <c r="H82" s="204" t="s">
        <v>153</v>
      </c>
      <c r="I82" s="205">
        <v>618</v>
      </c>
      <c r="J82" s="202"/>
      <c r="Q82" s="125"/>
    </row>
    <row r="83" spans="2:17" ht="16">
      <c r="B83" s="202"/>
      <c r="C83" s="202"/>
      <c r="D83" s="206" t="s">
        <v>66</v>
      </c>
      <c r="E83" s="207">
        <v>173600</v>
      </c>
      <c r="F83" s="207">
        <v>157000</v>
      </c>
      <c r="G83" s="207">
        <v>179900</v>
      </c>
      <c r="H83" s="207">
        <v>191200</v>
      </c>
      <c r="I83" s="202"/>
      <c r="J83" s="202"/>
      <c r="Q83" s="125"/>
    </row>
    <row r="84" spans="2:17" ht="16">
      <c r="B84" s="202"/>
      <c r="C84" s="202"/>
      <c r="D84" s="206" t="s">
        <v>3</v>
      </c>
      <c r="E84" s="207">
        <v>445948</v>
      </c>
      <c r="F84" s="207">
        <v>406167</v>
      </c>
      <c r="G84" s="207">
        <v>517948</v>
      </c>
      <c r="H84" s="207">
        <v>359958</v>
      </c>
      <c r="I84" s="202"/>
      <c r="J84" s="202"/>
      <c r="Q84" s="125"/>
    </row>
    <row r="85" spans="2:17" ht="16">
      <c r="B85" s="202"/>
      <c r="C85" s="202"/>
      <c r="D85" s="206" t="s">
        <v>154</v>
      </c>
      <c r="E85" s="208">
        <v>2.6</v>
      </c>
      <c r="F85" s="208">
        <v>2.6</v>
      </c>
      <c r="G85" s="208">
        <v>2.9</v>
      </c>
      <c r="H85" s="208">
        <v>1.9</v>
      </c>
      <c r="I85" s="202"/>
      <c r="J85" s="202"/>
      <c r="Q85" s="125"/>
    </row>
    <row r="86" spans="2:17" ht="16">
      <c r="B86" s="202"/>
      <c r="C86" s="202"/>
      <c r="D86" s="206" t="s">
        <v>155</v>
      </c>
      <c r="E86" s="207">
        <v>1834748</v>
      </c>
      <c r="F86" s="207">
        <v>1662167</v>
      </c>
      <c r="G86" s="207">
        <v>1957148</v>
      </c>
      <c r="H86" s="207">
        <v>1889558</v>
      </c>
      <c r="I86" s="202"/>
      <c r="J86" s="202"/>
      <c r="Q86" s="125"/>
    </row>
    <row r="87" spans="2:17" ht="16">
      <c r="B87" s="202"/>
      <c r="C87" s="202"/>
      <c r="D87" s="209" t="s">
        <v>156</v>
      </c>
      <c r="E87" s="210"/>
      <c r="F87" s="211">
        <v>-0.09</v>
      </c>
      <c r="G87" s="211">
        <v>0.18</v>
      </c>
      <c r="H87" s="211">
        <v>-0.03</v>
      </c>
      <c r="I87" s="212"/>
      <c r="J87" s="202"/>
      <c r="Q87" s="125"/>
    </row>
    <row r="88" spans="2:17" ht="16">
      <c r="B88" s="202"/>
      <c r="C88" s="202"/>
      <c r="D88" s="202"/>
      <c r="E88" s="202"/>
      <c r="F88" s="202"/>
      <c r="G88" s="202"/>
      <c r="H88" s="202"/>
      <c r="I88" s="202"/>
      <c r="J88" s="202"/>
      <c r="Q88" s="125"/>
    </row>
    <row r="89" spans="2:17" ht="16">
      <c r="B89" s="202"/>
      <c r="C89" s="202"/>
      <c r="D89" s="206" t="s">
        <v>157</v>
      </c>
      <c r="E89" s="208">
        <v>240</v>
      </c>
      <c r="F89" s="208">
        <v>210</v>
      </c>
      <c r="G89" s="208">
        <v>235</v>
      </c>
      <c r="H89" s="208">
        <v>235</v>
      </c>
      <c r="I89" s="208">
        <v>324</v>
      </c>
      <c r="J89" s="202"/>
      <c r="Q89" s="125"/>
    </row>
    <row r="90" spans="2:17" ht="16">
      <c r="B90" s="202"/>
      <c r="C90" s="202"/>
      <c r="D90" s="206" t="s">
        <v>40</v>
      </c>
      <c r="E90" s="208">
        <v>266</v>
      </c>
      <c r="F90" s="208">
        <v>297</v>
      </c>
      <c r="G90" s="208">
        <v>297</v>
      </c>
      <c r="H90" s="208">
        <v>297</v>
      </c>
      <c r="I90" s="202"/>
      <c r="J90" s="202"/>
      <c r="Q90" s="125"/>
    </row>
    <row r="91" spans="2:17" ht="16">
      <c r="B91" s="202"/>
      <c r="C91" s="202"/>
      <c r="D91" s="213" t="s">
        <v>156</v>
      </c>
      <c r="E91" s="214"/>
      <c r="F91" s="215">
        <v>-0.13</v>
      </c>
      <c r="G91" s="215">
        <v>0.12</v>
      </c>
      <c r="H91" s="215">
        <v>0</v>
      </c>
      <c r="I91" s="215">
        <v>0.38</v>
      </c>
      <c r="J91" s="202"/>
      <c r="Q91" s="125"/>
    </row>
    <row r="92" spans="2:17" ht="16">
      <c r="B92" s="202"/>
      <c r="C92" s="202"/>
      <c r="D92" s="216" t="s">
        <v>158</v>
      </c>
      <c r="E92" s="217"/>
      <c r="F92" s="218">
        <v>-0.02</v>
      </c>
      <c r="G92" s="218">
        <v>0.12</v>
      </c>
      <c r="H92" s="218">
        <v>0</v>
      </c>
      <c r="I92" s="219"/>
      <c r="J92" s="202"/>
      <c r="Q92" s="125"/>
    </row>
    <row r="93" spans="2:17" ht="16">
      <c r="B93" s="202"/>
      <c r="C93" s="202"/>
      <c r="D93" s="202"/>
      <c r="E93" s="202"/>
      <c r="F93" s="202"/>
      <c r="G93" s="202"/>
      <c r="H93" s="202"/>
      <c r="I93" s="202"/>
      <c r="J93" s="202"/>
      <c r="Q93" s="125"/>
    </row>
    <row r="94" spans="2:17" ht="16">
      <c r="B94" s="202"/>
      <c r="C94" s="202"/>
      <c r="D94" s="202"/>
      <c r="E94" s="202"/>
      <c r="F94" s="202"/>
      <c r="G94" s="202"/>
      <c r="H94" s="202"/>
      <c r="I94" s="202"/>
      <c r="J94" s="202"/>
      <c r="Q94" s="125"/>
    </row>
    <row r="95" spans="2:17" ht="13">
      <c r="Q95" s="125"/>
    </row>
    <row r="96" spans="2:17" ht="13">
      <c r="Q96" s="125"/>
    </row>
    <row r="97" spans="17:17" ht="13">
      <c r="Q97" s="125"/>
    </row>
    <row r="98" spans="17:17" ht="13">
      <c r="Q98" s="125"/>
    </row>
    <row r="99" spans="17:17" ht="13">
      <c r="Q99" s="125"/>
    </row>
    <row r="100" spans="17:17" ht="13">
      <c r="Q100" s="125"/>
    </row>
    <row r="101" spans="17:17" ht="13">
      <c r="Q101" s="125"/>
    </row>
    <row r="102" spans="17:17" ht="13">
      <c r="Q102" s="125"/>
    </row>
    <row r="103" spans="17:17" ht="13">
      <c r="Q103" s="125"/>
    </row>
    <row r="104" spans="17:17" ht="13">
      <c r="Q104" s="125"/>
    </row>
    <row r="105" spans="17:17" ht="13">
      <c r="Q105" s="125"/>
    </row>
    <row r="106" spans="17:17" ht="13">
      <c r="Q106" s="125"/>
    </row>
    <row r="107" spans="17:17" ht="13">
      <c r="Q107" s="125"/>
    </row>
    <row r="108" spans="17:17" ht="13">
      <c r="Q108" s="125"/>
    </row>
    <row r="109" spans="17:17" ht="13">
      <c r="Q109" s="125"/>
    </row>
    <row r="110" spans="17:17" ht="13">
      <c r="Q110" s="125"/>
    </row>
    <row r="111" spans="17:17" ht="13">
      <c r="Q111" s="125"/>
    </row>
    <row r="112" spans="17:17" ht="13">
      <c r="Q112" s="125"/>
    </row>
    <row r="113" spans="17:17" ht="13">
      <c r="Q113" s="125"/>
    </row>
    <row r="114" spans="17:17" ht="13">
      <c r="Q114" s="125"/>
    </row>
    <row r="115" spans="17:17" ht="13">
      <c r="Q115" s="125"/>
    </row>
    <row r="116" spans="17:17" ht="13">
      <c r="Q116" s="125"/>
    </row>
    <row r="117" spans="17:17" ht="13">
      <c r="Q117" s="125"/>
    </row>
    <row r="118" spans="17:17" ht="13">
      <c r="Q118" s="125"/>
    </row>
    <row r="119" spans="17:17" ht="13">
      <c r="Q119" s="125"/>
    </row>
    <row r="120" spans="17:17" ht="13">
      <c r="Q120" s="125"/>
    </row>
    <row r="121" spans="17:17" ht="13">
      <c r="Q121" s="125"/>
    </row>
    <row r="122" spans="17:17" ht="13">
      <c r="Q122" s="125"/>
    </row>
    <row r="123" spans="17:17" ht="13">
      <c r="Q123" s="125"/>
    </row>
    <row r="124" spans="17:17" ht="13">
      <c r="Q124" s="125"/>
    </row>
    <row r="125" spans="17:17" ht="13">
      <c r="Q125" s="125"/>
    </row>
    <row r="126" spans="17:17" ht="13">
      <c r="Q126" s="125"/>
    </row>
    <row r="127" spans="17:17" ht="13">
      <c r="Q127" s="125"/>
    </row>
    <row r="128" spans="17:17" ht="13">
      <c r="Q128" s="125"/>
    </row>
    <row r="129" spans="17:17" ht="13">
      <c r="Q129" s="125"/>
    </row>
    <row r="130" spans="17:17" ht="13">
      <c r="Q130" s="125"/>
    </row>
    <row r="131" spans="17:17" ht="13">
      <c r="Q131" s="125"/>
    </row>
    <row r="132" spans="17:17" ht="13">
      <c r="Q132" s="125"/>
    </row>
    <row r="133" spans="17:17" ht="13">
      <c r="Q133" s="125"/>
    </row>
    <row r="134" spans="17:17" ht="13">
      <c r="Q134" s="125"/>
    </row>
    <row r="135" spans="17:17" ht="13">
      <c r="Q135" s="125"/>
    </row>
    <row r="136" spans="17:17" ht="13">
      <c r="Q136" s="125"/>
    </row>
    <row r="137" spans="17:17" ht="13">
      <c r="Q137" s="125"/>
    </row>
    <row r="138" spans="17:17" ht="13">
      <c r="Q138" s="125"/>
    </row>
    <row r="139" spans="17:17" ht="13">
      <c r="Q139" s="125"/>
    </row>
    <row r="140" spans="17:17" ht="13">
      <c r="Q140" s="125"/>
    </row>
    <row r="141" spans="17:17" ht="13">
      <c r="Q141" s="125"/>
    </row>
    <row r="142" spans="17:17" ht="13">
      <c r="Q142" s="125"/>
    </row>
    <row r="143" spans="17:17" ht="13">
      <c r="Q143" s="125"/>
    </row>
    <row r="144" spans="17:17" ht="13">
      <c r="Q144" s="125"/>
    </row>
    <row r="145" spans="17:17" ht="13">
      <c r="Q145" s="125"/>
    </row>
    <row r="146" spans="17:17" ht="13">
      <c r="Q146" s="125"/>
    </row>
    <row r="147" spans="17:17" ht="13">
      <c r="Q147" s="125"/>
    </row>
    <row r="148" spans="17:17" ht="13">
      <c r="Q148" s="125"/>
    </row>
    <row r="149" spans="17:17" ht="13">
      <c r="Q149" s="125"/>
    </row>
    <row r="150" spans="17:17" ht="13">
      <c r="Q150" s="125"/>
    </row>
    <row r="151" spans="17:17" ht="13">
      <c r="Q151" s="125"/>
    </row>
    <row r="152" spans="17:17" ht="13">
      <c r="Q152" s="125"/>
    </row>
    <row r="153" spans="17:17" ht="13">
      <c r="Q153" s="125"/>
    </row>
    <row r="154" spans="17:17" ht="13">
      <c r="Q154" s="125"/>
    </row>
    <row r="155" spans="17:17" ht="13">
      <c r="Q155" s="125"/>
    </row>
    <row r="156" spans="17:17" ht="13">
      <c r="Q156" s="125"/>
    </row>
    <row r="157" spans="17:17" ht="13">
      <c r="Q157" s="125"/>
    </row>
    <row r="158" spans="17:17" ht="13">
      <c r="Q158" s="125"/>
    </row>
    <row r="159" spans="17:17" ht="13">
      <c r="Q159" s="125"/>
    </row>
    <row r="160" spans="17:17" ht="13">
      <c r="Q160" s="125"/>
    </row>
    <row r="161" spans="17:17" ht="13">
      <c r="Q161" s="125"/>
    </row>
    <row r="162" spans="17:17" ht="13">
      <c r="Q162" s="125"/>
    </row>
    <row r="163" spans="17:17" ht="13">
      <c r="Q163" s="125"/>
    </row>
    <row r="164" spans="17:17" ht="13">
      <c r="Q164" s="125"/>
    </row>
    <row r="165" spans="17:17" ht="13">
      <c r="Q165" s="125"/>
    </row>
    <row r="166" spans="17:17" ht="13">
      <c r="Q166" s="125"/>
    </row>
    <row r="167" spans="17:17" ht="13">
      <c r="Q167" s="125"/>
    </row>
    <row r="168" spans="17:17" ht="13">
      <c r="Q168" s="125"/>
    </row>
    <row r="169" spans="17:17" ht="13">
      <c r="Q169" s="125"/>
    </row>
    <row r="170" spans="17:17" ht="13">
      <c r="Q170" s="125"/>
    </row>
    <row r="171" spans="17:17" ht="13">
      <c r="Q171" s="125"/>
    </row>
    <row r="172" spans="17:17" ht="13">
      <c r="Q172" s="125"/>
    </row>
    <row r="173" spans="17:17" ht="13">
      <c r="Q173" s="125"/>
    </row>
    <row r="174" spans="17:17" ht="13">
      <c r="Q174" s="125"/>
    </row>
    <row r="175" spans="17:17" ht="13">
      <c r="Q175" s="125"/>
    </row>
    <row r="176" spans="17:17" ht="13">
      <c r="Q176" s="125"/>
    </row>
    <row r="177" spans="17:17" ht="13">
      <c r="Q177" s="125"/>
    </row>
    <row r="178" spans="17:17" ht="13">
      <c r="Q178" s="125"/>
    </row>
    <row r="179" spans="17:17" ht="13">
      <c r="Q179" s="125"/>
    </row>
    <row r="180" spans="17:17" ht="13">
      <c r="Q180" s="125"/>
    </row>
    <row r="181" spans="17:17" ht="13">
      <c r="Q181" s="125"/>
    </row>
    <row r="182" spans="17:17" ht="13">
      <c r="Q182" s="125"/>
    </row>
    <row r="183" spans="17:17" ht="13">
      <c r="Q183" s="125"/>
    </row>
    <row r="184" spans="17:17" ht="13">
      <c r="Q184" s="125"/>
    </row>
    <row r="185" spans="17:17" ht="13">
      <c r="Q185" s="125"/>
    </row>
    <row r="186" spans="17:17" ht="13">
      <c r="Q186" s="125"/>
    </row>
    <row r="187" spans="17:17" ht="13">
      <c r="Q187" s="125"/>
    </row>
    <row r="188" spans="17:17" ht="13">
      <c r="Q188" s="125"/>
    </row>
    <row r="189" spans="17:17" ht="13">
      <c r="Q189" s="125"/>
    </row>
    <row r="190" spans="17:17" ht="13">
      <c r="Q190" s="125"/>
    </row>
    <row r="191" spans="17:17" ht="13">
      <c r="Q191" s="125"/>
    </row>
    <row r="192" spans="17:17" ht="13">
      <c r="Q192" s="125"/>
    </row>
    <row r="193" spans="17:17" ht="13">
      <c r="Q193" s="125"/>
    </row>
    <row r="194" spans="17:17" ht="13">
      <c r="Q194" s="125"/>
    </row>
    <row r="195" spans="17:17" ht="13">
      <c r="Q195" s="125"/>
    </row>
    <row r="196" spans="17:17" ht="13">
      <c r="Q196" s="125"/>
    </row>
    <row r="197" spans="17:17" ht="13">
      <c r="Q197" s="125"/>
    </row>
    <row r="198" spans="17:17" ht="13">
      <c r="Q198" s="125"/>
    </row>
    <row r="199" spans="17:17" ht="13">
      <c r="Q199" s="125"/>
    </row>
    <row r="200" spans="17:17" ht="13">
      <c r="Q200" s="125"/>
    </row>
    <row r="201" spans="17:17" ht="13">
      <c r="Q201" s="125"/>
    </row>
    <row r="202" spans="17:17" ht="13">
      <c r="Q202" s="125"/>
    </row>
    <row r="203" spans="17:17" ht="13">
      <c r="Q203" s="125"/>
    </row>
    <row r="204" spans="17:17" ht="13">
      <c r="Q204" s="125"/>
    </row>
    <row r="205" spans="17:17" ht="13">
      <c r="Q205" s="125"/>
    </row>
    <row r="206" spans="17:17" ht="13">
      <c r="Q206" s="125"/>
    </row>
    <row r="207" spans="17:17" ht="13">
      <c r="Q207" s="125"/>
    </row>
    <row r="208" spans="17:17" ht="13">
      <c r="Q208" s="125"/>
    </row>
    <row r="209" spans="17:17" ht="13">
      <c r="Q209" s="125"/>
    </row>
    <row r="210" spans="17:17" ht="13">
      <c r="Q210" s="125"/>
    </row>
    <row r="211" spans="17:17" ht="13">
      <c r="Q211" s="125"/>
    </row>
    <row r="212" spans="17:17" ht="13">
      <c r="Q212" s="125"/>
    </row>
    <row r="213" spans="17:17" ht="13">
      <c r="Q213" s="125"/>
    </row>
    <row r="214" spans="17:17" ht="13">
      <c r="Q214" s="125"/>
    </row>
    <row r="215" spans="17:17" ht="13">
      <c r="Q215" s="125"/>
    </row>
    <row r="216" spans="17:17" ht="13">
      <c r="Q216" s="125"/>
    </row>
    <row r="217" spans="17:17" ht="13">
      <c r="Q217" s="125"/>
    </row>
    <row r="218" spans="17:17" ht="13">
      <c r="Q218" s="125"/>
    </row>
    <row r="219" spans="17:17" ht="13">
      <c r="Q219" s="125"/>
    </row>
    <row r="220" spans="17:17" ht="13">
      <c r="Q220" s="125"/>
    </row>
    <row r="221" spans="17:17" ht="13">
      <c r="Q221" s="125"/>
    </row>
    <row r="222" spans="17:17" ht="13">
      <c r="Q222" s="125"/>
    </row>
    <row r="223" spans="17:17" ht="13">
      <c r="Q223" s="125"/>
    </row>
    <row r="224" spans="17:17" ht="13">
      <c r="Q224" s="125"/>
    </row>
    <row r="225" spans="17:17" ht="13">
      <c r="Q225" s="125"/>
    </row>
    <row r="226" spans="17:17" ht="13">
      <c r="Q226" s="125"/>
    </row>
    <row r="227" spans="17:17" ht="13">
      <c r="Q227" s="125"/>
    </row>
    <row r="228" spans="17:17" ht="13">
      <c r="Q228" s="125"/>
    </row>
    <row r="229" spans="17:17" ht="13">
      <c r="Q229" s="125"/>
    </row>
    <row r="230" spans="17:17" ht="13">
      <c r="Q230" s="125"/>
    </row>
    <row r="231" spans="17:17" ht="13">
      <c r="Q231" s="125"/>
    </row>
    <row r="232" spans="17:17" ht="13">
      <c r="Q232" s="125"/>
    </row>
    <row r="233" spans="17:17" ht="13">
      <c r="Q233" s="125"/>
    </row>
    <row r="234" spans="17:17" ht="13">
      <c r="Q234" s="125"/>
    </row>
    <row r="235" spans="17:17" ht="13">
      <c r="Q235" s="125"/>
    </row>
    <row r="236" spans="17:17" ht="13">
      <c r="Q236" s="125"/>
    </row>
    <row r="237" spans="17:17" ht="13">
      <c r="Q237" s="125"/>
    </row>
    <row r="238" spans="17:17" ht="13">
      <c r="Q238" s="125"/>
    </row>
    <row r="239" spans="17:17" ht="13">
      <c r="Q239" s="125"/>
    </row>
    <row r="240" spans="17:17" ht="13">
      <c r="Q240" s="125"/>
    </row>
    <row r="241" spans="17:17" ht="13">
      <c r="Q241" s="125"/>
    </row>
    <row r="242" spans="17:17" ht="13">
      <c r="Q242" s="125"/>
    </row>
    <row r="243" spans="17:17" ht="13">
      <c r="Q243" s="125"/>
    </row>
    <row r="244" spans="17:17" ht="13">
      <c r="Q244" s="125"/>
    </row>
    <row r="245" spans="17:17" ht="13">
      <c r="Q245" s="125"/>
    </row>
    <row r="246" spans="17:17" ht="13">
      <c r="Q246" s="125"/>
    </row>
    <row r="247" spans="17:17" ht="13">
      <c r="Q247" s="125"/>
    </row>
    <row r="248" spans="17:17" ht="13">
      <c r="Q248" s="125"/>
    </row>
    <row r="249" spans="17:17" ht="13">
      <c r="Q249" s="125"/>
    </row>
    <row r="250" spans="17:17" ht="13">
      <c r="Q250" s="125"/>
    </row>
    <row r="251" spans="17:17" ht="13">
      <c r="Q251" s="125"/>
    </row>
    <row r="252" spans="17:17" ht="13">
      <c r="Q252" s="125"/>
    </row>
    <row r="253" spans="17:17" ht="13">
      <c r="Q253" s="125"/>
    </row>
    <row r="254" spans="17:17" ht="13">
      <c r="Q254" s="125"/>
    </row>
    <row r="255" spans="17:17" ht="13">
      <c r="Q255" s="125"/>
    </row>
    <row r="256" spans="17:17" ht="13">
      <c r="Q256" s="125"/>
    </row>
    <row r="257" spans="17:17" ht="13">
      <c r="Q257" s="125"/>
    </row>
    <row r="258" spans="17:17" ht="13">
      <c r="Q258" s="125"/>
    </row>
    <row r="259" spans="17:17" ht="13">
      <c r="Q259" s="125"/>
    </row>
    <row r="260" spans="17:17" ht="13">
      <c r="Q260" s="125"/>
    </row>
    <row r="261" spans="17:17" ht="13">
      <c r="Q261" s="125"/>
    </row>
    <row r="262" spans="17:17" ht="13">
      <c r="Q262" s="125"/>
    </row>
    <row r="263" spans="17:17" ht="13">
      <c r="Q263" s="125"/>
    </row>
    <row r="264" spans="17:17" ht="13">
      <c r="Q264" s="125"/>
    </row>
    <row r="265" spans="17:17" ht="13">
      <c r="Q265" s="125"/>
    </row>
    <row r="266" spans="17:17" ht="13">
      <c r="Q266" s="125"/>
    </row>
    <row r="267" spans="17:17" ht="13">
      <c r="Q267" s="125"/>
    </row>
    <row r="268" spans="17:17" ht="13">
      <c r="Q268" s="125"/>
    </row>
    <row r="269" spans="17:17" ht="13">
      <c r="Q269" s="125"/>
    </row>
    <row r="270" spans="17:17" ht="13">
      <c r="Q270" s="125"/>
    </row>
    <row r="271" spans="17:17" ht="13">
      <c r="Q271" s="125"/>
    </row>
    <row r="272" spans="17:17" ht="13">
      <c r="Q272" s="125"/>
    </row>
    <row r="273" spans="17:17" ht="13">
      <c r="Q273" s="125"/>
    </row>
    <row r="274" spans="17:17" ht="13">
      <c r="Q274" s="125"/>
    </row>
    <row r="275" spans="17:17" ht="13">
      <c r="Q275" s="125"/>
    </row>
    <row r="276" spans="17:17" ht="13">
      <c r="Q276" s="125"/>
    </row>
    <row r="277" spans="17:17" ht="13">
      <c r="Q277" s="125"/>
    </row>
    <row r="278" spans="17:17" ht="13">
      <c r="Q278" s="125"/>
    </row>
    <row r="279" spans="17:17" ht="13">
      <c r="Q279" s="125"/>
    </row>
    <row r="280" spans="17:17" ht="13">
      <c r="Q280" s="125"/>
    </row>
    <row r="281" spans="17:17" ht="13">
      <c r="Q281" s="125"/>
    </row>
    <row r="282" spans="17:17" ht="13">
      <c r="Q282" s="125"/>
    </row>
    <row r="283" spans="17:17" ht="13">
      <c r="Q283" s="125"/>
    </row>
    <row r="284" spans="17:17" ht="13">
      <c r="Q284" s="125"/>
    </row>
    <row r="285" spans="17:17" ht="13">
      <c r="Q285" s="125"/>
    </row>
    <row r="286" spans="17:17" ht="13">
      <c r="Q286" s="125"/>
    </row>
    <row r="287" spans="17:17" ht="13">
      <c r="Q287" s="125"/>
    </row>
    <row r="288" spans="17:17" ht="13">
      <c r="Q288" s="125"/>
    </row>
    <row r="289" spans="17:17" ht="13">
      <c r="Q289" s="125"/>
    </row>
    <row r="290" spans="17:17" ht="13">
      <c r="Q290" s="125"/>
    </row>
    <row r="291" spans="17:17" ht="13">
      <c r="Q291" s="125"/>
    </row>
    <row r="292" spans="17:17" ht="13">
      <c r="Q292" s="125"/>
    </row>
    <row r="293" spans="17:17" ht="13">
      <c r="Q293" s="125"/>
    </row>
    <row r="294" spans="17:17" ht="13">
      <c r="Q294" s="125"/>
    </row>
    <row r="295" spans="17:17" ht="13">
      <c r="Q295" s="125"/>
    </row>
    <row r="296" spans="17:17" ht="13">
      <c r="Q296" s="125"/>
    </row>
    <row r="297" spans="17:17" ht="13">
      <c r="Q297" s="125"/>
    </row>
    <row r="298" spans="17:17" ht="13">
      <c r="Q298" s="125"/>
    </row>
    <row r="299" spans="17:17" ht="13">
      <c r="Q299" s="125"/>
    </row>
    <row r="300" spans="17:17" ht="13">
      <c r="Q300" s="125"/>
    </row>
    <row r="301" spans="17:17" ht="13">
      <c r="Q301" s="125"/>
    </row>
    <row r="302" spans="17:17" ht="13">
      <c r="Q302" s="125"/>
    </row>
    <row r="303" spans="17:17" ht="13">
      <c r="Q303" s="125"/>
    </row>
    <row r="304" spans="17:17" ht="13">
      <c r="Q304" s="125"/>
    </row>
    <row r="305" spans="17:17" ht="13">
      <c r="Q305" s="125"/>
    </row>
    <row r="306" spans="17:17" ht="13">
      <c r="Q306" s="125"/>
    </row>
    <row r="307" spans="17:17" ht="13">
      <c r="Q307" s="125"/>
    </row>
    <row r="308" spans="17:17" ht="13">
      <c r="Q308" s="125"/>
    </row>
    <row r="309" spans="17:17" ht="13">
      <c r="Q309" s="125"/>
    </row>
    <row r="310" spans="17:17" ht="13">
      <c r="Q310" s="125"/>
    </row>
    <row r="311" spans="17:17" ht="13">
      <c r="Q311" s="125"/>
    </row>
    <row r="312" spans="17:17" ht="13">
      <c r="Q312" s="125"/>
    </row>
    <row r="313" spans="17:17" ht="13">
      <c r="Q313" s="125"/>
    </row>
    <row r="314" spans="17:17" ht="13">
      <c r="Q314" s="125"/>
    </row>
    <row r="315" spans="17:17" ht="13">
      <c r="Q315" s="125"/>
    </row>
    <row r="316" spans="17:17" ht="13">
      <c r="Q316" s="125"/>
    </row>
    <row r="317" spans="17:17" ht="13">
      <c r="Q317" s="125"/>
    </row>
    <row r="318" spans="17:17" ht="13">
      <c r="Q318" s="125"/>
    </row>
    <row r="319" spans="17:17" ht="13">
      <c r="Q319" s="125"/>
    </row>
    <row r="320" spans="17:17" ht="13">
      <c r="Q320" s="125"/>
    </row>
    <row r="321" spans="17:17" ht="13">
      <c r="Q321" s="125"/>
    </row>
    <row r="322" spans="17:17" ht="13">
      <c r="Q322" s="125"/>
    </row>
    <row r="323" spans="17:17" ht="13">
      <c r="Q323" s="125"/>
    </row>
    <row r="324" spans="17:17" ht="13">
      <c r="Q324" s="125"/>
    </row>
    <row r="325" spans="17:17" ht="13">
      <c r="Q325" s="125"/>
    </row>
    <row r="326" spans="17:17" ht="13">
      <c r="Q326" s="125"/>
    </row>
    <row r="327" spans="17:17" ht="13">
      <c r="Q327" s="125"/>
    </row>
    <row r="328" spans="17:17" ht="13">
      <c r="Q328" s="125"/>
    </row>
    <row r="329" spans="17:17" ht="13">
      <c r="Q329" s="125"/>
    </row>
    <row r="330" spans="17:17" ht="13">
      <c r="Q330" s="125"/>
    </row>
    <row r="331" spans="17:17" ht="13">
      <c r="Q331" s="125"/>
    </row>
    <row r="332" spans="17:17" ht="13">
      <c r="Q332" s="125"/>
    </row>
    <row r="333" spans="17:17" ht="13">
      <c r="Q333" s="125"/>
    </row>
    <row r="334" spans="17:17" ht="13">
      <c r="Q334" s="125"/>
    </row>
    <row r="335" spans="17:17" ht="13">
      <c r="Q335" s="125"/>
    </row>
    <row r="336" spans="17:17" ht="13">
      <c r="Q336" s="125"/>
    </row>
    <row r="337" spans="17:17" ht="13">
      <c r="Q337" s="125"/>
    </row>
    <row r="338" spans="17:17" ht="13">
      <c r="Q338" s="125"/>
    </row>
    <row r="339" spans="17:17" ht="13">
      <c r="Q339" s="125"/>
    </row>
    <row r="340" spans="17:17" ht="13">
      <c r="Q340" s="125"/>
    </row>
    <row r="341" spans="17:17" ht="13">
      <c r="Q341" s="125"/>
    </row>
    <row r="342" spans="17:17" ht="13">
      <c r="Q342" s="125"/>
    </row>
    <row r="343" spans="17:17" ht="13">
      <c r="Q343" s="125"/>
    </row>
    <row r="344" spans="17:17" ht="13">
      <c r="Q344" s="125"/>
    </row>
    <row r="345" spans="17:17" ht="13">
      <c r="Q345" s="125"/>
    </row>
    <row r="346" spans="17:17" ht="13">
      <c r="Q346" s="125"/>
    </row>
    <row r="347" spans="17:17" ht="13">
      <c r="Q347" s="125"/>
    </row>
    <row r="348" spans="17:17" ht="13">
      <c r="Q348" s="125"/>
    </row>
    <row r="349" spans="17:17" ht="13">
      <c r="Q349" s="125"/>
    </row>
    <row r="350" spans="17:17" ht="13">
      <c r="Q350" s="125"/>
    </row>
    <row r="351" spans="17:17" ht="13">
      <c r="Q351" s="125"/>
    </row>
    <row r="352" spans="17:17" ht="13">
      <c r="Q352" s="125"/>
    </row>
    <row r="353" spans="17:17" ht="13">
      <c r="Q353" s="125"/>
    </row>
    <row r="354" spans="17:17" ht="13">
      <c r="Q354" s="125"/>
    </row>
    <row r="355" spans="17:17" ht="13">
      <c r="Q355" s="125"/>
    </row>
    <row r="356" spans="17:17" ht="13">
      <c r="Q356" s="125"/>
    </row>
    <row r="357" spans="17:17" ht="13">
      <c r="Q357" s="125"/>
    </row>
    <row r="358" spans="17:17" ht="13">
      <c r="Q358" s="125"/>
    </row>
    <row r="359" spans="17:17" ht="13">
      <c r="Q359" s="125"/>
    </row>
    <row r="360" spans="17:17" ht="13">
      <c r="Q360" s="125"/>
    </row>
    <row r="361" spans="17:17" ht="13">
      <c r="Q361" s="125"/>
    </row>
    <row r="362" spans="17:17" ht="13">
      <c r="Q362" s="125"/>
    </row>
    <row r="363" spans="17:17" ht="13">
      <c r="Q363" s="125"/>
    </row>
    <row r="364" spans="17:17" ht="13">
      <c r="Q364" s="125"/>
    </row>
    <row r="365" spans="17:17" ht="13">
      <c r="Q365" s="125"/>
    </row>
    <row r="366" spans="17:17" ht="13">
      <c r="Q366" s="125"/>
    </row>
    <row r="367" spans="17:17" ht="13">
      <c r="Q367" s="125"/>
    </row>
    <row r="368" spans="17:17" ht="13">
      <c r="Q368" s="125"/>
    </row>
    <row r="369" spans="17:17" ht="13">
      <c r="Q369" s="125"/>
    </row>
    <row r="370" spans="17:17" ht="13">
      <c r="Q370" s="125"/>
    </row>
    <row r="371" spans="17:17" ht="13">
      <c r="Q371" s="125"/>
    </row>
    <row r="372" spans="17:17" ht="13">
      <c r="Q372" s="125"/>
    </row>
    <row r="373" spans="17:17" ht="13">
      <c r="Q373" s="125"/>
    </row>
    <row r="374" spans="17:17" ht="13">
      <c r="Q374" s="125"/>
    </row>
    <row r="375" spans="17:17" ht="13">
      <c r="Q375" s="125"/>
    </row>
    <row r="376" spans="17:17" ht="13">
      <c r="Q376" s="125"/>
    </row>
    <row r="377" spans="17:17" ht="13">
      <c r="Q377" s="125"/>
    </row>
    <row r="378" spans="17:17" ht="13">
      <c r="Q378" s="125"/>
    </row>
    <row r="379" spans="17:17" ht="13">
      <c r="Q379" s="125"/>
    </row>
    <row r="380" spans="17:17" ht="13">
      <c r="Q380" s="125"/>
    </row>
    <row r="381" spans="17:17" ht="13">
      <c r="Q381" s="125"/>
    </row>
    <row r="382" spans="17:17" ht="13">
      <c r="Q382" s="125"/>
    </row>
    <row r="383" spans="17:17" ht="13">
      <c r="Q383" s="125"/>
    </row>
    <row r="384" spans="17:17" ht="13">
      <c r="Q384" s="125"/>
    </row>
    <row r="385" spans="17:17" ht="13">
      <c r="Q385" s="125"/>
    </row>
    <row r="386" spans="17:17" ht="13">
      <c r="Q386" s="125"/>
    </row>
    <row r="387" spans="17:17" ht="13">
      <c r="Q387" s="125"/>
    </row>
    <row r="388" spans="17:17" ht="13">
      <c r="Q388" s="125"/>
    </row>
    <row r="389" spans="17:17" ht="13">
      <c r="Q389" s="125"/>
    </row>
    <row r="390" spans="17:17" ht="13">
      <c r="Q390" s="125"/>
    </row>
    <row r="391" spans="17:17" ht="13">
      <c r="Q391" s="125"/>
    </row>
    <row r="392" spans="17:17" ht="13">
      <c r="Q392" s="125"/>
    </row>
    <row r="393" spans="17:17" ht="13">
      <c r="Q393" s="125"/>
    </row>
    <row r="394" spans="17:17" ht="13">
      <c r="Q394" s="125"/>
    </row>
    <row r="395" spans="17:17" ht="13">
      <c r="Q395" s="125"/>
    </row>
    <row r="396" spans="17:17" ht="13">
      <c r="Q396" s="125"/>
    </row>
    <row r="397" spans="17:17" ht="13">
      <c r="Q397" s="125"/>
    </row>
    <row r="398" spans="17:17" ht="13">
      <c r="Q398" s="125"/>
    </row>
    <row r="399" spans="17:17" ht="13">
      <c r="Q399" s="125"/>
    </row>
    <row r="400" spans="17:17" ht="13">
      <c r="Q400" s="125"/>
    </row>
    <row r="401" spans="17:17" ht="13">
      <c r="Q401" s="125"/>
    </row>
    <row r="402" spans="17:17" ht="13">
      <c r="Q402" s="125"/>
    </row>
    <row r="403" spans="17:17" ht="13">
      <c r="Q403" s="125"/>
    </row>
    <row r="404" spans="17:17" ht="13">
      <c r="Q404" s="125"/>
    </row>
    <row r="405" spans="17:17" ht="13">
      <c r="Q405" s="125"/>
    </row>
    <row r="406" spans="17:17" ht="13">
      <c r="Q406" s="125"/>
    </row>
    <row r="407" spans="17:17" ht="13">
      <c r="Q407" s="125"/>
    </row>
    <row r="408" spans="17:17" ht="13">
      <c r="Q408" s="125"/>
    </row>
    <row r="409" spans="17:17" ht="13">
      <c r="Q409" s="125"/>
    </row>
    <row r="410" spans="17:17" ht="13">
      <c r="Q410" s="125"/>
    </row>
    <row r="411" spans="17:17" ht="13">
      <c r="Q411" s="125"/>
    </row>
    <row r="412" spans="17:17" ht="13">
      <c r="Q412" s="125"/>
    </row>
    <row r="413" spans="17:17" ht="13">
      <c r="Q413" s="125"/>
    </row>
    <row r="414" spans="17:17" ht="13">
      <c r="Q414" s="125"/>
    </row>
    <row r="415" spans="17:17" ht="13">
      <c r="Q415" s="125"/>
    </row>
    <row r="416" spans="17:17" ht="13">
      <c r="Q416" s="125"/>
    </row>
    <row r="417" spans="17:17" ht="13">
      <c r="Q417" s="125"/>
    </row>
    <row r="418" spans="17:17" ht="13">
      <c r="Q418" s="125"/>
    </row>
    <row r="419" spans="17:17" ht="13">
      <c r="Q419" s="125"/>
    </row>
    <row r="420" spans="17:17" ht="13">
      <c r="Q420" s="125"/>
    </row>
    <row r="421" spans="17:17" ht="13">
      <c r="Q421" s="125"/>
    </row>
    <row r="422" spans="17:17" ht="13">
      <c r="Q422" s="125"/>
    </row>
    <row r="423" spans="17:17" ht="13">
      <c r="Q423" s="125"/>
    </row>
    <row r="424" spans="17:17" ht="13">
      <c r="Q424" s="125"/>
    </row>
    <row r="425" spans="17:17" ht="13">
      <c r="Q425" s="125"/>
    </row>
    <row r="426" spans="17:17" ht="13">
      <c r="Q426" s="125"/>
    </row>
    <row r="427" spans="17:17" ht="13">
      <c r="Q427" s="125"/>
    </row>
    <row r="428" spans="17:17" ht="13">
      <c r="Q428" s="125"/>
    </row>
    <row r="429" spans="17:17" ht="13">
      <c r="Q429" s="125"/>
    </row>
    <row r="430" spans="17:17" ht="13">
      <c r="Q430" s="125"/>
    </row>
    <row r="431" spans="17:17" ht="13">
      <c r="Q431" s="125"/>
    </row>
    <row r="432" spans="17:17" ht="13">
      <c r="Q432" s="125"/>
    </row>
    <row r="433" spans="17:17" ht="13">
      <c r="Q433" s="125"/>
    </row>
    <row r="434" spans="17:17" ht="13">
      <c r="Q434" s="125"/>
    </row>
    <row r="435" spans="17:17" ht="13">
      <c r="Q435" s="125"/>
    </row>
    <row r="436" spans="17:17" ht="13">
      <c r="Q436" s="125"/>
    </row>
    <row r="437" spans="17:17" ht="13">
      <c r="Q437" s="125"/>
    </row>
    <row r="438" spans="17:17" ht="13">
      <c r="Q438" s="125"/>
    </row>
    <row r="439" spans="17:17" ht="13">
      <c r="Q439" s="125"/>
    </row>
    <row r="440" spans="17:17" ht="13">
      <c r="Q440" s="125"/>
    </row>
    <row r="441" spans="17:17" ht="13">
      <c r="Q441" s="125"/>
    </row>
    <row r="442" spans="17:17" ht="13">
      <c r="Q442" s="125"/>
    </row>
    <row r="443" spans="17:17" ht="13">
      <c r="Q443" s="125"/>
    </row>
    <row r="444" spans="17:17" ht="13">
      <c r="Q444" s="125"/>
    </row>
    <row r="445" spans="17:17" ht="13">
      <c r="Q445" s="125"/>
    </row>
    <row r="446" spans="17:17" ht="13">
      <c r="Q446" s="125"/>
    </row>
    <row r="447" spans="17:17" ht="13">
      <c r="Q447" s="125"/>
    </row>
    <row r="448" spans="17:17" ht="13">
      <c r="Q448" s="125"/>
    </row>
    <row r="449" spans="17:17" ht="13">
      <c r="Q449" s="125"/>
    </row>
    <row r="450" spans="17:17" ht="13">
      <c r="Q450" s="125"/>
    </row>
    <row r="451" spans="17:17" ht="13">
      <c r="Q451" s="125"/>
    </row>
    <row r="452" spans="17:17" ht="13">
      <c r="Q452" s="125"/>
    </row>
    <row r="453" spans="17:17" ht="13">
      <c r="Q453" s="125"/>
    </row>
    <row r="454" spans="17:17" ht="13">
      <c r="Q454" s="125"/>
    </row>
    <row r="455" spans="17:17" ht="13">
      <c r="Q455" s="125"/>
    </row>
    <row r="456" spans="17:17" ht="13">
      <c r="Q456" s="125"/>
    </row>
    <row r="457" spans="17:17" ht="13">
      <c r="Q457" s="125"/>
    </row>
    <row r="458" spans="17:17" ht="13">
      <c r="Q458" s="125"/>
    </row>
    <row r="459" spans="17:17" ht="13">
      <c r="Q459" s="125"/>
    </row>
    <row r="460" spans="17:17" ht="13">
      <c r="Q460" s="125"/>
    </row>
    <row r="461" spans="17:17" ht="13">
      <c r="Q461" s="125"/>
    </row>
    <row r="462" spans="17:17" ht="13">
      <c r="Q462" s="125"/>
    </row>
    <row r="463" spans="17:17" ht="13">
      <c r="Q463" s="125"/>
    </row>
    <row r="464" spans="17:17" ht="13">
      <c r="Q464" s="125"/>
    </row>
    <row r="465" spans="17:17" ht="13">
      <c r="Q465" s="125"/>
    </row>
    <row r="466" spans="17:17" ht="13">
      <c r="Q466" s="125"/>
    </row>
    <row r="467" spans="17:17" ht="13">
      <c r="Q467" s="125"/>
    </row>
    <row r="468" spans="17:17" ht="13">
      <c r="Q468" s="125"/>
    </row>
    <row r="469" spans="17:17" ht="13">
      <c r="Q469" s="125"/>
    </row>
    <row r="470" spans="17:17" ht="13">
      <c r="Q470" s="125"/>
    </row>
    <row r="471" spans="17:17" ht="13">
      <c r="Q471" s="125"/>
    </row>
    <row r="472" spans="17:17" ht="13">
      <c r="Q472" s="125"/>
    </row>
    <row r="473" spans="17:17" ht="13">
      <c r="Q473" s="125"/>
    </row>
    <row r="474" spans="17:17" ht="13">
      <c r="Q474" s="125"/>
    </row>
    <row r="475" spans="17:17" ht="13">
      <c r="Q475" s="125"/>
    </row>
    <row r="476" spans="17:17" ht="13">
      <c r="Q476" s="125"/>
    </row>
    <row r="477" spans="17:17" ht="13">
      <c r="Q477" s="125"/>
    </row>
    <row r="478" spans="17:17" ht="13">
      <c r="Q478" s="125"/>
    </row>
    <row r="479" spans="17:17" ht="13">
      <c r="Q479" s="125"/>
    </row>
    <row r="480" spans="17:17" ht="13">
      <c r="Q480" s="125"/>
    </row>
    <row r="481" spans="17:17" ht="13">
      <c r="Q481" s="125"/>
    </row>
    <row r="482" spans="17:17" ht="13">
      <c r="Q482" s="125"/>
    </row>
    <row r="483" spans="17:17" ht="13">
      <c r="Q483" s="125"/>
    </row>
    <row r="484" spans="17:17" ht="13">
      <c r="Q484" s="125"/>
    </row>
    <row r="485" spans="17:17" ht="13">
      <c r="Q485" s="125"/>
    </row>
    <row r="486" spans="17:17" ht="13">
      <c r="Q486" s="125"/>
    </row>
    <row r="487" spans="17:17" ht="13">
      <c r="Q487" s="125"/>
    </row>
    <row r="488" spans="17:17" ht="13">
      <c r="Q488" s="125"/>
    </row>
    <row r="489" spans="17:17" ht="13">
      <c r="Q489" s="125"/>
    </row>
    <row r="490" spans="17:17" ht="13">
      <c r="Q490" s="125"/>
    </row>
    <row r="491" spans="17:17" ht="13">
      <c r="Q491" s="125"/>
    </row>
    <row r="492" spans="17:17" ht="13">
      <c r="Q492" s="125"/>
    </row>
    <row r="493" spans="17:17" ht="13">
      <c r="Q493" s="125"/>
    </row>
    <row r="494" spans="17:17" ht="13">
      <c r="Q494" s="125"/>
    </row>
    <row r="495" spans="17:17" ht="13">
      <c r="Q495" s="125"/>
    </row>
    <row r="496" spans="17:17" ht="13">
      <c r="Q496" s="125"/>
    </row>
    <row r="497" spans="17:17" ht="13">
      <c r="Q497" s="125"/>
    </row>
    <row r="498" spans="17:17" ht="13">
      <c r="Q498" s="125"/>
    </row>
    <row r="499" spans="17:17" ht="13">
      <c r="Q499" s="125"/>
    </row>
    <row r="500" spans="17:17" ht="13">
      <c r="Q500" s="125"/>
    </row>
    <row r="501" spans="17:17" ht="13">
      <c r="Q501" s="125"/>
    </row>
    <row r="502" spans="17:17" ht="13">
      <c r="Q502" s="125"/>
    </row>
    <row r="503" spans="17:17" ht="13">
      <c r="Q503" s="125"/>
    </row>
    <row r="504" spans="17:17" ht="13">
      <c r="Q504" s="125"/>
    </row>
    <row r="505" spans="17:17" ht="13">
      <c r="Q505" s="125"/>
    </row>
    <row r="506" spans="17:17" ht="13">
      <c r="Q506" s="125"/>
    </row>
    <row r="507" spans="17:17" ht="13">
      <c r="Q507" s="125"/>
    </row>
    <row r="508" spans="17:17" ht="13">
      <c r="Q508" s="125"/>
    </row>
    <row r="509" spans="17:17" ht="13">
      <c r="Q509" s="125"/>
    </row>
    <row r="510" spans="17:17" ht="13">
      <c r="Q510" s="125"/>
    </row>
    <row r="511" spans="17:17" ht="13">
      <c r="Q511" s="125"/>
    </row>
    <row r="512" spans="17:17" ht="13">
      <c r="Q512" s="125"/>
    </row>
    <row r="513" spans="17:17" ht="13">
      <c r="Q513" s="125"/>
    </row>
    <row r="514" spans="17:17" ht="13">
      <c r="Q514" s="125"/>
    </row>
    <row r="515" spans="17:17" ht="13">
      <c r="Q515" s="125"/>
    </row>
    <row r="516" spans="17:17" ht="13">
      <c r="Q516" s="125"/>
    </row>
    <row r="517" spans="17:17" ht="13">
      <c r="Q517" s="125"/>
    </row>
    <row r="518" spans="17:17" ht="13">
      <c r="Q518" s="125"/>
    </row>
    <row r="519" spans="17:17" ht="13">
      <c r="Q519" s="125"/>
    </row>
    <row r="520" spans="17:17" ht="13">
      <c r="Q520" s="125"/>
    </row>
    <row r="521" spans="17:17" ht="13">
      <c r="Q521" s="125"/>
    </row>
    <row r="522" spans="17:17" ht="13">
      <c r="Q522" s="125"/>
    </row>
    <row r="523" spans="17:17" ht="13">
      <c r="Q523" s="125"/>
    </row>
    <row r="524" spans="17:17" ht="13">
      <c r="Q524" s="125"/>
    </row>
    <row r="525" spans="17:17" ht="13">
      <c r="Q525" s="125"/>
    </row>
    <row r="526" spans="17:17" ht="13">
      <c r="Q526" s="125"/>
    </row>
    <row r="527" spans="17:17" ht="13">
      <c r="Q527" s="125"/>
    </row>
    <row r="528" spans="17:17" ht="13">
      <c r="Q528" s="125"/>
    </row>
    <row r="529" spans="17:17" ht="13">
      <c r="Q529" s="125"/>
    </row>
    <row r="530" spans="17:17" ht="13">
      <c r="Q530" s="125"/>
    </row>
    <row r="531" spans="17:17" ht="13">
      <c r="Q531" s="125"/>
    </row>
    <row r="532" spans="17:17" ht="13">
      <c r="Q532" s="125"/>
    </row>
    <row r="533" spans="17:17" ht="13">
      <c r="Q533" s="125"/>
    </row>
    <row r="534" spans="17:17" ht="13">
      <c r="Q534" s="125"/>
    </row>
    <row r="535" spans="17:17" ht="13">
      <c r="Q535" s="125"/>
    </row>
    <row r="536" spans="17:17" ht="13">
      <c r="Q536" s="125"/>
    </row>
    <row r="537" spans="17:17" ht="13">
      <c r="Q537" s="125"/>
    </row>
    <row r="538" spans="17:17" ht="13">
      <c r="Q538" s="125"/>
    </row>
    <row r="539" spans="17:17" ht="13">
      <c r="Q539" s="125"/>
    </row>
    <row r="540" spans="17:17" ht="13">
      <c r="Q540" s="125"/>
    </row>
    <row r="541" spans="17:17" ht="13">
      <c r="Q541" s="125"/>
    </row>
    <row r="542" spans="17:17" ht="13">
      <c r="Q542" s="125"/>
    </row>
    <row r="543" spans="17:17" ht="13">
      <c r="Q543" s="125"/>
    </row>
    <row r="544" spans="17:17" ht="13">
      <c r="Q544" s="125"/>
    </row>
    <row r="545" spans="17:17" ht="13">
      <c r="Q545" s="125"/>
    </row>
    <row r="546" spans="17:17" ht="13">
      <c r="Q546" s="125"/>
    </row>
    <row r="547" spans="17:17" ht="13">
      <c r="Q547" s="125"/>
    </row>
    <row r="548" spans="17:17" ht="13">
      <c r="Q548" s="125"/>
    </row>
    <row r="549" spans="17:17" ht="13">
      <c r="Q549" s="125"/>
    </row>
    <row r="550" spans="17:17" ht="13">
      <c r="Q550" s="125"/>
    </row>
    <row r="551" spans="17:17" ht="13">
      <c r="Q551" s="125"/>
    </row>
    <row r="552" spans="17:17" ht="13">
      <c r="Q552" s="125"/>
    </row>
    <row r="553" spans="17:17" ht="13">
      <c r="Q553" s="125"/>
    </row>
    <row r="554" spans="17:17" ht="13">
      <c r="Q554" s="125"/>
    </row>
    <row r="555" spans="17:17" ht="13">
      <c r="Q555" s="125"/>
    </row>
    <row r="556" spans="17:17" ht="13">
      <c r="Q556" s="125"/>
    </row>
    <row r="557" spans="17:17" ht="13">
      <c r="Q557" s="125"/>
    </row>
    <row r="558" spans="17:17" ht="13">
      <c r="Q558" s="125"/>
    </row>
    <row r="559" spans="17:17" ht="13">
      <c r="Q559" s="125"/>
    </row>
    <row r="560" spans="17:17" ht="13">
      <c r="Q560" s="125"/>
    </row>
    <row r="561" spans="17:17" ht="13">
      <c r="Q561" s="125"/>
    </row>
    <row r="562" spans="17:17" ht="13">
      <c r="Q562" s="125"/>
    </row>
    <row r="563" spans="17:17" ht="13">
      <c r="Q563" s="125"/>
    </row>
    <row r="564" spans="17:17" ht="13">
      <c r="Q564" s="125"/>
    </row>
    <row r="565" spans="17:17" ht="13">
      <c r="Q565" s="125"/>
    </row>
    <row r="566" spans="17:17" ht="13">
      <c r="Q566" s="125"/>
    </row>
    <row r="567" spans="17:17" ht="13">
      <c r="Q567" s="125"/>
    </row>
    <row r="568" spans="17:17" ht="13">
      <c r="Q568" s="125"/>
    </row>
    <row r="569" spans="17:17" ht="13">
      <c r="Q569" s="125"/>
    </row>
    <row r="570" spans="17:17" ht="13">
      <c r="Q570" s="125"/>
    </row>
    <row r="571" spans="17:17" ht="13">
      <c r="Q571" s="125"/>
    </row>
    <row r="572" spans="17:17" ht="13">
      <c r="Q572" s="125"/>
    </row>
    <row r="573" spans="17:17" ht="13">
      <c r="Q573" s="125"/>
    </row>
    <row r="574" spans="17:17" ht="13">
      <c r="Q574" s="125"/>
    </row>
    <row r="575" spans="17:17" ht="13">
      <c r="Q575" s="125"/>
    </row>
    <row r="576" spans="17:17" ht="13">
      <c r="Q576" s="125"/>
    </row>
    <row r="577" spans="17:17" ht="13">
      <c r="Q577" s="125"/>
    </row>
    <row r="578" spans="17:17" ht="13">
      <c r="Q578" s="125"/>
    </row>
    <row r="579" spans="17:17" ht="13">
      <c r="Q579" s="125"/>
    </row>
    <row r="580" spans="17:17" ht="13">
      <c r="Q580" s="125"/>
    </row>
    <row r="581" spans="17:17" ht="13">
      <c r="Q581" s="125"/>
    </row>
    <row r="582" spans="17:17" ht="13">
      <c r="Q582" s="125"/>
    </row>
    <row r="583" spans="17:17" ht="13">
      <c r="Q583" s="125"/>
    </row>
    <row r="584" spans="17:17" ht="13">
      <c r="Q584" s="125"/>
    </row>
    <row r="585" spans="17:17" ht="13">
      <c r="Q585" s="125"/>
    </row>
    <row r="586" spans="17:17" ht="13">
      <c r="Q586" s="125"/>
    </row>
    <row r="587" spans="17:17" ht="13">
      <c r="Q587" s="125"/>
    </row>
    <row r="588" spans="17:17" ht="13">
      <c r="Q588" s="125"/>
    </row>
    <row r="589" spans="17:17" ht="13">
      <c r="Q589" s="125"/>
    </row>
    <row r="590" spans="17:17" ht="13">
      <c r="Q590" s="125"/>
    </row>
    <row r="591" spans="17:17" ht="13">
      <c r="Q591" s="125"/>
    </row>
    <row r="592" spans="17:17" ht="13">
      <c r="Q592" s="125"/>
    </row>
    <row r="593" spans="17:17" ht="13">
      <c r="Q593" s="125"/>
    </row>
    <row r="594" spans="17:17" ht="13">
      <c r="Q594" s="125"/>
    </row>
    <row r="595" spans="17:17" ht="13">
      <c r="Q595" s="125"/>
    </row>
    <row r="596" spans="17:17" ht="13">
      <c r="Q596" s="125"/>
    </row>
    <row r="597" spans="17:17" ht="13">
      <c r="Q597" s="125"/>
    </row>
    <row r="598" spans="17:17" ht="13">
      <c r="Q598" s="125"/>
    </row>
    <row r="599" spans="17:17" ht="13">
      <c r="Q599" s="125"/>
    </row>
    <row r="600" spans="17:17" ht="13">
      <c r="Q600" s="125"/>
    </row>
    <row r="601" spans="17:17" ht="13">
      <c r="Q601" s="125"/>
    </row>
    <row r="602" spans="17:17" ht="13">
      <c r="Q602" s="125"/>
    </row>
    <row r="603" spans="17:17" ht="13">
      <c r="Q603" s="125"/>
    </row>
    <row r="604" spans="17:17" ht="13">
      <c r="Q604" s="125"/>
    </row>
    <row r="605" spans="17:17" ht="13">
      <c r="Q605" s="125"/>
    </row>
    <row r="606" spans="17:17" ht="13">
      <c r="Q606" s="125"/>
    </row>
    <row r="607" spans="17:17" ht="13">
      <c r="Q607" s="125"/>
    </row>
    <row r="608" spans="17:17" ht="13">
      <c r="Q608" s="125"/>
    </row>
    <row r="609" spans="17:17" ht="13">
      <c r="Q609" s="125"/>
    </row>
    <row r="610" spans="17:17" ht="13">
      <c r="Q610" s="125"/>
    </row>
    <row r="611" spans="17:17" ht="13">
      <c r="Q611" s="125"/>
    </row>
    <row r="612" spans="17:17" ht="13">
      <c r="Q612" s="125"/>
    </row>
    <row r="613" spans="17:17" ht="13">
      <c r="Q613" s="125"/>
    </row>
    <row r="614" spans="17:17" ht="13">
      <c r="Q614" s="125"/>
    </row>
    <row r="615" spans="17:17" ht="13">
      <c r="Q615" s="125"/>
    </row>
    <row r="616" spans="17:17" ht="13">
      <c r="Q616" s="125"/>
    </row>
    <row r="617" spans="17:17" ht="13">
      <c r="Q617" s="125"/>
    </row>
    <row r="618" spans="17:17" ht="13">
      <c r="Q618" s="125"/>
    </row>
    <row r="619" spans="17:17" ht="13">
      <c r="Q619" s="125"/>
    </row>
    <row r="620" spans="17:17" ht="13">
      <c r="Q620" s="125"/>
    </row>
    <row r="621" spans="17:17" ht="13">
      <c r="Q621" s="125"/>
    </row>
    <row r="622" spans="17:17" ht="13">
      <c r="Q622" s="125"/>
    </row>
    <row r="623" spans="17:17" ht="13">
      <c r="Q623" s="125"/>
    </row>
    <row r="624" spans="17:17" ht="13">
      <c r="Q624" s="125"/>
    </row>
    <row r="625" spans="17:17" ht="13">
      <c r="Q625" s="125"/>
    </row>
    <row r="626" spans="17:17" ht="13">
      <c r="Q626" s="125"/>
    </row>
    <row r="627" spans="17:17" ht="13">
      <c r="Q627" s="125"/>
    </row>
    <row r="628" spans="17:17" ht="13">
      <c r="Q628" s="125"/>
    </row>
    <row r="629" spans="17:17" ht="13">
      <c r="Q629" s="125"/>
    </row>
    <row r="630" spans="17:17" ht="13">
      <c r="Q630" s="125"/>
    </row>
    <row r="631" spans="17:17" ht="13">
      <c r="Q631" s="125"/>
    </row>
    <row r="632" spans="17:17" ht="13">
      <c r="Q632" s="125"/>
    </row>
    <row r="633" spans="17:17" ht="13">
      <c r="Q633" s="125"/>
    </row>
    <row r="634" spans="17:17" ht="13">
      <c r="Q634" s="125"/>
    </row>
    <row r="635" spans="17:17" ht="13">
      <c r="Q635" s="125"/>
    </row>
    <row r="636" spans="17:17" ht="13">
      <c r="Q636" s="125"/>
    </row>
    <row r="637" spans="17:17" ht="13">
      <c r="Q637" s="125"/>
    </row>
    <row r="638" spans="17:17" ht="13">
      <c r="Q638" s="125"/>
    </row>
    <row r="639" spans="17:17" ht="13">
      <c r="Q639" s="125"/>
    </row>
    <row r="640" spans="17:17" ht="13">
      <c r="Q640" s="125"/>
    </row>
    <row r="641" spans="17:17" ht="13">
      <c r="Q641" s="125"/>
    </row>
    <row r="642" spans="17:17" ht="13">
      <c r="Q642" s="125"/>
    </row>
    <row r="643" spans="17:17" ht="13">
      <c r="Q643" s="125"/>
    </row>
    <row r="644" spans="17:17" ht="13">
      <c r="Q644" s="125"/>
    </row>
    <row r="645" spans="17:17" ht="13">
      <c r="Q645" s="125"/>
    </row>
    <row r="646" spans="17:17" ht="13">
      <c r="Q646" s="125"/>
    </row>
    <row r="647" spans="17:17" ht="13">
      <c r="Q647" s="125"/>
    </row>
    <row r="648" spans="17:17" ht="13">
      <c r="Q648" s="125"/>
    </row>
    <row r="649" spans="17:17" ht="13">
      <c r="Q649" s="125"/>
    </row>
    <row r="650" spans="17:17" ht="13">
      <c r="Q650" s="125"/>
    </row>
    <row r="651" spans="17:17" ht="13">
      <c r="Q651" s="125"/>
    </row>
    <row r="652" spans="17:17" ht="13">
      <c r="Q652" s="125"/>
    </row>
    <row r="653" spans="17:17" ht="13">
      <c r="Q653" s="125"/>
    </row>
    <row r="654" spans="17:17" ht="13">
      <c r="Q654" s="125"/>
    </row>
    <row r="655" spans="17:17" ht="13">
      <c r="Q655" s="125"/>
    </row>
    <row r="656" spans="17:17" ht="13">
      <c r="Q656" s="125"/>
    </row>
    <row r="657" spans="17:17" ht="13">
      <c r="Q657" s="125"/>
    </row>
    <row r="658" spans="17:17" ht="13">
      <c r="Q658" s="125"/>
    </row>
    <row r="659" spans="17:17" ht="13">
      <c r="Q659" s="125"/>
    </row>
    <row r="660" spans="17:17" ht="13">
      <c r="Q660" s="125"/>
    </row>
    <row r="661" spans="17:17" ht="13">
      <c r="Q661" s="125"/>
    </row>
    <row r="662" spans="17:17" ht="13">
      <c r="Q662" s="125"/>
    </row>
    <row r="663" spans="17:17" ht="13">
      <c r="Q663" s="125"/>
    </row>
    <row r="664" spans="17:17" ht="13">
      <c r="Q664" s="125"/>
    </row>
    <row r="665" spans="17:17" ht="13">
      <c r="Q665" s="125"/>
    </row>
    <row r="666" spans="17:17" ht="13">
      <c r="Q666" s="125"/>
    </row>
    <row r="667" spans="17:17" ht="13">
      <c r="Q667" s="125"/>
    </row>
    <row r="668" spans="17:17" ht="13">
      <c r="Q668" s="125"/>
    </row>
    <row r="669" spans="17:17" ht="13">
      <c r="Q669" s="125"/>
    </row>
    <row r="670" spans="17:17" ht="13">
      <c r="Q670" s="125"/>
    </row>
    <row r="671" spans="17:17" ht="13">
      <c r="Q671" s="125"/>
    </row>
    <row r="672" spans="17:17" ht="13">
      <c r="Q672" s="125"/>
    </row>
    <row r="673" spans="17:17" ht="13">
      <c r="Q673" s="125"/>
    </row>
    <row r="674" spans="17:17" ht="13">
      <c r="Q674" s="125"/>
    </row>
    <row r="675" spans="17:17" ht="13">
      <c r="Q675" s="125"/>
    </row>
    <row r="676" spans="17:17" ht="13">
      <c r="Q676" s="125"/>
    </row>
    <row r="677" spans="17:17" ht="13">
      <c r="Q677" s="125"/>
    </row>
    <row r="678" spans="17:17" ht="13">
      <c r="Q678" s="125"/>
    </row>
    <row r="679" spans="17:17" ht="13">
      <c r="Q679" s="125"/>
    </row>
    <row r="680" spans="17:17" ht="13">
      <c r="Q680" s="125"/>
    </row>
    <row r="681" spans="17:17" ht="13">
      <c r="Q681" s="125"/>
    </row>
    <row r="682" spans="17:17" ht="13">
      <c r="Q682" s="125"/>
    </row>
    <row r="683" spans="17:17" ht="13">
      <c r="Q683" s="125"/>
    </row>
    <row r="684" spans="17:17" ht="13">
      <c r="Q684" s="125"/>
    </row>
    <row r="685" spans="17:17" ht="13">
      <c r="Q685" s="125"/>
    </row>
    <row r="686" spans="17:17" ht="13">
      <c r="Q686" s="125"/>
    </row>
    <row r="687" spans="17:17" ht="13">
      <c r="Q687" s="125"/>
    </row>
    <row r="688" spans="17:17" ht="13">
      <c r="Q688" s="125"/>
    </row>
    <row r="689" spans="17:17" ht="13">
      <c r="Q689" s="125"/>
    </row>
    <row r="690" spans="17:17" ht="13">
      <c r="Q690" s="125"/>
    </row>
    <row r="691" spans="17:17" ht="13">
      <c r="Q691" s="125"/>
    </row>
    <row r="692" spans="17:17" ht="13">
      <c r="Q692" s="125"/>
    </row>
    <row r="693" spans="17:17" ht="13">
      <c r="Q693" s="125"/>
    </row>
    <row r="694" spans="17:17" ht="13">
      <c r="Q694" s="125"/>
    </row>
    <row r="695" spans="17:17" ht="13">
      <c r="Q695" s="125"/>
    </row>
    <row r="696" spans="17:17" ht="13">
      <c r="Q696" s="125"/>
    </row>
    <row r="697" spans="17:17" ht="13">
      <c r="Q697" s="125"/>
    </row>
    <row r="698" spans="17:17" ht="13">
      <c r="Q698" s="125"/>
    </row>
    <row r="699" spans="17:17" ht="13">
      <c r="Q699" s="125"/>
    </row>
    <row r="700" spans="17:17" ht="13">
      <c r="Q700" s="125"/>
    </row>
    <row r="701" spans="17:17" ht="13">
      <c r="Q701" s="125"/>
    </row>
    <row r="702" spans="17:17" ht="13">
      <c r="Q702" s="125"/>
    </row>
    <row r="703" spans="17:17" ht="13">
      <c r="Q703" s="125"/>
    </row>
    <row r="704" spans="17:17" ht="13">
      <c r="Q704" s="125"/>
    </row>
    <row r="705" spans="17:17" ht="13">
      <c r="Q705" s="125"/>
    </row>
    <row r="706" spans="17:17" ht="13">
      <c r="Q706" s="125"/>
    </row>
    <row r="707" spans="17:17" ht="13">
      <c r="Q707" s="125"/>
    </row>
    <row r="708" spans="17:17" ht="13">
      <c r="Q708" s="125"/>
    </row>
    <row r="709" spans="17:17" ht="13">
      <c r="Q709" s="125"/>
    </row>
    <row r="710" spans="17:17" ht="13">
      <c r="Q710" s="125"/>
    </row>
    <row r="711" spans="17:17" ht="13">
      <c r="Q711" s="125"/>
    </row>
    <row r="712" spans="17:17" ht="13">
      <c r="Q712" s="125"/>
    </row>
    <row r="713" spans="17:17" ht="13">
      <c r="Q713" s="125"/>
    </row>
    <row r="714" spans="17:17" ht="13">
      <c r="Q714" s="125"/>
    </row>
    <row r="715" spans="17:17" ht="13">
      <c r="Q715" s="125"/>
    </row>
    <row r="716" spans="17:17" ht="13">
      <c r="Q716" s="125"/>
    </row>
    <row r="717" spans="17:17" ht="13">
      <c r="Q717" s="125"/>
    </row>
    <row r="718" spans="17:17" ht="13">
      <c r="Q718" s="125"/>
    </row>
    <row r="719" spans="17:17" ht="13">
      <c r="Q719" s="125"/>
    </row>
    <row r="720" spans="17:17" ht="13">
      <c r="Q720" s="125"/>
    </row>
    <row r="721" spans="17:17" ht="13">
      <c r="Q721" s="125"/>
    </row>
    <row r="722" spans="17:17" ht="13">
      <c r="Q722" s="125"/>
    </row>
    <row r="723" spans="17:17" ht="13">
      <c r="Q723" s="125"/>
    </row>
    <row r="724" spans="17:17" ht="13">
      <c r="Q724" s="125"/>
    </row>
    <row r="725" spans="17:17" ht="13">
      <c r="Q725" s="125"/>
    </row>
    <row r="726" spans="17:17" ht="13">
      <c r="Q726" s="125"/>
    </row>
    <row r="727" spans="17:17" ht="13">
      <c r="Q727" s="125"/>
    </row>
    <row r="728" spans="17:17" ht="13">
      <c r="Q728" s="125"/>
    </row>
    <row r="729" spans="17:17" ht="13">
      <c r="Q729" s="125"/>
    </row>
    <row r="730" spans="17:17" ht="13">
      <c r="Q730" s="125"/>
    </row>
    <row r="731" spans="17:17" ht="13">
      <c r="Q731" s="125"/>
    </row>
    <row r="732" spans="17:17" ht="13">
      <c r="Q732" s="125"/>
    </row>
    <row r="733" spans="17:17" ht="13">
      <c r="Q733" s="125"/>
    </row>
    <row r="734" spans="17:17" ht="13">
      <c r="Q734" s="125"/>
    </row>
    <row r="735" spans="17:17" ht="13">
      <c r="Q735" s="125"/>
    </row>
    <row r="736" spans="17:17" ht="13">
      <c r="Q736" s="125"/>
    </row>
    <row r="737" spans="17:17" ht="13">
      <c r="Q737" s="125"/>
    </row>
    <row r="738" spans="17:17" ht="13">
      <c r="Q738" s="125"/>
    </row>
    <row r="739" spans="17:17" ht="13">
      <c r="Q739" s="125"/>
    </row>
    <row r="740" spans="17:17" ht="13">
      <c r="Q740" s="125"/>
    </row>
    <row r="741" spans="17:17" ht="13">
      <c r="Q741" s="125"/>
    </row>
    <row r="742" spans="17:17" ht="13">
      <c r="Q742" s="125"/>
    </row>
    <row r="743" spans="17:17" ht="13">
      <c r="Q743" s="125"/>
    </row>
    <row r="744" spans="17:17" ht="13">
      <c r="Q744" s="125"/>
    </row>
    <row r="745" spans="17:17" ht="13">
      <c r="Q745" s="125"/>
    </row>
    <row r="746" spans="17:17" ht="13">
      <c r="Q746" s="125"/>
    </row>
    <row r="747" spans="17:17" ht="13">
      <c r="Q747" s="125"/>
    </row>
    <row r="748" spans="17:17" ht="13">
      <c r="Q748" s="125"/>
    </row>
    <row r="749" spans="17:17" ht="13">
      <c r="Q749" s="125"/>
    </row>
    <row r="750" spans="17:17" ht="13">
      <c r="Q750" s="125"/>
    </row>
    <row r="751" spans="17:17" ht="13">
      <c r="Q751" s="125"/>
    </row>
    <row r="752" spans="17:17" ht="13">
      <c r="Q752" s="125"/>
    </row>
    <row r="753" spans="17:17" ht="13">
      <c r="Q753" s="125"/>
    </row>
    <row r="754" spans="17:17" ht="13">
      <c r="Q754" s="125"/>
    </row>
    <row r="755" spans="17:17" ht="13">
      <c r="Q755" s="125"/>
    </row>
    <row r="756" spans="17:17" ht="13">
      <c r="Q756" s="125"/>
    </row>
    <row r="757" spans="17:17" ht="13">
      <c r="Q757" s="125"/>
    </row>
    <row r="758" spans="17:17" ht="13">
      <c r="Q758" s="125"/>
    </row>
    <row r="759" spans="17:17" ht="13">
      <c r="Q759" s="125"/>
    </row>
    <row r="760" spans="17:17" ht="13">
      <c r="Q760" s="125"/>
    </row>
    <row r="761" spans="17:17" ht="13">
      <c r="Q761" s="125"/>
    </row>
    <row r="762" spans="17:17" ht="13">
      <c r="Q762" s="125"/>
    </row>
    <row r="763" spans="17:17" ht="13">
      <c r="Q763" s="125"/>
    </row>
    <row r="764" spans="17:17" ht="13">
      <c r="Q764" s="125"/>
    </row>
    <row r="765" spans="17:17" ht="13">
      <c r="Q765" s="125"/>
    </row>
    <row r="766" spans="17:17" ht="13">
      <c r="Q766" s="125"/>
    </row>
    <row r="767" spans="17:17" ht="13">
      <c r="Q767" s="125"/>
    </row>
    <row r="768" spans="17:17" ht="13">
      <c r="Q768" s="125"/>
    </row>
    <row r="769" spans="17:17" ht="13">
      <c r="Q769" s="125"/>
    </row>
    <row r="770" spans="17:17" ht="13">
      <c r="Q770" s="125"/>
    </row>
    <row r="771" spans="17:17" ht="13">
      <c r="Q771" s="125"/>
    </row>
    <row r="772" spans="17:17" ht="13">
      <c r="Q772" s="125"/>
    </row>
    <row r="773" spans="17:17" ht="13">
      <c r="Q773" s="125"/>
    </row>
    <row r="774" spans="17:17" ht="13">
      <c r="Q774" s="125"/>
    </row>
    <row r="775" spans="17:17" ht="13">
      <c r="Q775" s="125"/>
    </row>
    <row r="776" spans="17:17" ht="13">
      <c r="Q776" s="125"/>
    </row>
    <row r="777" spans="17:17" ht="13">
      <c r="Q777" s="125"/>
    </row>
    <row r="778" spans="17:17" ht="13">
      <c r="Q778" s="125"/>
    </row>
    <row r="779" spans="17:17" ht="13">
      <c r="Q779" s="125"/>
    </row>
    <row r="780" spans="17:17" ht="13">
      <c r="Q780" s="125"/>
    </row>
    <row r="781" spans="17:17" ht="13">
      <c r="Q781" s="125"/>
    </row>
    <row r="782" spans="17:17" ht="13">
      <c r="Q782" s="125"/>
    </row>
    <row r="783" spans="17:17" ht="13">
      <c r="Q783" s="125"/>
    </row>
    <row r="784" spans="17:17" ht="13">
      <c r="Q784" s="125"/>
    </row>
    <row r="785" spans="17:17" ht="13">
      <c r="Q785" s="125"/>
    </row>
    <row r="786" spans="17:17" ht="13">
      <c r="Q786" s="125"/>
    </row>
    <row r="787" spans="17:17" ht="13">
      <c r="Q787" s="125"/>
    </row>
    <row r="788" spans="17:17" ht="13">
      <c r="Q788" s="125"/>
    </row>
    <row r="789" spans="17:17" ht="13">
      <c r="Q789" s="125"/>
    </row>
    <row r="790" spans="17:17" ht="13">
      <c r="Q790" s="125"/>
    </row>
    <row r="791" spans="17:17" ht="13">
      <c r="Q791" s="125"/>
    </row>
    <row r="792" spans="17:17" ht="13">
      <c r="Q792" s="125"/>
    </row>
    <row r="793" spans="17:17" ht="13">
      <c r="Q793" s="125"/>
    </row>
    <row r="794" spans="17:17" ht="13">
      <c r="Q794" s="125"/>
    </row>
    <row r="795" spans="17:17" ht="13">
      <c r="Q795" s="125"/>
    </row>
    <row r="796" spans="17:17" ht="13">
      <c r="Q796" s="125"/>
    </row>
    <row r="797" spans="17:17" ht="13">
      <c r="Q797" s="125"/>
    </row>
    <row r="798" spans="17:17" ht="13">
      <c r="Q798" s="125"/>
    </row>
    <row r="799" spans="17:17" ht="13">
      <c r="Q799" s="125"/>
    </row>
    <row r="800" spans="17:17" ht="13">
      <c r="Q800" s="125"/>
    </row>
    <row r="801" spans="17:17" ht="13">
      <c r="Q801" s="125"/>
    </row>
    <row r="802" spans="17:17" ht="13">
      <c r="Q802" s="125"/>
    </row>
    <row r="803" spans="17:17" ht="13">
      <c r="Q803" s="125"/>
    </row>
    <row r="804" spans="17:17" ht="13">
      <c r="Q804" s="125"/>
    </row>
    <row r="805" spans="17:17" ht="13">
      <c r="Q805" s="125"/>
    </row>
    <row r="806" spans="17:17" ht="13">
      <c r="Q806" s="125"/>
    </row>
    <row r="807" spans="17:17" ht="13">
      <c r="Q807" s="125"/>
    </row>
    <row r="808" spans="17:17" ht="13">
      <c r="Q808" s="125"/>
    </row>
    <row r="809" spans="17:17" ht="13">
      <c r="Q809" s="125"/>
    </row>
    <row r="810" spans="17:17" ht="13">
      <c r="Q810" s="125"/>
    </row>
    <row r="811" spans="17:17" ht="13">
      <c r="Q811" s="125"/>
    </row>
    <row r="812" spans="17:17" ht="13">
      <c r="Q812" s="125"/>
    </row>
    <row r="813" spans="17:17" ht="13">
      <c r="Q813" s="125"/>
    </row>
    <row r="814" spans="17:17" ht="13">
      <c r="Q814" s="125"/>
    </row>
    <row r="815" spans="17:17" ht="13">
      <c r="Q815" s="125"/>
    </row>
    <row r="816" spans="17:17" ht="13">
      <c r="Q816" s="125"/>
    </row>
    <row r="817" spans="17:17" ht="13">
      <c r="Q817" s="125"/>
    </row>
    <row r="818" spans="17:17" ht="13">
      <c r="Q818" s="125"/>
    </row>
    <row r="819" spans="17:17" ht="13">
      <c r="Q819" s="125"/>
    </row>
    <row r="820" spans="17:17" ht="13">
      <c r="Q820" s="125"/>
    </row>
    <row r="821" spans="17:17" ht="13">
      <c r="Q821" s="125"/>
    </row>
    <row r="822" spans="17:17" ht="13">
      <c r="Q822" s="125"/>
    </row>
    <row r="823" spans="17:17" ht="13">
      <c r="Q823" s="125"/>
    </row>
    <row r="824" spans="17:17" ht="13">
      <c r="Q824" s="125"/>
    </row>
    <row r="825" spans="17:17" ht="13">
      <c r="Q825" s="125"/>
    </row>
    <row r="826" spans="17:17" ht="13">
      <c r="Q826" s="125"/>
    </row>
    <row r="827" spans="17:17" ht="13">
      <c r="Q827" s="125"/>
    </row>
    <row r="828" spans="17:17" ht="13">
      <c r="Q828" s="125"/>
    </row>
    <row r="829" spans="17:17" ht="13">
      <c r="Q829" s="125"/>
    </row>
    <row r="830" spans="17:17" ht="13">
      <c r="Q830" s="125"/>
    </row>
    <row r="831" spans="17:17" ht="13">
      <c r="Q831" s="125"/>
    </row>
    <row r="832" spans="17:17" ht="13">
      <c r="Q832" s="125"/>
    </row>
    <row r="833" spans="17:17" ht="13">
      <c r="Q833" s="125"/>
    </row>
    <row r="834" spans="17:17" ht="13">
      <c r="Q834" s="125"/>
    </row>
    <row r="835" spans="17:17" ht="13">
      <c r="Q835" s="125"/>
    </row>
    <row r="836" spans="17:17" ht="13">
      <c r="Q836" s="125"/>
    </row>
    <row r="837" spans="17:17" ht="13">
      <c r="Q837" s="125"/>
    </row>
    <row r="838" spans="17:17" ht="13">
      <c r="Q838" s="125"/>
    </row>
    <row r="839" spans="17:17" ht="13">
      <c r="Q839" s="125"/>
    </row>
    <row r="840" spans="17:17" ht="13">
      <c r="Q840" s="125"/>
    </row>
    <row r="841" spans="17:17" ht="13">
      <c r="Q841" s="125"/>
    </row>
    <row r="842" spans="17:17" ht="13">
      <c r="Q842" s="125"/>
    </row>
    <row r="843" spans="17:17" ht="13">
      <c r="Q843" s="125"/>
    </row>
    <row r="844" spans="17:17" ht="13">
      <c r="Q844" s="125"/>
    </row>
    <row r="845" spans="17:17" ht="13">
      <c r="Q845" s="125"/>
    </row>
    <row r="846" spans="17:17" ht="13">
      <c r="Q846" s="125"/>
    </row>
    <row r="847" spans="17:17" ht="13">
      <c r="Q847" s="125"/>
    </row>
    <row r="848" spans="17:17" ht="13">
      <c r="Q848" s="125"/>
    </row>
    <row r="849" spans="17:17" ht="13">
      <c r="Q849" s="125"/>
    </row>
    <row r="850" spans="17:17" ht="13">
      <c r="Q850" s="125"/>
    </row>
    <row r="851" spans="17:17" ht="13">
      <c r="Q851" s="125"/>
    </row>
    <row r="852" spans="17:17" ht="13">
      <c r="Q852" s="125"/>
    </row>
    <row r="853" spans="17:17" ht="13">
      <c r="Q853" s="125"/>
    </row>
    <row r="854" spans="17:17" ht="13">
      <c r="Q854" s="125"/>
    </row>
    <row r="855" spans="17:17" ht="13">
      <c r="Q855" s="125"/>
    </row>
    <row r="856" spans="17:17" ht="13">
      <c r="Q856" s="125"/>
    </row>
    <row r="857" spans="17:17" ht="13">
      <c r="Q857" s="125"/>
    </row>
    <row r="858" spans="17:17" ht="13">
      <c r="Q858" s="125"/>
    </row>
    <row r="859" spans="17:17" ht="13">
      <c r="Q859" s="125"/>
    </row>
    <row r="860" spans="17:17" ht="13">
      <c r="Q860" s="125"/>
    </row>
    <row r="861" spans="17:17" ht="13">
      <c r="Q861" s="125"/>
    </row>
    <row r="862" spans="17:17" ht="13">
      <c r="Q862" s="125"/>
    </row>
    <row r="863" spans="17:17" ht="13">
      <c r="Q863" s="125"/>
    </row>
    <row r="864" spans="17:17" ht="13">
      <c r="Q864" s="125"/>
    </row>
    <row r="865" spans="17:17" ht="13">
      <c r="Q865" s="125"/>
    </row>
    <row r="866" spans="17:17" ht="13">
      <c r="Q866" s="125"/>
    </row>
    <row r="867" spans="17:17" ht="13">
      <c r="Q867" s="125"/>
    </row>
    <row r="868" spans="17:17" ht="13">
      <c r="Q868" s="125"/>
    </row>
    <row r="869" spans="17:17" ht="13">
      <c r="Q869" s="125"/>
    </row>
    <row r="870" spans="17:17" ht="13">
      <c r="Q870" s="125"/>
    </row>
    <row r="871" spans="17:17" ht="13">
      <c r="Q871" s="125"/>
    </row>
    <row r="872" spans="17:17" ht="13">
      <c r="Q872" s="125"/>
    </row>
    <row r="873" spans="17:17" ht="13">
      <c r="Q873" s="125"/>
    </row>
    <row r="874" spans="17:17" ht="13">
      <c r="Q874" s="125"/>
    </row>
    <row r="875" spans="17:17" ht="13">
      <c r="Q875" s="125"/>
    </row>
    <row r="876" spans="17:17" ht="13">
      <c r="Q876" s="125"/>
    </row>
    <row r="877" spans="17:17" ht="13">
      <c r="Q877" s="125"/>
    </row>
    <row r="878" spans="17:17" ht="13">
      <c r="Q878" s="125"/>
    </row>
    <row r="879" spans="17:17" ht="13">
      <c r="Q879" s="125"/>
    </row>
    <row r="880" spans="17:17" ht="13">
      <c r="Q880" s="125"/>
    </row>
    <row r="881" spans="17:17" ht="13">
      <c r="Q881" s="125"/>
    </row>
    <row r="882" spans="17:17" ht="13">
      <c r="Q882" s="125"/>
    </row>
    <row r="883" spans="17:17" ht="13">
      <c r="Q883" s="125"/>
    </row>
    <row r="884" spans="17:17" ht="13">
      <c r="Q884" s="125"/>
    </row>
    <row r="885" spans="17:17" ht="13">
      <c r="Q885" s="125"/>
    </row>
    <row r="886" spans="17:17" ht="13">
      <c r="Q886" s="125"/>
    </row>
    <row r="887" spans="17:17" ht="13">
      <c r="Q887" s="125"/>
    </row>
    <row r="888" spans="17:17" ht="13">
      <c r="Q888" s="125"/>
    </row>
    <row r="889" spans="17:17" ht="13">
      <c r="Q889" s="125"/>
    </row>
    <row r="890" spans="17:17" ht="13">
      <c r="Q890" s="125"/>
    </row>
    <row r="891" spans="17:17" ht="13">
      <c r="Q891" s="125"/>
    </row>
    <row r="892" spans="17:17" ht="13">
      <c r="Q892" s="125"/>
    </row>
    <row r="893" spans="17:17" ht="13">
      <c r="Q893" s="125"/>
    </row>
    <row r="894" spans="17:17" ht="13">
      <c r="Q894" s="125"/>
    </row>
    <row r="895" spans="17:17" ht="13">
      <c r="Q895" s="125"/>
    </row>
    <row r="896" spans="17:17" ht="13">
      <c r="Q896" s="125"/>
    </row>
    <row r="897" spans="17:17" ht="13">
      <c r="Q897" s="125"/>
    </row>
    <row r="898" spans="17:17" ht="13">
      <c r="Q898" s="125"/>
    </row>
    <row r="899" spans="17:17" ht="13">
      <c r="Q899" s="125"/>
    </row>
    <row r="900" spans="17:17" ht="13">
      <c r="Q900" s="125"/>
    </row>
    <row r="901" spans="17:17" ht="13">
      <c r="Q901" s="125"/>
    </row>
    <row r="902" spans="17:17" ht="13">
      <c r="Q902" s="125"/>
    </row>
    <row r="903" spans="17:17" ht="13">
      <c r="Q903" s="125"/>
    </row>
    <row r="904" spans="17:17" ht="13">
      <c r="Q904" s="125"/>
    </row>
    <row r="905" spans="17:17" ht="13">
      <c r="Q905" s="125"/>
    </row>
    <row r="906" spans="17:17" ht="13">
      <c r="Q906" s="125"/>
    </row>
    <row r="907" spans="17:17" ht="13">
      <c r="Q907" s="125"/>
    </row>
    <row r="908" spans="17:17" ht="13">
      <c r="Q908" s="125"/>
    </row>
    <row r="909" spans="17:17" ht="13">
      <c r="Q909" s="125"/>
    </row>
    <row r="910" spans="17:17" ht="13">
      <c r="Q910" s="125"/>
    </row>
    <row r="911" spans="17:17" ht="13">
      <c r="Q911" s="125"/>
    </row>
    <row r="912" spans="17:17" ht="13">
      <c r="Q912" s="125"/>
    </row>
    <row r="913" spans="17:17" ht="13">
      <c r="Q913" s="125"/>
    </row>
    <row r="914" spans="17:17" ht="13">
      <c r="Q914" s="125"/>
    </row>
    <row r="915" spans="17:17" ht="13">
      <c r="Q915" s="125"/>
    </row>
    <row r="916" spans="17:17" ht="13">
      <c r="Q916" s="125"/>
    </row>
    <row r="917" spans="17:17" ht="13">
      <c r="Q917" s="125"/>
    </row>
    <row r="918" spans="17:17" ht="13">
      <c r="Q918" s="125"/>
    </row>
    <row r="919" spans="17:17" ht="13">
      <c r="Q919" s="125"/>
    </row>
    <row r="920" spans="17:17" ht="13">
      <c r="Q920" s="125"/>
    </row>
    <row r="921" spans="17:17" ht="13">
      <c r="Q921" s="125"/>
    </row>
    <row r="922" spans="17:17" ht="13">
      <c r="Q922" s="125"/>
    </row>
    <row r="923" spans="17:17" ht="13">
      <c r="Q923" s="125"/>
    </row>
    <row r="924" spans="17:17" ht="13">
      <c r="Q924" s="125"/>
    </row>
    <row r="925" spans="17:17" ht="13">
      <c r="Q925" s="125"/>
    </row>
    <row r="926" spans="17:17" ht="13">
      <c r="Q926" s="125"/>
    </row>
    <row r="927" spans="17:17" ht="13">
      <c r="Q927" s="125"/>
    </row>
    <row r="928" spans="17:17" ht="13">
      <c r="Q928" s="125"/>
    </row>
    <row r="929" spans="17:17" ht="13">
      <c r="Q929" s="125"/>
    </row>
    <row r="930" spans="17:17" ht="13">
      <c r="Q930" s="125"/>
    </row>
    <row r="931" spans="17:17" ht="13">
      <c r="Q931" s="125"/>
    </row>
    <row r="932" spans="17:17" ht="13">
      <c r="Q932" s="125"/>
    </row>
    <row r="933" spans="17:17" ht="13">
      <c r="Q933" s="125"/>
    </row>
    <row r="934" spans="17:17" ht="13">
      <c r="Q934" s="125"/>
    </row>
    <row r="935" spans="17:17" ht="13">
      <c r="Q935" s="125"/>
    </row>
    <row r="936" spans="17:17" ht="13">
      <c r="Q936" s="125"/>
    </row>
    <row r="937" spans="17:17" ht="13">
      <c r="Q937" s="125"/>
    </row>
    <row r="938" spans="17:17" ht="13">
      <c r="Q938" s="125"/>
    </row>
    <row r="939" spans="17:17" ht="13">
      <c r="Q939" s="125"/>
    </row>
    <row r="940" spans="17:17" ht="13">
      <c r="Q940" s="125"/>
    </row>
    <row r="941" spans="17:17" ht="13">
      <c r="Q941" s="125"/>
    </row>
    <row r="942" spans="17:17" ht="13">
      <c r="Q942" s="125"/>
    </row>
    <row r="943" spans="17:17" ht="13">
      <c r="Q943" s="125"/>
    </row>
    <row r="944" spans="17:17" ht="13">
      <c r="Q944" s="125"/>
    </row>
    <row r="945" spans="17:17" ht="13">
      <c r="Q945" s="125"/>
    </row>
    <row r="946" spans="17:17" ht="13">
      <c r="Q946" s="125"/>
    </row>
    <row r="947" spans="17:17" ht="13">
      <c r="Q947" s="125"/>
    </row>
    <row r="948" spans="17:17" ht="13">
      <c r="Q948" s="125"/>
    </row>
    <row r="949" spans="17:17" ht="13">
      <c r="Q949" s="125"/>
    </row>
    <row r="950" spans="17:17" ht="13">
      <c r="Q950" s="125"/>
    </row>
    <row r="951" spans="17:17" ht="13">
      <c r="Q951" s="125"/>
    </row>
    <row r="952" spans="17:17" ht="13">
      <c r="Q952" s="125"/>
    </row>
    <row r="953" spans="17:17" ht="13">
      <c r="Q953" s="125"/>
    </row>
    <row r="954" spans="17:17" ht="13">
      <c r="Q954" s="125"/>
    </row>
    <row r="955" spans="17:17" ht="13">
      <c r="Q955" s="125"/>
    </row>
    <row r="956" spans="17:17" ht="13">
      <c r="Q956" s="125"/>
    </row>
    <row r="957" spans="17:17" ht="13">
      <c r="Q957" s="125"/>
    </row>
    <row r="958" spans="17:17" ht="13">
      <c r="Q958" s="125"/>
    </row>
    <row r="959" spans="17:17" ht="13">
      <c r="Q959" s="125"/>
    </row>
    <row r="960" spans="17:17" ht="13">
      <c r="Q960" s="125"/>
    </row>
    <row r="961" spans="17:17" ht="13">
      <c r="Q961" s="125"/>
    </row>
    <row r="962" spans="17:17" ht="13">
      <c r="Q962" s="125"/>
    </row>
    <row r="963" spans="17:17" ht="13">
      <c r="Q963" s="125"/>
    </row>
    <row r="964" spans="17:17" ht="13">
      <c r="Q964" s="125"/>
    </row>
    <row r="965" spans="17:17" ht="13">
      <c r="Q965" s="125"/>
    </row>
    <row r="966" spans="17:17" ht="13">
      <c r="Q966" s="125"/>
    </row>
    <row r="967" spans="17:17" ht="13">
      <c r="Q967" s="125"/>
    </row>
    <row r="968" spans="17:17" ht="13">
      <c r="Q968" s="125"/>
    </row>
    <row r="969" spans="17:17" ht="13">
      <c r="Q969" s="125"/>
    </row>
    <row r="970" spans="17:17" ht="13">
      <c r="Q970" s="125"/>
    </row>
    <row r="971" spans="17:17" ht="13">
      <c r="Q971" s="125"/>
    </row>
    <row r="972" spans="17:17" ht="13">
      <c r="Q972" s="125"/>
    </row>
    <row r="973" spans="17:17" ht="13">
      <c r="Q973" s="125"/>
    </row>
    <row r="974" spans="17:17" ht="13">
      <c r="Q974" s="125"/>
    </row>
    <row r="975" spans="17:17" ht="13">
      <c r="Q975" s="125"/>
    </row>
    <row r="976" spans="17:17" ht="13">
      <c r="Q976" s="125"/>
    </row>
    <row r="977" spans="17:17" ht="13">
      <c r="Q977" s="125"/>
    </row>
    <row r="978" spans="17:17" ht="13">
      <c r="Q978" s="125"/>
    </row>
    <row r="979" spans="17:17" ht="13">
      <c r="Q979" s="125"/>
    </row>
    <row r="980" spans="17:17" ht="13">
      <c r="Q980" s="125"/>
    </row>
    <row r="981" spans="17:17" ht="13">
      <c r="Q981" s="125"/>
    </row>
    <row r="982" spans="17:17" ht="13">
      <c r="Q982" s="125"/>
    </row>
    <row r="983" spans="17:17" ht="13">
      <c r="Q983" s="125"/>
    </row>
    <row r="984" spans="17:17" ht="13">
      <c r="Q984" s="125"/>
    </row>
    <row r="985" spans="17:17" ht="13">
      <c r="Q985" s="125"/>
    </row>
    <row r="986" spans="17:17" ht="13">
      <c r="Q986" s="125"/>
    </row>
    <row r="987" spans="17:17" ht="13">
      <c r="Q987" s="125"/>
    </row>
    <row r="988" spans="17:17" ht="13">
      <c r="Q988" s="125"/>
    </row>
    <row r="989" spans="17:17" ht="13">
      <c r="Q989" s="125"/>
    </row>
    <row r="990" spans="17:17" ht="13">
      <c r="Q990" s="125"/>
    </row>
    <row r="991" spans="17:17" ht="13">
      <c r="Q991" s="125"/>
    </row>
    <row r="992" spans="17:17" ht="13">
      <c r="Q992" s="125"/>
    </row>
    <row r="993" spans="17:17" ht="13">
      <c r="Q993" s="125"/>
    </row>
    <row r="994" spans="17:17" ht="13">
      <c r="Q994" s="125"/>
    </row>
    <row r="995" spans="17:17" ht="13">
      <c r="Q995" s="125"/>
    </row>
    <row r="996" spans="17:17" ht="13">
      <c r="Q996" s="125"/>
    </row>
    <row r="997" spans="17:17" ht="13">
      <c r="Q997" s="125"/>
    </row>
    <row r="998" spans="17:17" ht="13">
      <c r="Q998" s="125"/>
    </row>
    <row r="999" spans="17:17" ht="13">
      <c r="Q999" s="125"/>
    </row>
    <row r="1000" spans="17:17" ht="13">
      <c r="Q1000" s="125"/>
    </row>
  </sheetData>
  <mergeCells count="18">
    <mergeCell ref="O43:P43"/>
    <mergeCell ref="R43:T43"/>
    <mergeCell ref="F42:G42"/>
    <mergeCell ref="J42:L42"/>
    <mergeCell ref="N42:P42"/>
    <mergeCell ref="F43:G44"/>
    <mergeCell ref="I43:I44"/>
    <mergeCell ref="K43:L43"/>
    <mergeCell ref="Q43:Q44"/>
    <mergeCell ref="O4:P4"/>
    <mergeCell ref="R4:T4"/>
    <mergeCell ref="F3:G3"/>
    <mergeCell ref="J3:L3"/>
    <mergeCell ref="N3:P3"/>
    <mergeCell ref="F4:G5"/>
    <mergeCell ref="I4:I5"/>
    <mergeCell ref="K4:L4"/>
    <mergeCell ref="Q4:Q5"/>
  </mergeCells>
  <phoneticPr fontId="6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D1001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3" width="4.6640625" customWidth="1"/>
    <col min="4" max="5" width="12.6640625" hidden="1"/>
    <col min="6" max="8" width="12.6640625" hidden="1" customWidth="1"/>
    <col min="9" max="9" width="4.1640625" hidden="1" customWidth="1"/>
    <col min="10" max="11" width="4.6640625" hidden="1" customWidth="1"/>
    <col min="14" max="14" width="14.1640625" customWidth="1"/>
    <col min="15" max="17" width="12.6640625" customWidth="1"/>
    <col min="18" max="19" width="13.1640625" customWidth="1"/>
    <col min="20" max="20" width="10.6640625" customWidth="1"/>
    <col min="21" max="21" width="4.1640625" customWidth="1"/>
    <col min="22" max="23" width="4.6640625" customWidth="1"/>
    <col min="26" max="27" width="14.1640625" customWidth="1"/>
    <col min="28" max="30" width="12.6640625" customWidth="1"/>
    <col min="33" max="33" width="7.33203125" customWidth="1"/>
    <col min="34" max="34" width="6" customWidth="1"/>
    <col min="35" max="36" width="11.6640625" customWidth="1"/>
    <col min="37" max="38" width="10.83203125" customWidth="1"/>
    <col min="40" max="40" width="12.6640625" hidden="1"/>
    <col min="41" max="41" width="18" hidden="1" customWidth="1"/>
    <col min="42" max="42" width="12" customWidth="1"/>
    <col min="43" max="43" width="11" customWidth="1"/>
    <col min="44" max="44" width="13.6640625" customWidth="1"/>
    <col min="45" max="45" width="5.1640625" customWidth="1"/>
    <col min="46" max="46" width="8.6640625" customWidth="1"/>
    <col min="47" max="47" width="9.1640625" customWidth="1"/>
    <col min="48" max="49" width="18" customWidth="1"/>
    <col min="50" max="50" width="7.6640625" customWidth="1"/>
    <col min="51" max="51" width="6.83203125" customWidth="1"/>
    <col min="52" max="52" width="18" customWidth="1"/>
  </cols>
  <sheetData>
    <row r="1" spans="2:56" ht="13">
      <c r="D1" s="4" t="s">
        <v>159</v>
      </c>
      <c r="E1" s="64" t="s">
        <v>160</v>
      </c>
      <c r="L1" s="4"/>
      <c r="M1" s="64"/>
      <c r="P1" s="149"/>
      <c r="X1" s="4" t="s">
        <v>161</v>
      </c>
      <c r="Y1" s="23"/>
      <c r="AI1" s="4" t="s">
        <v>162</v>
      </c>
      <c r="AJ1" s="4" t="s">
        <v>163</v>
      </c>
      <c r="AK1" s="4"/>
      <c r="AL1" s="4" t="s">
        <v>162</v>
      </c>
      <c r="AM1" s="4" t="s">
        <v>164</v>
      </c>
    </row>
    <row r="2" spans="2:56" ht="18">
      <c r="B2" s="220" t="s">
        <v>152</v>
      </c>
      <c r="C2" s="64"/>
      <c r="K2" s="64"/>
      <c r="L2" s="220"/>
      <c r="N2" s="221">
        <v>0.74060000000000004</v>
      </c>
      <c r="P2" s="149"/>
      <c r="V2" s="220" t="s">
        <v>153</v>
      </c>
      <c r="X2" s="222" t="s">
        <v>165</v>
      </c>
      <c r="Y2" s="222">
        <v>4700</v>
      </c>
      <c r="Z2" s="221"/>
      <c r="AA2" s="223">
        <v>0.74060000000000004</v>
      </c>
      <c r="AB2" s="23"/>
      <c r="AI2" s="4">
        <v>416750</v>
      </c>
      <c r="AJ2" s="4" t="s">
        <v>166</v>
      </c>
      <c r="AK2" s="4"/>
      <c r="AM2" s="4">
        <v>2.6</v>
      </c>
      <c r="AP2" s="4"/>
      <c r="AQ2" s="4">
        <f>AI2/30</f>
        <v>13891.666666666666</v>
      </c>
      <c r="AR2" s="4"/>
      <c r="AS2" s="4"/>
      <c r="AT2" s="4"/>
      <c r="AU2" s="4"/>
      <c r="AV2" s="4"/>
      <c r="AW2" s="4"/>
      <c r="AX2" s="4"/>
      <c r="AY2" s="4"/>
      <c r="AZ2" s="4" t="s">
        <v>167</v>
      </c>
    </row>
    <row r="3" spans="2:56" ht="18">
      <c r="B3" s="224"/>
      <c r="C3" s="224"/>
      <c r="D3" s="225"/>
      <c r="E3" s="225"/>
      <c r="F3" s="226"/>
      <c r="G3" s="226"/>
      <c r="H3" s="226"/>
      <c r="J3" s="224"/>
      <c r="K3" s="224"/>
      <c r="L3" s="225"/>
      <c r="M3" s="225"/>
      <c r="N3" s="227"/>
      <c r="O3" s="226"/>
      <c r="P3" s="226"/>
      <c r="Q3" s="226"/>
      <c r="R3" s="228"/>
      <c r="S3" s="228"/>
      <c r="V3" s="224"/>
      <c r="W3" s="224"/>
      <c r="X3" s="229"/>
      <c r="Y3" s="229"/>
      <c r="Z3" s="227"/>
      <c r="AA3" s="227"/>
      <c r="AB3" s="226"/>
      <c r="AC3" s="226"/>
      <c r="AD3" s="226"/>
      <c r="AE3" s="228"/>
      <c r="AF3" s="4"/>
      <c r="AG3" s="4"/>
      <c r="AH3" s="4"/>
      <c r="AI3" s="4"/>
      <c r="AJ3" s="4"/>
      <c r="AK3" s="4"/>
      <c r="AL3" s="4"/>
      <c r="AM3" s="112" t="s">
        <v>168</v>
      </c>
      <c r="AN3" s="112"/>
      <c r="AO3" s="112"/>
      <c r="AP3" s="112"/>
      <c r="AQ3" s="112"/>
      <c r="AR3" s="112" t="s">
        <v>22</v>
      </c>
      <c r="AS3" s="4"/>
      <c r="AT3" s="4"/>
      <c r="AU3" s="4"/>
      <c r="AV3" s="4"/>
      <c r="AW3" s="4"/>
      <c r="AX3" s="4"/>
      <c r="AY3" s="4"/>
      <c r="AZ3" s="4"/>
      <c r="BA3" s="230"/>
    </row>
    <row r="4" spans="2:56" ht="60">
      <c r="B4" s="803"/>
      <c r="C4" s="794"/>
      <c r="D4" s="793" t="s">
        <v>169</v>
      </c>
      <c r="E4" s="823"/>
      <c r="F4" s="826" t="s">
        <v>129</v>
      </c>
      <c r="G4" s="794"/>
      <c r="H4" s="823"/>
      <c r="J4" s="803"/>
      <c r="K4" s="794"/>
      <c r="L4" s="793" t="s">
        <v>11</v>
      </c>
      <c r="M4" s="823"/>
      <c r="N4" s="231" t="s">
        <v>170</v>
      </c>
      <c r="O4" s="826" t="s">
        <v>129</v>
      </c>
      <c r="P4" s="794"/>
      <c r="Q4" s="823"/>
      <c r="R4" s="830" t="s">
        <v>171</v>
      </c>
      <c r="S4" s="823"/>
      <c r="V4" s="803"/>
      <c r="W4" s="794"/>
      <c r="X4" s="828" t="s">
        <v>172</v>
      </c>
      <c r="Y4" s="823"/>
      <c r="Z4" s="829" t="s">
        <v>173</v>
      </c>
      <c r="AA4" s="823"/>
      <c r="AB4" s="826" t="s">
        <v>129</v>
      </c>
      <c r="AC4" s="794"/>
      <c r="AD4" s="823"/>
      <c r="AE4" s="830" t="s">
        <v>171</v>
      </c>
      <c r="AF4" s="823"/>
      <c r="AG4" s="232"/>
      <c r="AH4" s="233"/>
      <c r="AI4" s="234" t="s">
        <v>174</v>
      </c>
      <c r="AJ4" s="235" t="s">
        <v>175</v>
      </c>
      <c r="AK4" s="235" t="s">
        <v>176</v>
      </c>
      <c r="AL4" s="234" t="s">
        <v>177</v>
      </c>
      <c r="AM4" s="236" t="s">
        <v>178</v>
      </c>
      <c r="AO4" s="4"/>
      <c r="AP4" s="237" t="s">
        <v>179</v>
      </c>
      <c r="AQ4" s="238" t="s">
        <v>180</v>
      </c>
      <c r="AR4" s="236" t="s">
        <v>181</v>
      </c>
      <c r="AS4" s="236" t="s">
        <v>182</v>
      </c>
      <c r="AT4" s="236" t="s">
        <v>183</v>
      </c>
      <c r="AU4" s="236" t="s">
        <v>184</v>
      </c>
      <c r="AW4" s="4"/>
      <c r="AX4" s="4"/>
      <c r="AY4" s="4"/>
      <c r="AZ4" s="4" t="s">
        <v>185</v>
      </c>
      <c r="BA4" s="230">
        <v>899690</v>
      </c>
      <c r="BB4">
        <f>BA4/BA6*BB6</f>
        <v>757633.68421052629</v>
      </c>
      <c r="BC4" s="23">
        <f>BA4-BB4</f>
        <v>142056.31578947371</v>
      </c>
      <c r="BD4" s="23">
        <f>BC4-BA13</f>
        <v>72056.315789473709</v>
      </c>
    </row>
    <row r="5" spans="2:56" ht="18" customHeight="1">
      <c r="B5" s="831" t="s">
        <v>10</v>
      </c>
      <c r="C5" s="786"/>
      <c r="D5" s="239" t="s">
        <v>63</v>
      </c>
      <c r="E5" s="187" t="s">
        <v>18</v>
      </c>
      <c r="F5" s="186" t="s">
        <v>130</v>
      </c>
      <c r="G5" s="153" t="s">
        <v>186</v>
      </c>
      <c r="H5" s="187" t="s">
        <v>132</v>
      </c>
      <c r="J5" s="831" t="s">
        <v>10</v>
      </c>
      <c r="K5" s="786"/>
      <c r="L5" s="239" t="s">
        <v>63</v>
      </c>
      <c r="M5" s="187" t="s">
        <v>18</v>
      </c>
      <c r="N5" s="240" t="s">
        <v>18</v>
      </c>
      <c r="O5" s="186" t="s">
        <v>130</v>
      </c>
      <c r="P5" s="153" t="s">
        <v>186</v>
      </c>
      <c r="Q5" s="187" t="s">
        <v>132</v>
      </c>
      <c r="R5" s="241" t="s">
        <v>187</v>
      </c>
      <c r="S5" s="242" t="s">
        <v>188</v>
      </c>
      <c r="V5" s="831" t="s">
        <v>10</v>
      </c>
      <c r="W5" s="786"/>
      <c r="X5" s="239" t="s">
        <v>63</v>
      </c>
      <c r="Y5" s="187" t="s">
        <v>18</v>
      </c>
      <c r="Z5" s="240" t="s">
        <v>3</v>
      </c>
      <c r="AA5" s="240" t="s">
        <v>18</v>
      </c>
      <c r="AB5" s="194" t="s">
        <v>130</v>
      </c>
      <c r="AC5" s="153" t="s">
        <v>186</v>
      </c>
      <c r="AD5" s="187" t="s">
        <v>132</v>
      </c>
      <c r="AE5" s="241" t="s">
        <v>187</v>
      </c>
      <c r="AF5" s="242" t="s">
        <v>188</v>
      </c>
      <c r="AG5" s="243" t="s">
        <v>189</v>
      </c>
      <c r="AH5" s="244"/>
      <c r="AI5" s="245">
        <f t="shared" ref="AI5:AJ5" si="0">SUM(AI6:AI35)</f>
        <v>421050</v>
      </c>
      <c r="AJ5" s="245">
        <f t="shared" si="0"/>
        <v>147336</v>
      </c>
      <c r="AK5" s="246"/>
      <c r="AL5" s="245">
        <f>SUM(AL6:AL35)</f>
        <v>100000</v>
      </c>
      <c r="AM5" s="245">
        <v>786486</v>
      </c>
      <c r="AN5" s="245"/>
      <c r="AO5" s="245"/>
      <c r="AP5" s="245">
        <v>9049</v>
      </c>
      <c r="AQ5" s="245">
        <f t="shared" ref="AQ5:AQ35" si="1">AM5/AP5</f>
        <v>86.914134158470546</v>
      </c>
      <c r="AR5" s="245">
        <v>786486</v>
      </c>
      <c r="AS5" s="245">
        <v>87</v>
      </c>
      <c r="AT5" s="245">
        <v>9049</v>
      </c>
      <c r="AU5" s="245">
        <v>3784</v>
      </c>
      <c r="AW5" s="4" t="s">
        <v>190</v>
      </c>
      <c r="AX5" s="4"/>
      <c r="AY5" s="4"/>
      <c r="AZ5" s="4" t="s">
        <v>191</v>
      </c>
      <c r="BA5" s="4">
        <v>9450</v>
      </c>
      <c r="BC5">
        <f>BC4/BA5</f>
        <v>15.032414369256477</v>
      </c>
      <c r="BD5">
        <f>BD4/BA5</f>
        <v>7.6250069618490697</v>
      </c>
    </row>
    <row r="6" spans="2:56" ht="14">
      <c r="B6" s="188">
        <v>43586</v>
      </c>
      <c r="C6" s="38" t="s">
        <v>49</v>
      </c>
      <c r="D6" s="247">
        <f>'MayJun Proj'!N6</f>
        <v>23494.166666666672</v>
      </c>
      <c r="E6" s="248">
        <v>5800</v>
      </c>
      <c r="H6" s="27"/>
      <c r="J6" s="188">
        <v>43586</v>
      </c>
      <c r="K6" s="38" t="s">
        <v>49</v>
      </c>
      <c r="L6" s="248">
        <f>'MayJun Proj'!V6</f>
        <v>23494.166666666672</v>
      </c>
      <c r="M6" s="248">
        <v>5800</v>
      </c>
      <c r="N6" s="249">
        <f t="shared" ref="N6:N36" si="2">ROUNDUP(M6*N$2,-1)</f>
        <v>4300</v>
      </c>
      <c r="P6" s="250"/>
      <c r="Q6" s="27"/>
      <c r="R6" s="23">
        <f t="shared" ref="R6:R36" si="3">L6-S6</f>
        <v>23494.166666666672</v>
      </c>
      <c r="S6" s="251"/>
      <c r="T6" s="4">
        <v>22000</v>
      </c>
      <c r="V6" s="188">
        <v>43617</v>
      </c>
      <c r="W6" s="38" t="s">
        <v>33</v>
      </c>
      <c r="X6" s="252">
        <v>34394.166666666672</v>
      </c>
      <c r="Y6" s="253">
        <v>5000</v>
      </c>
      <c r="Z6" s="253">
        <f t="shared" ref="Z6:Z10" si="4">AI6</f>
        <v>10000</v>
      </c>
      <c r="AA6" s="253">
        <v>2893</v>
      </c>
      <c r="AD6" s="27"/>
      <c r="AE6" s="23">
        <f t="shared" ref="AE6:AE35" si="5">X6-AF6</f>
        <v>29894.166666666672</v>
      </c>
      <c r="AF6" s="254">
        <v>4500</v>
      </c>
      <c r="AG6" s="188">
        <v>43617</v>
      </c>
      <c r="AH6" s="38" t="s">
        <v>33</v>
      </c>
      <c r="AI6" s="255">
        <v>10000</v>
      </c>
      <c r="AJ6" s="255">
        <f t="shared" ref="AJ6:AJ35" si="6">AA6</f>
        <v>2893</v>
      </c>
      <c r="AK6" s="255">
        <f t="shared" ref="AK6:AK35" si="7">AJ6*$AM$2</f>
        <v>7521.8</v>
      </c>
      <c r="AL6" s="252">
        <v>7000</v>
      </c>
      <c r="AM6" s="252">
        <f t="shared" ref="AM6:AM35" si="8">AI6*$AX$6-AL6*$AX$7-AJ6*$AM$2+AM5</f>
        <v>782364.2</v>
      </c>
      <c r="AN6" s="252">
        <v>9000</v>
      </c>
      <c r="AO6" s="252">
        <f t="shared" ref="AO6:AO34" si="9">AI6-AN6</f>
        <v>1000</v>
      </c>
      <c r="AP6" s="252">
        <f t="shared" ref="AP6:AP35" si="10">(AP5*29+AJ6*$AM$2)/30</f>
        <v>8998.0933333333323</v>
      </c>
      <c r="AQ6" s="252">
        <f t="shared" si="1"/>
        <v>86.947775602831413</v>
      </c>
      <c r="AR6" s="252"/>
      <c r="AS6" s="252"/>
      <c r="AT6" s="252"/>
      <c r="AU6" s="252"/>
      <c r="AV6" s="64"/>
      <c r="AW6" s="4" t="s">
        <v>192</v>
      </c>
      <c r="AX6" s="65">
        <v>0.9</v>
      </c>
      <c r="AY6" s="4"/>
      <c r="AZ6" s="4" t="s">
        <v>180</v>
      </c>
      <c r="BA6" s="4">
        <v>95</v>
      </c>
      <c r="BB6" s="4">
        <v>80</v>
      </c>
    </row>
    <row r="7" spans="2:56" ht="14">
      <c r="B7" s="188">
        <v>43587</v>
      </c>
      <c r="C7" s="38" t="s">
        <v>51</v>
      </c>
      <c r="D7" s="247">
        <f>'MayJun Proj'!N7</f>
        <v>25894.166666666672</v>
      </c>
      <c r="E7" s="248">
        <v>5500</v>
      </c>
      <c r="H7" s="27"/>
      <c r="J7" s="188">
        <v>43587</v>
      </c>
      <c r="K7" s="38" t="s">
        <v>51</v>
      </c>
      <c r="L7" s="248">
        <f>'MayJun Proj'!V7</f>
        <v>25894.166666666672</v>
      </c>
      <c r="M7" s="248">
        <v>5500</v>
      </c>
      <c r="N7" s="249">
        <f t="shared" si="2"/>
        <v>4080</v>
      </c>
      <c r="P7" s="250"/>
      <c r="Q7" s="27"/>
      <c r="R7" s="23">
        <f t="shared" si="3"/>
        <v>25894.166666666672</v>
      </c>
      <c r="S7" s="251"/>
      <c r="T7">
        <f>SUM(T8:T34)</f>
        <v>0</v>
      </c>
      <c r="V7" s="190">
        <v>43618</v>
      </c>
      <c r="W7" s="45" t="s">
        <v>37</v>
      </c>
      <c r="X7" s="256">
        <v>0</v>
      </c>
      <c r="Y7" s="257">
        <v>5300</v>
      </c>
      <c r="Z7" s="257">
        <f t="shared" si="4"/>
        <v>0</v>
      </c>
      <c r="AA7" s="257">
        <v>3484</v>
      </c>
      <c r="AB7" s="34"/>
      <c r="AC7" s="34"/>
      <c r="AD7" s="87"/>
      <c r="AE7" s="47">
        <f t="shared" si="5"/>
        <v>0</v>
      </c>
      <c r="AF7" s="258">
        <v>0</v>
      </c>
      <c r="AG7" s="190">
        <v>43618</v>
      </c>
      <c r="AH7" s="45" t="s">
        <v>37</v>
      </c>
      <c r="AI7" s="256">
        <v>0</v>
      </c>
      <c r="AJ7" s="256">
        <f t="shared" si="6"/>
        <v>3484</v>
      </c>
      <c r="AK7" s="255">
        <f t="shared" si="7"/>
        <v>9058.4</v>
      </c>
      <c r="AL7" s="256">
        <v>0</v>
      </c>
      <c r="AM7" s="256">
        <f t="shared" si="8"/>
        <v>773305.79999999993</v>
      </c>
      <c r="AN7" s="256">
        <v>0</v>
      </c>
      <c r="AO7" s="256">
        <f t="shared" si="9"/>
        <v>0</v>
      </c>
      <c r="AP7" s="256">
        <f t="shared" si="10"/>
        <v>9000.1035555555536</v>
      </c>
      <c r="AQ7" s="256">
        <f t="shared" si="1"/>
        <v>85.92187803468731</v>
      </c>
      <c r="AR7" s="256"/>
      <c r="AS7" s="256"/>
      <c r="AT7" s="256"/>
      <c r="AU7" s="256"/>
      <c r="AV7" s="64"/>
      <c r="AW7" s="4" t="s">
        <v>193</v>
      </c>
      <c r="AX7" s="65">
        <v>0.8</v>
      </c>
    </row>
    <row r="8" spans="2:56" ht="14">
      <c r="B8" s="188">
        <v>43588</v>
      </c>
      <c r="C8" s="38" t="s">
        <v>29</v>
      </c>
      <c r="D8" s="247">
        <f>'MayJun Proj'!N8</f>
        <v>25894.166666666672</v>
      </c>
      <c r="E8" s="248">
        <v>5500</v>
      </c>
      <c r="H8" s="27"/>
      <c r="J8" s="188">
        <v>43588</v>
      </c>
      <c r="K8" s="38" t="s">
        <v>29</v>
      </c>
      <c r="L8" s="248">
        <f>'MayJun Proj'!V8</f>
        <v>25894.166666666672</v>
      </c>
      <c r="M8" s="248">
        <v>5500</v>
      </c>
      <c r="N8" s="249">
        <f t="shared" si="2"/>
        <v>4080</v>
      </c>
      <c r="P8" s="250"/>
      <c r="Q8" s="27"/>
      <c r="R8" s="23">
        <f t="shared" si="3"/>
        <v>25894.166666666672</v>
      </c>
      <c r="S8" s="251"/>
      <c r="V8" s="188">
        <v>43619</v>
      </c>
      <c r="W8" s="51" t="s">
        <v>41</v>
      </c>
      <c r="X8" s="252">
        <v>17894.166666666672</v>
      </c>
      <c r="Y8" s="253">
        <v>6500</v>
      </c>
      <c r="Z8" s="253">
        <f t="shared" si="4"/>
        <v>20000</v>
      </c>
      <c r="AA8" s="253">
        <v>5375</v>
      </c>
      <c r="AB8" s="4" t="s">
        <v>194</v>
      </c>
      <c r="AC8" s="4" t="s">
        <v>195</v>
      </c>
      <c r="AD8" s="27"/>
      <c r="AE8" s="23">
        <f t="shared" si="5"/>
        <v>17894.166666666672</v>
      </c>
      <c r="AF8" s="254">
        <v>0</v>
      </c>
      <c r="AG8" s="188">
        <v>43619</v>
      </c>
      <c r="AH8" s="51" t="s">
        <v>41</v>
      </c>
      <c r="AI8" s="255">
        <v>20000</v>
      </c>
      <c r="AJ8" s="255">
        <f t="shared" si="6"/>
        <v>5375</v>
      </c>
      <c r="AK8" s="255">
        <f t="shared" si="7"/>
        <v>13975</v>
      </c>
      <c r="AL8" s="252">
        <v>7000</v>
      </c>
      <c r="AM8" s="252">
        <f t="shared" si="8"/>
        <v>771730.79999999993</v>
      </c>
      <c r="AN8" s="252">
        <v>10478</v>
      </c>
      <c r="AO8" s="252">
        <f t="shared" si="9"/>
        <v>9522</v>
      </c>
      <c r="AP8" s="252">
        <f t="shared" si="10"/>
        <v>9165.9334370370361</v>
      </c>
      <c r="AQ8" s="252">
        <f t="shared" si="1"/>
        <v>84.195549236878193</v>
      </c>
      <c r="AR8" s="252"/>
      <c r="AS8" s="252"/>
      <c r="AT8" s="252"/>
      <c r="AU8" s="252"/>
      <c r="AV8" s="64"/>
      <c r="AW8">
        <f>SUM(AI8:AI14)/7</f>
        <v>16000</v>
      </c>
    </row>
    <row r="9" spans="2:56" ht="14">
      <c r="B9" s="188">
        <v>43589</v>
      </c>
      <c r="C9" s="38" t="s">
        <v>33</v>
      </c>
      <c r="D9" s="247">
        <f>'MayJun Proj'!N9</f>
        <v>29894.166666666672</v>
      </c>
      <c r="E9" s="248">
        <v>5000</v>
      </c>
      <c r="H9" s="27"/>
      <c r="J9" s="188">
        <v>43589</v>
      </c>
      <c r="K9" s="38" t="s">
        <v>33</v>
      </c>
      <c r="L9" s="248">
        <f>'MayJun Proj'!V9</f>
        <v>29894.166666666672</v>
      </c>
      <c r="M9" s="248">
        <v>5000</v>
      </c>
      <c r="N9" s="249">
        <f t="shared" si="2"/>
        <v>3710</v>
      </c>
      <c r="P9" s="250"/>
      <c r="Q9" s="27"/>
      <c r="R9" s="23">
        <f t="shared" si="3"/>
        <v>29894.166666666672</v>
      </c>
      <c r="S9" s="251"/>
      <c r="V9" s="188">
        <v>43620</v>
      </c>
      <c r="W9" s="38" t="s">
        <v>46</v>
      </c>
      <c r="X9" s="252">
        <v>25894.166666666672</v>
      </c>
      <c r="Y9" s="253">
        <v>5500</v>
      </c>
      <c r="Z9" s="253">
        <f t="shared" si="4"/>
        <v>22000</v>
      </c>
      <c r="AA9" s="253">
        <v>3352</v>
      </c>
      <c r="AC9" s="4" t="s">
        <v>195</v>
      </c>
      <c r="AD9" s="27"/>
      <c r="AE9" s="23">
        <f t="shared" si="5"/>
        <v>25894.166666666672</v>
      </c>
      <c r="AF9" s="254">
        <v>0</v>
      </c>
      <c r="AG9" s="188">
        <v>43620</v>
      </c>
      <c r="AH9" s="38" t="s">
        <v>46</v>
      </c>
      <c r="AI9" s="255">
        <v>22000</v>
      </c>
      <c r="AJ9" s="255">
        <f t="shared" si="6"/>
        <v>3352</v>
      </c>
      <c r="AK9" s="255">
        <f t="shared" si="7"/>
        <v>8715.2000000000007</v>
      </c>
      <c r="AL9" s="252">
        <v>7000</v>
      </c>
      <c r="AM9" s="252">
        <f t="shared" si="8"/>
        <v>777215.6</v>
      </c>
      <c r="AN9" s="252">
        <v>17574</v>
      </c>
      <c r="AO9" s="252">
        <f t="shared" si="9"/>
        <v>4426</v>
      </c>
      <c r="AP9" s="252">
        <f t="shared" si="10"/>
        <v>9150.9089891358035</v>
      </c>
      <c r="AQ9" s="252">
        <f t="shared" si="1"/>
        <v>84.933158107323607</v>
      </c>
      <c r="AR9" s="252">
        <v>769542</v>
      </c>
      <c r="AS9" s="252">
        <v>86</v>
      </c>
      <c r="AT9" s="252">
        <v>8990</v>
      </c>
      <c r="AU9" s="252">
        <v>3665</v>
      </c>
      <c r="AV9" s="64"/>
    </row>
    <row r="10" spans="2:56" ht="14">
      <c r="B10" s="190">
        <v>43590</v>
      </c>
      <c r="C10" s="45" t="s">
        <v>37</v>
      </c>
      <c r="D10" s="259">
        <f>'MayJun Proj'!N10</f>
        <v>0</v>
      </c>
      <c r="E10" s="257">
        <v>5300</v>
      </c>
      <c r="F10" s="34"/>
      <c r="G10" s="34"/>
      <c r="H10" s="87"/>
      <c r="J10" s="190">
        <v>43590</v>
      </c>
      <c r="K10" s="45" t="s">
        <v>37</v>
      </c>
      <c r="L10" s="260">
        <f>'MayJun Proj'!V10</f>
        <v>0</v>
      </c>
      <c r="M10" s="260">
        <v>5300</v>
      </c>
      <c r="N10" s="261">
        <f t="shared" si="2"/>
        <v>3930</v>
      </c>
      <c r="O10" s="34"/>
      <c r="P10" s="262"/>
      <c r="Q10" s="87"/>
      <c r="R10" s="47">
        <f t="shared" si="3"/>
        <v>0</v>
      </c>
      <c r="S10" s="263"/>
      <c r="V10" s="188">
        <v>43621</v>
      </c>
      <c r="W10" s="38" t="s">
        <v>49</v>
      </c>
      <c r="X10" s="252">
        <v>13894.166666666672</v>
      </c>
      <c r="Y10" s="253">
        <v>7000</v>
      </c>
      <c r="Z10" s="253">
        <f t="shared" si="4"/>
        <v>20000</v>
      </c>
      <c r="AA10" s="253">
        <v>3692</v>
      </c>
      <c r="AC10" s="4" t="s">
        <v>195</v>
      </c>
      <c r="AD10" s="192"/>
      <c r="AE10" s="23">
        <f t="shared" si="5"/>
        <v>13894.166666666672</v>
      </c>
      <c r="AF10" s="254">
        <v>0</v>
      </c>
      <c r="AG10" s="188">
        <v>43621</v>
      </c>
      <c r="AH10" s="38" t="s">
        <v>49</v>
      </c>
      <c r="AI10" s="255">
        <v>20000</v>
      </c>
      <c r="AJ10" s="255">
        <f t="shared" si="6"/>
        <v>3692</v>
      </c>
      <c r="AK10" s="255">
        <f t="shared" si="7"/>
        <v>9599.2000000000007</v>
      </c>
      <c r="AL10" s="252">
        <v>7000</v>
      </c>
      <c r="AM10" s="252">
        <f t="shared" si="8"/>
        <v>780016.4</v>
      </c>
      <c r="AN10" s="252">
        <v>13492</v>
      </c>
      <c r="AO10" s="252">
        <f t="shared" si="9"/>
        <v>6508</v>
      </c>
      <c r="AP10" s="252">
        <f t="shared" si="10"/>
        <v>9165.8520228312773</v>
      </c>
      <c r="AQ10" s="252">
        <f t="shared" si="1"/>
        <v>85.10026106215247</v>
      </c>
      <c r="AR10" s="252"/>
      <c r="AS10" s="252"/>
      <c r="AT10" s="252"/>
      <c r="AU10" s="252"/>
      <c r="AV10" s="64"/>
      <c r="AW10" s="4"/>
      <c r="AX10" s="4"/>
      <c r="AY10" s="4"/>
      <c r="AZ10" s="4" t="s">
        <v>196</v>
      </c>
      <c r="BA10" s="264">
        <v>141770</v>
      </c>
    </row>
    <row r="11" spans="2:56" ht="14">
      <c r="B11" s="188">
        <v>43591</v>
      </c>
      <c r="C11" s="51" t="s">
        <v>41</v>
      </c>
      <c r="D11" s="158">
        <f>'MayJun Proj'!N11</f>
        <v>10000</v>
      </c>
      <c r="E11" s="253">
        <v>7000</v>
      </c>
      <c r="F11" s="4" t="s">
        <v>134</v>
      </c>
      <c r="G11" s="4"/>
      <c r="H11" s="192"/>
      <c r="J11" s="188">
        <v>43591</v>
      </c>
      <c r="K11" s="51" t="s">
        <v>41</v>
      </c>
      <c r="L11" s="249">
        <f>'MayJun Proj'!V11</f>
        <v>10000</v>
      </c>
      <c r="M11" s="249">
        <v>6000</v>
      </c>
      <c r="N11" s="249">
        <f t="shared" si="2"/>
        <v>4450</v>
      </c>
      <c r="O11" s="4" t="s">
        <v>134</v>
      </c>
      <c r="P11" s="265"/>
      <c r="Q11" s="192"/>
      <c r="R11" s="64">
        <f t="shared" si="3"/>
        <v>10000</v>
      </c>
      <c r="S11" s="254"/>
      <c r="V11" s="188">
        <v>43622</v>
      </c>
      <c r="W11" s="38" t="s">
        <v>51</v>
      </c>
      <c r="X11" s="252">
        <v>1000</v>
      </c>
      <c r="Y11" s="253">
        <v>6800</v>
      </c>
      <c r="Z11" s="253">
        <v>0</v>
      </c>
      <c r="AA11" s="253">
        <v>8953</v>
      </c>
      <c r="AB11" s="4" t="s">
        <v>141</v>
      </c>
      <c r="AC11" s="4" t="s">
        <v>195</v>
      </c>
      <c r="AD11" s="192" t="s">
        <v>197</v>
      </c>
      <c r="AE11" s="64">
        <f t="shared" si="5"/>
        <v>0</v>
      </c>
      <c r="AF11" s="254">
        <v>1000</v>
      </c>
      <c r="AG11" s="188">
        <v>43622</v>
      </c>
      <c r="AH11" s="38" t="s">
        <v>51</v>
      </c>
      <c r="AI11" s="266">
        <v>10000</v>
      </c>
      <c r="AJ11" s="255">
        <f t="shared" si="6"/>
        <v>8953</v>
      </c>
      <c r="AK11" s="255">
        <f t="shared" si="7"/>
        <v>23277.8</v>
      </c>
      <c r="AL11" s="252">
        <v>7000</v>
      </c>
      <c r="AM11" s="252">
        <f t="shared" si="8"/>
        <v>760138.6</v>
      </c>
      <c r="AN11" s="252">
        <v>13967</v>
      </c>
      <c r="AO11" s="252">
        <f t="shared" si="9"/>
        <v>-3967</v>
      </c>
      <c r="AP11" s="252">
        <f t="shared" si="10"/>
        <v>9636.250288736901</v>
      </c>
      <c r="AQ11" s="252">
        <f t="shared" si="1"/>
        <v>78.88323541040333</v>
      </c>
      <c r="AR11" s="252"/>
      <c r="AS11" s="252"/>
      <c r="AT11" s="252"/>
      <c r="AU11" s="252"/>
      <c r="AV11" s="64"/>
      <c r="AW11" s="4"/>
      <c r="AX11" s="4"/>
      <c r="AY11" s="4"/>
      <c r="AZ11" s="4" t="s">
        <v>198</v>
      </c>
      <c r="BA11" s="267">
        <v>2.2000000000000002</v>
      </c>
    </row>
    <row r="12" spans="2:56" ht="14">
      <c r="B12" s="188">
        <v>43592</v>
      </c>
      <c r="C12" s="38" t="s">
        <v>46</v>
      </c>
      <c r="D12" s="158">
        <f>'MayJun Proj'!N12</f>
        <v>0</v>
      </c>
      <c r="E12" s="253">
        <v>6500</v>
      </c>
      <c r="F12" s="4" t="s">
        <v>134</v>
      </c>
      <c r="G12" s="4"/>
      <c r="H12" s="268"/>
      <c r="J12" s="188">
        <v>43592</v>
      </c>
      <c r="K12" s="38" t="s">
        <v>46</v>
      </c>
      <c r="L12" s="249">
        <f>'MayJun Proj'!V12</f>
        <v>0</v>
      </c>
      <c r="M12" s="249">
        <v>8000</v>
      </c>
      <c r="N12" s="249">
        <f t="shared" si="2"/>
        <v>5930</v>
      </c>
      <c r="O12" s="4" t="s">
        <v>134</v>
      </c>
      <c r="P12" s="265"/>
      <c r="Q12" s="268" t="s">
        <v>199</v>
      </c>
      <c r="R12" s="64">
        <f t="shared" si="3"/>
        <v>0</v>
      </c>
      <c r="S12" s="269"/>
      <c r="V12" s="188">
        <v>43623</v>
      </c>
      <c r="W12" s="38" t="s">
        <v>29</v>
      </c>
      <c r="X12" s="252">
        <v>1800</v>
      </c>
      <c r="Y12" s="253">
        <v>8000</v>
      </c>
      <c r="Z12" s="253">
        <f t="shared" ref="Z12:Z35" si="11">AI12</f>
        <v>22000</v>
      </c>
      <c r="AA12" s="253">
        <v>6102</v>
      </c>
      <c r="AB12" s="4" t="s">
        <v>142</v>
      </c>
      <c r="AD12" s="192" t="s">
        <v>200</v>
      </c>
      <c r="AE12" s="64">
        <f t="shared" si="5"/>
        <v>0</v>
      </c>
      <c r="AF12" s="254">
        <v>1800</v>
      </c>
      <c r="AG12" s="188">
        <v>43623</v>
      </c>
      <c r="AH12" s="38" t="s">
        <v>29</v>
      </c>
      <c r="AI12" s="255">
        <v>22000</v>
      </c>
      <c r="AJ12" s="255">
        <f t="shared" si="6"/>
        <v>6102</v>
      </c>
      <c r="AK12" s="255">
        <f t="shared" si="7"/>
        <v>15865.2</v>
      </c>
      <c r="AL12" s="252">
        <v>7000</v>
      </c>
      <c r="AM12" s="252">
        <f t="shared" si="8"/>
        <v>758473.4</v>
      </c>
      <c r="AN12" s="252">
        <v>3195</v>
      </c>
      <c r="AO12" s="252">
        <f t="shared" si="9"/>
        <v>18805</v>
      </c>
      <c r="AP12" s="252">
        <f t="shared" si="10"/>
        <v>9843.8819457790032</v>
      </c>
      <c r="AQ12" s="252">
        <f t="shared" si="1"/>
        <v>77.050233249214131</v>
      </c>
      <c r="AR12" s="252"/>
      <c r="AS12" s="252"/>
      <c r="AT12" s="252"/>
      <c r="AU12" s="252"/>
      <c r="AV12" s="270"/>
      <c r="AW12" s="112"/>
      <c r="AX12" s="112"/>
      <c r="AY12" s="112"/>
      <c r="AZ12" s="112" t="s">
        <v>201</v>
      </c>
      <c r="BA12" s="230">
        <f>BA10*BA11</f>
        <v>311894</v>
      </c>
    </row>
    <row r="13" spans="2:56" ht="14">
      <c r="B13" s="188">
        <v>43593</v>
      </c>
      <c r="C13" s="38" t="s">
        <v>49</v>
      </c>
      <c r="D13" s="158">
        <f>'MayJun Proj'!N13</f>
        <v>3000</v>
      </c>
      <c r="E13" s="253">
        <v>6500</v>
      </c>
      <c r="F13" s="4" t="s">
        <v>134</v>
      </c>
      <c r="G13" s="4"/>
      <c r="H13" s="192"/>
      <c r="J13" s="188">
        <v>43593</v>
      </c>
      <c r="K13" s="38" t="s">
        <v>49</v>
      </c>
      <c r="L13" s="248">
        <f>'MayJun Proj'!V13</f>
        <v>3000</v>
      </c>
      <c r="M13" s="248">
        <v>6500</v>
      </c>
      <c r="N13" s="249">
        <f t="shared" si="2"/>
        <v>4820</v>
      </c>
      <c r="O13" s="4" t="s">
        <v>134</v>
      </c>
      <c r="P13" s="250"/>
      <c r="Q13" s="192"/>
      <c r="R13" s="64">
        <f t="shared" si="3"/>
        <v>3000</v>
      </c>
      <c r="S13" s="254"/>
      <c r="V13" s="188">
        <v>43624</v>
      </c>
      <c r="W13" s="38" t="s">
        <v>33</v>
      </c>
      <c r="X13" s="252">
        <v>18994.166666666672</v>
      </c>
      <c r="Y13" s="253">
        <v>6800</v>
      </c>
      <c r="Z13" s="253">
        <f t="shared" si="11"/>
        <v>18000</v>
      </c>
      <c r="AA13" s="253">
        <v>4502</v>
      </c>
      <c r="AB13" s="4" t="s">
        <v>141</v>
      </c>
      <c r="AD13" s="27"/>
      <c r="AE13" s="64">
        <f t="shared" si="5"/>
        <v>15494.166666666672</v>
      </c>
      <c r="AF13" s="254">
        <v>3500</v>
      </c>
      <c r="AG13" s="188">
        <v>43624</v>
      </c>
      <c r="AH13" s="38" t="s">
        <v>33</v>
      </c>
      <c r="AI13" s="255">
        <v>18000</v>
      </c>
      <c r="AJ13" s="255">
        <f t="shared" si="6"/>
        <v>4502</v>
      </c>
      <c r="AK13" s="255">
        <f t="shared" si="7"/>
        <v>11705.2</v>
      </c>
      <c r="AL13" s="252">
        <v>7000</v>
      </c>
      <c r="AM13" s="252">
        <f t="shared" si="8"/>
        <v>757368.20000000007</v>
      </c>
      <c r="AN13" s="252">
        <v>8480</v>
      </c>
      <c r="AO13" s="252">
        <f t="shared" si="9"/>
        <v>9520</v>
      </c>
      <c r="AP13" s="252">
        <f t="shared" si="10"/>
        <v>9905.9258809197036</v>
      </c>
      <c r="AQ13" s="252">
        <f t="shared" si="1"/>
        <v>76.456073778908902</v>
      </c>
      <c r="AR13" s="252"/>
      <c r="AS13" s="252"/>
      <c r="AT13" s="252"/>
      <c r="AU13" s="252"/>
      <c r="AV13" s="64"/>
      <c r="AW13" s="4"/>
      <c r="AX13" s="4"/>
      <c r="AY13" s="4"/>
      <c r="AZ13" s="4" t="s">
        <v>202</v>
      </c>
      <c r="BA13" s="64">
        <v>70000</v>
      </c>
    </row>
    <row r="14" spans="2:56" ht="14">
      <c r="B14" s="188">
        <v>43594</v>
      </c>
      <c r="C14" s="38" t="s">
        <v>51</v>
      </c>
      <c r="D14" s="158">
        <f>'MayJun Proj'!N14</f>
        <v>0</v>
      </c>
      <c r="E14" s="253">
        <v>8000</v>
      </c>
      <c r="F14" s="4" t="s">
        <v>135</v>
      </c>
      <c r="G14" s="4"/>
      <c r="H14" s="192"/>
      <c r="J14" s="188">
        <v>43594</v>
      </c>
      <c r="K14" s="38" t="s">
        <v>51</v>
      </c>
      <c r="L14" s="253">
        <f>'MayJun Proj'!V14</f>
        <v>1000</v>
      </c>
      <c r="M14" s="253">
        <v>8000</v>
      </c>
      <c r="N14" s="249">
        <f t="shared" si="2"/>
        <v>5930</v>
      </c>
      <c r="O14" s="4" t="s">
        <v>135</v>
      </c>
      <c r="P14" s="271"/>
      <c r="Q14" s="192"/>
      <c r="R14" s="64">
        <f t="shared" si="3"/>
        <v>0</v>
      </c>
      <c r="S14" s="254">
        <v>1000</v>
      </c>
      <c r="V14" s="190">
        <v>43625</v>
      </c>
      <c r="W14" s="45" t="s">
        <v>37</v>
      </c>
      <c r="X14" s="256">
        <v>0</v>
      </c>
      <c r="Y14" s="257">
        <v>6800</v>
      </c>
      <c r="Z14" s="257">
        <f t="shared" si="11"/>
        <v>0</v>
      </c>
      <c r="AA14" s="257">
        <v>4693</v>
      </c>
      <c r="AB14" s="200" t="s">
        <v>141</v>
      </c>
      <c r="AC14" s="34"/>
      <c r="AD14" s="87"/>
      <c r="AE14" s="97">
        <f t="shared" si="5"/>
        <v>0</v>
      </c>
      <c r="AF14" s="258">
        <v>0</v>
      </c>
      <c r="AG14" s="190">
        <v>43625</v>
      </c>
      <c r="AH14" s="45" t="s">
        <v>37</v>
      </c>
      <c r="AI14" s="256">
        <v>0</v>
      </c>
      <c r="AJ14" s="256">
        <f t="shared" si="6"/>
        <v>4693</v>
      </c>
      <c r="AK14" s="255">
        <f t="shared" si="7"/>
        <v>12201.800000000001</v>
      </c>
      <c r="AL14" s="256">
        <v>0</v>
      </c>
      <c r="AM14" s="256">
        <f t="shared" si="8"/>
        <v>745166.4</v>
      </c>
      <c r="AN14" s="256">
        <v>0</v>
      </c>
      <c r="AO14" s="256">
        <f t="shared" si="9"/>
        <v>0</v>
      </c>
      <c r="AP14" s="256">
        <f t="shared" si="10"/>
        <v>9982.4550182223811</v>
      </c>
      <c r="AQ14" s="256">
        <f t="shared" si="1"/>
        <v>74.647609094129933</v>
      </c>
      <c r="AR14" s="256"/>
      <c r="AS14" s="256"/>
      <c r="AT14" s="256"/>
      <c r="AU14" s="256"/>
      <c r="AV14" s="64"/>
      <c r="AW14" s="4"/>
      <c r="AX14" s="4"/>
      <c r="AY14" s="4"/>
      <c r="AZ14" s="4" t="s">
        <v>203</v>
      </c>
      <c r="BA14" s="64">
        <v>30000</v>
      </c>
    </row>
    <row r="15" spans="2:56" ht="14">
      <c r="B15" s="188">
        <v>43595</v>
      </c>
      <c r="C15" s="38" t="s">
        <v>29</v>
      </c>
      <c r="D15" s="247">
        <f>'MayJun Proj'!N15</f>
        <v>25894.166666666672</v>
      </c>
      <c r="E15" s="253">
        <v>5500</v>
      </c>
      <c r="H15" s="27"/>
      <c r="J15" s="188">
        <v>43595</v>
      </c>
      <c r="K15" s="38" t="s">
        <v>29</v>
      </c>
      <c r="L15" s="248">
        <f>'MayJun Proj'!V15</f>
        <v>27694.166666666672</v>
      </c>
      <c r="M15" s="248">
        <v>5500</v>
      </c>
      <c r="N15" s="249">
        <f t="shared" si="2"/>
        <v>4080</v>
      </c>
      <c r="P15" s="250"/>
      <c r="Q15" s="27"/>
      <c r="R15" s="23">
        <f t="shared" si="3"/>
        <v>25894.166666666672</v>
      </c>
      <c r="S15" s="251">
        <v>1800</v>
      </c>
      <c r="V15" s="188">
        <v>43626</v>
      </c>
      <c r="W15" s="51" t="s">
        <v>41</v>
      </c>
      <c r="X15" s="252">
        <v>13894.166666666672</v>
      </c>
      <c r="Y15" s="253">
        <v>7000</v>
      </c>
      <c r="Z15" s="253">
        <f t="shared" si="11"/>
        <v>18000</v>
      </c>
      <c r="AA15" s="253">
        <f t="shared" ref="AA15:AA22" si="12">ROUNDUP(Y15*AA$2,-1)</f>
        <v>5190</v>
      </c>
      <c r="AB15" s="4" t="s">
        <v>143</v>
      </c>
      <c r="AD15" s="192" t="s">
        <v>204</v>
      </c>
      <c r="AE15" s="64">
        <f t="shared" si="5"/>
        <v>13894.166666666672</v>
      </c>
      <c r="AF15" s="254">
        <v>0</v>
      </c>
      <c r="AG15" s="188">
        <v>43626</v>
      </c>
      <c r="AH15" s="51" t="s">
        <v>41</v>
      </c>
      <c r="AI15" s="255">
        <v>18000</v>
      </c>
      <c r="AJ15" s="255">
        <f t="shared" si="6"/>
        <v>5190</v>
      </c>
      <c r="AK15" s="255">
        <f t="shared" si="7"/>
        <v>13494</v>
      </c>
      <c r="AL15" s="255">
        <v>3000</v>
      </c>
      <c r="AM15" s="255">
        <f t="shared" si="8"/>
        <v>745472.4</v>
      </c>
      <c r="AN15" s="255">
        <v>6542</v>
      </c>
      <c r="AO15" s="255">
        <f t="shared" si="9"/>
        <v>11458</v>
      </c>
      <c r="AP15" s="255">
        <f t="shared" si="10"/>
        <v>10099.506517614967</v>
      </c>
      <c r="AQ15" s="255">
        <f t="shared" si="1"/>
        <v>73.812754979640914</v>
      </c>
      <c r="AR15" s="255">
        <v>760292</v>
      </c>
      <c r="AS15" s="255">
        <v>95</v>
      </c>
      <c r="AT15" s="255">
        <v>7978</v>
      </c>
      <c r="AU15" s="255">
        <v>3136</v>
      </c>
      <c r="AV15" s="270"/>
      <c r="AW15" s="112"/>
      <c r="AX15" s="112"/>
      <c r="AY15" s="112"/>
      <c r="AZ15" s="112" t="s">
        <v>205</v>
      </c>
      <c r="BA15" s="270">
        <f>BA13+BA14</f>
        <v>100000</v>
      </c>
    </row>
    <row r="16" spans="2:56" ht="14">
      <c r="B16" s="188">
        <v>43596</v>
      </c>
      <c r="C16" s="38" t="s">
        <v>33</v>
      </c>
      <c r="D16" s="247">
        <f>'MayJun Proj'!N16</f>
        <v>29894.166666666672</v>
      </c>
      <c r="E16" s="253">
        <v>5000</v>
      </c>
      <c r="H16" s="27"/>
      <c r="J16" s="188">
        <v>43596</v>
      </c>
      <c r="K16" s="38" t="s">
        <v>33</v>
      </c>
      <c r="L16" s="248">
        <f>'MayJun Proj'!V16</f>
        <v>33394.166666666672</v>
      </c>
      <c r="M16" s="248">
        <v>5000</v>
      </c>
      <c r="N16" s="249">
        <f t="shared" si="2"/>
        <v>3710</v>
      </c>
      <c r="P16" s="250"/>
      <c r="Q16" s="27"/>
      <c r="R16" s="23">
        <f t="shared" si="3"/>
        <v>29894.166666666672</v>
      </c>
      <c r="S16" s="251">
        <v>3500</v>
      </c>
      <c r="V16" s="188">
        <v>43627</v>
      </c>
      <c r="W16" s="38" t="s">
        <v>46</v>
      </c>
      <c r="X16" s="252">
        <v>1500</v>
      </c>
      <c r="Y16" s="253">
        <v>6800</v>
      </c>
      <c r="Z16" s="253">
        <f t="shared" si="11"/>
        <v>22000</v>
      </c>
      <c r="AA16" s="253">
        <f t="shared" si="12"/>
        <v>5040</v>
      </c>
      <c r="AB16" s="4" t="s">
        <v>143</v>
      </c>
      <c r="AD16" s="27"/>
      <c r="AE16" s="64">
        <f t="shared" si="5"/>
        <v>0</v>
      </c>
      <c r="AF16" s="254">
        <v>1500</v>
      </c>
      <c r="AG16" s="188">
        <v>43627</v>
      </c>
      <c r="AH16" s="38" t="s">
        <v>46</v>
      </c>
      <c r="AI16" s="255">
        <v>22000</v>
      </c>
      <c r="AJ16" s="255">
        <f t="shared" si="6"/>
        <v>5040</v>
      </c>
      <c r="AK16" s="255">
        <f t="shared" si="7"/>
        <v>13104</v>
      </c>
      <c r="AL16" s="255">
        <v>3000</v>
      </c>
      <c r="AM16" s="255">
        <f t="shared" si="8"/>
        <v>749768.4</v>
      </c>
      <c r="AN16" s="255">
        <v>8700</v>
      </c>
      <c r="AO16" s="255">
        <f t="shared" si="9"/>
        <v>13300</v>
      </c>
      <c r="AP16" s="255">
        <f t="shared" si="10"/>
        <v>10199.656300361134</v>
      </c>
      <c r="AQ16" s="255">
        <f t="shared" si="1"/>
        <v>73.509182850941102</v>
      </c>
      <c r="AR16" s="255"/>
      <c r="AS16" s="255"/>
      <c r="AT16" s="255"/>
      <c r="AU16" s="255"/>
      <c r="AV16" s="270"/>
      <c r="AW16" s="112"/>
      <c r="AX16" s="112"/>
      <c r="AY16" s="112"/>
      <c r="AZ16" s="112" t="s">
        <v>206</v>
      </c>
      <c r="BA16" s="114">
        <f>BA12+BA15</f>
        <v>411894</v>
      </c>
    </row>
    <row r="17" spans="2:54" ht="14">
      <c r="B17" s="190">
        <v>43597</v>
      </c>
      <c r="C17" s="45" t="s">
        <v>37</v>
      </c>
      <c r="D17" s="259">
        <f>'MayJun Proj'!N17</f>
        <v>0</v>
      </c>
      <c r="E17" s="257">
        <v>5300</v>
      </c>
      <c r="F17" s="34"/>
      <c r="G17" s="34"/>
      <c r="H17" s="87"/>
      <c r="J17" s="190">
        <v>43597</v>
      </c>
      <c r="K17" s="45" t="s">
        <v>37</v>
      </c>
      <c r="L17" s="260">
        <f>'MayJun Proj'!V17</f>
        <v>0</v>
      </c>
      <c r="M17" s="260">
        <v>5300</v>
      </c>
      <c r="N17" s="261">
        <f t="shared" si="2"/>
        <v>3930</v>
      </c>
      <c r="O17" s="34"/>
      <c r="P17" s="262"/>
      <c r="Q17" s="87"/>
      <c r="R17" s="47">
        <f t="shared" si="3"/>
        <v>0</v>
      </c>
      <c r="S17" s="263"/>
      <c r="V17" s="188">
        <v>43628</v>
      </c>
      <c r="W17" s="38" t="s">
        <v>49</v>
      </c>
      <c r="X17" s="252">
        <v>0</v>
      </c>
      <c r="Y17" s="253">
        <v>8000</v>
      </c>
      <c r="Z17" s="253">
        <f t="shared" si="11"/>
        <v>20000</v>
      </c>
      <c r="AA17" s="253">
        <f t="shared" si="12"/>
        <v>5930</v>
      </c>
      <c r="AB17" s="4" t="s">
        <v>145</v>
      </c>
      <c r="AD17" s="27"/>
      <c r="AE17" s="64">
        <f t="shared" si="5"/>
        <v>0</v>
      </c>
      <c r="AF17" s="254">
        <v>0</v>
      </c>
      <c r="AG17" s="188">
        <v>43628</v>
      </c>
      <c r="AH17" s="38" t="s">
        <v>49</v>
      </c>
      <c r="AI17" s="255">
        <v>20000</v>
      </c>
      <c r="AJ17" s="255">
        <f t="shared" si="6"/>
        <v>5930</v>
      </c>
      <c r="AK17" s="255">
        <f t="shared" si="7"/>
        <v>15418</v>
      </c>
      <c r="AL17" s="255">
        <v>3000</v>
      </c>
      <c r="AM17" s="255">
        <f t="shared" si="8"/>
        <v>749950.4</v>
      </c>
      <c r="AN17" s="255">
        <v>4000</v>
      </c>
      <c r="AO17" s="255">
        <f t="shared" si="9"/>
        <v>16000</v>
      </c>
      <c r="AP17" s="255">
        <f t="shared" si="10"/>
        <v>10373.601090349095</v>
      </c>
      <c r="AQ17" s="255">
        <f t="shared" si="1"/>
        <v>72.294123657569955</v>
      </c>
      <c r="AR17" s="255"/>
      <c r="AS17" s="255"/>
      <c r="AT17" s="255"/>
      <c r="AU17" s="255"/>
      <c r="AV17" s="64"/>
    </row>
    <row r="18" spans="2:54" ht="14">
      <c r="B18" s="188">
        <v>43598</v>
      </c>
      <c r="C18" s="51" t="s">
        <v>41</v>
      </c>
      <c r="D18" s="158">
        <f>'MayJun Proj'!N18</f>
        <v>17894.166666666672</v>
      </c>
      <c r="E18" s="253">
        <v>6500</v>
      </c>
      <c r="G18" s="4" t="s">
        <v>207</v>
      </c>
      <c r="H18" s="27"/>
      <c r="J18" s="188">
        <v>43598</v>
      </c>
      <c r="K18" s="51" t="s">
        <v>41</v>
      </c>
      <c r="L18" s="248">
        <f>'MayJun Proj'!V18</f>
        <v>17894.166666666672</v>
      </c>
      <c r="M18" s="248">
        <v>6500</v>
      </c>
      <c r="N18" s="249">
        <f t="shared" si="2"/>
        <v>4820</v>
      </c>
      <c r="P18" s="250" t="s">
        <v>207</v>
      </c>
      <c r="Q18" s="27"/>
      <c r="R18" s="23">
        <f t="shared" si="3"/>
        <v>17894.166666666672</v>
      </c>
      <c r="S18" s="251"/>
      <c r="V18" s="188">
        <v>43629</v>
      </c>
      <c r="W18" s="38" t="s">
        <v>51</v>
      </c>
      <c r="X18" s="252">
        <v>16494.166666666672</v>
      </c>
      <c r="Y18" s="253">
        <v>6800</v>
      </c>
      <c r="Z18" s="253">
        <f t="shared" si="11"/>
        <v>22000</v>
      </c>
      <c r="AA18" s="253">
        <f t="shared" si="12"/>
        <v>5040</v>
      </c>
      <c r="AB18" s="4" t="s">
        <v>143</v>
      </c>
      <c r="AD18" s="27"/>
      <c r="AE18" s="64">
        <f t="shared" si="5"/>
        <v>15494.166666666672</v>
      </c>
      <c r="AF18" s="254">
        <v>1000</v>
      </c>
      <c r="AG18" s="188">
        <v>43629</v>
      </c>
      <c r="AH18" s="38" t="s">
        <v>51</v>
      </c>
      <c r="AI18" s="255">
        <v>22000</v>
      </c>
      <c r="AJ18" s="255">
        <f t="shared" si="6"/>
        <v>5040</v>
      </c>
      <c r="AK18" s="255">
        <f t="shared" si="7"/>
        <v>13104</v>
      </c>
      <c r="AL18" s="255">
        <v>3000</v>
      </c>
      <c r="AM18" s="255">
        <f t="shared" si="8"/>
        <v>754246.4</v>
      </c>
      <c r="AN18" s="255">
        <v>6000</v>
      </c>
      <c r="AO18" s="255">
        <f t="shared" si="9"/>
        <v>16000</v>
      </c>
      <c r="AP18" s="255">
        <f t="shared" si="10"/>
        <v>10464.614387337459</v>
      </c>
      <c r="AQ18" s="255">
        <f t="shared" si="1"/>
        <v>72.075890432490652</v>
      </c>
      <c r="AR18" s="255">
        <v>739870</v>
      </c>
      <c r="AS18" s="255">
        <v>83</v>
      </c>
      <c r="AT18" s="255">
        <v>8904</v>
      </c>
      <c r="AU18" s="255">
        <v>3396</v>
      </c>
      <c r="AV18" s="64"/>
    </row>
    <row r="19" spans="2:54" ht="14">
      <c r="B19" s="188">
        <v>43599</v>
      </c>
      <c r="C19" s="38" t="s">
        <v>46</v>
      </c>
      <c r="D19" s="158">
        <f>'MayJun Proj'!N19</f>
        <v>21894.166666666672</v>
      </c>
      <c r="E19" s="253">
        <v>6000</v>
      </c>
      <c r="G19" s="4" t="s">
        <v>207</v>
      </c>
      <c r="H19" s="27"/>
      <c r="J19" s="188">
        <v>43599</v>
      </c>
      <c r="K19" s="38" t="s">
        <v>46</v>
      </c>
      <c r="L19" s="248">
        <f>'MayJun Proj'!V19</f>
        <v>23394.166666666672</v>
      </c>
      <c r="M19" s="248">
        <v>6000</v>
      </c>
      <c r="N19" s="249">
        <f t="shared" si="2"/>
        <v>4450</v>
      </c>
      <c r="P19" s="250" t="s">
        <v>207</v>
      </c>
      <c r="Q19" s="27"/>
      <c r="R19" s="23">
        <f t="shared" si="3"/>
        <v>21894.166666666672</v>
      </c>
      <c r="S19" s="254">
        <v>1500</v>
      </c>
      <c r="V19" s="188">
        <v>43630</v>
      </c>
      <c r="W19" s="38" t="s">
        <v>29</v>
      </c>
      <c r="X19" s="252">
        <v>19694.166666666672</v>
      </c>
      <c r="Y19" s="253">
        <v>6500</v>
      </c>
      <c r="Z19" s="253">
        <f t="shared" si="11"/>
        <v>22000</v>
      </c>
      <c r="AA19" s="253">
        <f t="shared" si="12"/>
        <v>4820</v>
      </c>
      <c r="AB19" s="4" t="s">
        <v>146</v>
      </c>
      <c r="AD19" s="27"/>
      <c r="AE19" s="64">
        <f t="shared" si="5"/>
        <v>17894.166666666672</v>
      </c>
      <c r="AF19" s="254">
        <v>1800</v>
      </c>
      <c r="AG19" s="188">
        <v>43630</v>
      </c>
      <c r="AH19" s="38" t="s">
        <v>29</v>
      </c>
      <c r="AI19" s="255">
        <v>22000</v>
      </c>
      <c r="AJ19" s="255">
        <f t="shared" si="6"/>
        <v>4820</v>
      </c>
      <c r="AK19" s="255">
        <f t="shared" si="7"/>
        <v>12532</v>
      </c>
      <c r="AL19" s="255">
        <v>3000</v>
      </c>
      <c r="AM19" s="255">
        <f t="shared" si="8"/>
        <v>759114.4</v>
      </c>
      <c r="AN19" s="255">
        <v>6990</v>
      </c>
      <c r="AO19" s="255">
        <f t="shared" si="9"/>
        <v>15010</v>
      </c>
      <c r="AP19" s="255">
        <f t="shared" si="10"/>
        <v>10533.527241092876</v>
      </c>
      <c r="AQ19" s="255">
        <f t="shared" si="1"/>
        <v>72.066496115240525</v>
      </c>
      <c r="AR19" s="255"/>
      <c r="AS19" s="255"/>
      <c r="AT19" s="255"/>
      <c r="AU19" s="255"/>
      <c r="AV19" s="64"/>
    </row>
    <row r="20" spans="2:54" ht="14">
      <c r="B20" s="188">
        <v>43600</v>
      </c>
      <c r="C20" s="38" t="s">
        <v>49</v>
      </c>
      <c r="D20" s="158">
        <f>'MayJun Proj'!N20</f>
        <v>23494.166666666672</v>
      </c>
      <c r="E20" s="253">
        <v>5800</v>
      </c>
      <c r="G20" s="4" t="s">
        <v>207</v>
      </c>
      <c r="H20" s="27"/>
      <c r="J20" s="188">
        <v>43600</v>
      </c>
      <c r="K20" s="38" t="s">
        <v>49</v>
      </c>
      <c r="L20" s="248">
        <f>'MayJun Proj'!V20</f>
        <v>25994.166666666672</v>
      </c>
      <c r="M20" s="248">
        <v>5800</v>
      </c>
      <c r="N20" s="249">
        <f t="shared" si="2"/>
        <v>4300</v>
      </c>
      <c r="P20" s="250" t="s">
        <v>207</v>
      </c>
      <c r="Q20" s="27"/>
      <c r="R20" s="23">
        <f t="shared" si="3"/>
        <v>23494.166666666672</v>
      </c>
      <c r="S20" s="254">
        <v>2500</v>
      </c>
      <c r="V20" s="188">
        <v>43631</v>
      </c>
      <c r="W20" s="38" t="s">
        <v>33</v>
      </c>
      <c r="X20" s="252">
        <v>21394.166666666672</v>
      </c>
      <c r="Y20" s="253">
        <v>5500</v>
      </c>
      <c r="Z20" s="253">
        <f t="shared" si="11"/>
        <v>18000</v>
      </c>
      <c r="AA20" s="253">
        <f t="shared" si="12"/>
        <v>4080</v>
      </c>
      <c r="AB20" s="4" t="s">
        <v>146</v>
      </c>
      <c r="AD20" s="27"/>
      <c r="AE20" s="64">
        <f t="shared" si="5"/>
        <v>17894.166666666672</v>
      </c>
      <c r="AF20" s="254">
        <v>3500</v>
      </c>
      <c r="AG20" s="188">
        <v>43631</v>
      </c>
      <c r="AH20" s="38" t="s">
        <v>33</v>
      </c>
      <c r="AI20" s="255">
        <v>18000</v>
      </c>
      <c r="AJ20" s="255">
        <f t="shared" si="6"/>
        <v>4080</v>
      </c>
      <c r="AK20" s="255">
        <f t="shared" si="7"/>
        <v>10608</v>
      </c>
      <c r="AL20" s="255">
        <v>3000</v>
      </c>
      <c r="AM20" s="255">
        <f t="shared" si="8"/>
        <v>762306.4</v>
      </c>
      <c r="AN20" s="255">
        <v>9500</v>
      </c>
      <c r="AO20" s="255">
        <f t="shared" si="9"/>
        <v>8500</v>
      </c>
      <c r="AP20" s="255">
        <f t="shared" si="10"/>
        <v>10536.00966638978</v>
      </c>
      <c r="AQ20" s="255">
        <f t="shared" si="1"/>
        <v>72.352477279114751</v>
      </c>
      <c r="AR20" s="255"/>
      <c r="AS20" s="255"/>
      <c r="AT20" s="255"/>
      <c r="AU20" s="255"/>
      <c r="AV20" s="64"/>
    </row>
    <row r="21" spans="2:54" ht="14">
      <c r="B21" s="188">
        <v>43601</v>
      </c>
      <c r="C21" s="38" t="s">
        <v>51</v>
      </c>
      <c r="D21" s="158">
        <f>'MayJun Proj'!N21</f>
        <v>25894.166666666672</v>
      </c>
      <c r="E21" s="253">
        <v>5500</v>
      </c>
      <c r="G21" s="4" t="s">
        <v>208</v>
      </c>
      <c r="H21" s="27"/>
      <c r="J21" s="188">
        <v>43601</v>
      </c>
      <c r="K21" s="38" t="s">
        <v>51</v>
      </c>
      <c r="L21" s="248">
        <f>'MayJun Proj'!V21</f>
        <v>29394.166666666672</v>
      </c>
      <c r="M21" s="248">
        <v>5500</v>
      </c>
      <c r="N21" s="249">
        <f t="shared" si="2"/>
        <v>4080</v>
      </c>
      <c r="P21" s="250" t="s">
        <v>208</v>
      </c>
      <c r="Q21" s="27"/>
      <c r="R21" s="23">
        <f t="shared" si="3"/>
        <v>25894.166666666672</v>
      </c>
      <c r="S21" s="254">
        <v>3500</v>
      </c>
      <c r="V21" s="190">
        <v>43632</v>
      </c>
      <c r="W21" s="45" t="s">
        <v>37</v>
      </c>
      <c r="X21" s="256">
        <v>0</v>
      </c>
      <c r="Y21" s="257">
        <v>5500</v>
      </c>
      <c r="Z21" s="257">
        <f t="shared" si="11"/>
        <v>0</v>
      </c>
      <c r="AA21" s="257">
        <f t="shared" si="12"/>
        <v>4080</v>
      </c>
      <c r="AB21" s="200" t="s">
        <v>147</v>
      </c>
      <c r="AC21" s="34"/>
      <c r="AD21" s="87"/>
      <c r="AE21" s="97">
        <f t="shared" si="5"/>
        <v>0</v>
      </c>
      <c r="AF21" s="258">
        <v>0</v>
      </c>
      <c r="AG21" s="190">
        <v>43632</v>
      </c>
      <c r="AH21" s="45" t="s">
        <v>37</v>
      </c>
      <c r="AI21" s="256">
        <v>0</v>
      </c>
      <c r="AJ21" s="256">
        <f t="shared" si="6"/>
        <v>4080</v>
      </c>
      <c r="AK21" s="255">
        <f t="shared" si="7"/>
        <v>10608</v>
      </c>
      <c r="AL21" s="256">
        <v>0</v>
      </c>
      <c r="AM21" s="256">
        <f t="shared" si="8"/>
        <v>751698.4</v>
      </c>
      <c r="AN21" s="256">
        <v>0</v>
      </c>
      <c r="AO21" s="256">
        <f t="shared" si="9"/>
        <v>0</v>
      </c>
      <c r="AP21" s="256">
        <f t="shared" si="10"/>
        <v>10538.409344176787</v>
      </c>
      <c r="AQ21" s="256">
        <f t="shared" si="1"/>
        <v>71.329398531607268</v>
      </c>
      <c r="AR21" s="256"/>
      <c r="AS21" s="256"/>
      <c r="AT21" s="256"/>
      <c r="AU21" s="256"/>
      <c r="AV21" s="64"/>
    </row>
    <row r="22" spans="2:54" ht="14">
      <c r="B22" s="188">
        <v>43602</v>
      </c>
      <c r="C22" s="38" t="s">
        <v>29</v>
      </c>
      <c r="D22" s="247">
        <f>'MayJun Proj'!N22</f>
        <v>25894.166666666672</v>
      </c>
      <c r="E22" s="253">
        <v>5500</v>
      </c>
      <c r="H22" s="27"/>
      <c r="J22" s="188">
        <v>43602</v>
      </c>
      <c r="K22" s="38" t="s">
        <v>29</v>
      </c>
      <c r="L22" s="248">
        <f>'MayJun Proj'!V22</f>
        <v>30194.166666666672</v>
      </c>
      <c r="M22" s="248">
        <v>5500</v>
      </c>
      <c r="N22" s="249">
        <f t="shared" si="2"/>
        <v>4080</v>
      </c>
      <c r="P22" s="250"/>
      <c r="Q22" s="27"/>
      <c r="R22" s="23">
        <f t="shared" si="3"/>
        <v>25894.166666666672</v>
      </c>
      <c r="S22" s="254">
        <v>4300</v>
      </c>
      <c r="V22" s="188">
        <v>43633</v>
      </c>
      <c r="W22" s="51" t="s">
        <v>41</v>
      </c>
      <c r="X22" s="252">
        <v>0</v>
      </c>
      <c r="Y22" s="253">
        <v>6500</v>
      </c>
      <c r="Z22" s="253">
        <f t="shared" si="11"/>
        <v>18350</v>
      </c>
      <c r="AA22" s="253">
        <f t="shared" si="12"/>
        <v>4820</v>
      </c>
      <c r="AB22" s="4" t="s">
        <v>147</v>
      </c>
      <c r="AD22" s="27"/>
      <c r="AE22" s="64">
        <f t="shared" si="5"/>
        <v>0</v>
      </c>
      <c r="AF22" s="254">
        <v>0</v>
      </c>
      <c r="AG22" s="188">
        <v>43633</v>
      </c>
      <c r="AH22" s="51" t="s">
        <v>41</v>
      </c>
      <c r="AI22" s="252">
        <v>18350</v>
      </c>
      <c r="AJ22" s="252">
        <f t="shared" si="6"/>
        <v>4820</v>
      </c>
      <c r="AK22" s="255">
        <f t="shared" si="7"/>
        <v>12532</v>
      </c>
      <c r="AL22" s="255">
        <v>3000</v>
      </c>
      <c r="AM22" s="255">
        <f t="shared" si="8"/>
        <v>753281.4</v>
      </c>
      <c r="AN22" s="255">
        <v>6000</v>
      </c>
      <c r="AO22" s="255">
        <f t="shared" si="9"/>
        <v>12350</v>
      </c>
      <c r="AP22" s="255">
        <f t="shared" si="10"/>
        <v>10604.862366037562</v>
      </c>
      <c r="AQ22" s="255">
        <f t="shared" si="1"/>
        <v>71.031699799557018</v>
      </c>
      <c r="AR22" s="255">
        <v>719382</v>
      </c>
      <c r="AS22" s="255">
        <v>80</v>
      </c>
      <c r="AT22" s="255">
        <v>9011.6</v>
      </c>
      <c r="AU22" s="255">
        <v>3312</v>
      </c>
    </row>
    <row r="23" spans="2:54" ht="14">
      <c r="B23" s="188">
        <v>43603</v>
      </c>
      <c r="C23" s="38" t="s">
        <v>33</v>
      </c>
      <c r="D23" s="247">
        <f>'MayJun Proj'!N23</f>
        <v>29894.166666666672</v>
      </c>
      <c r="E23" s="253">
        <v>5000</v>
      </c>
      <c r="H23" s="27"/>
      <c r="J23" s="188">
        <v>43603</v>
      </c>
      <c r="K23" s="38" t="s">
        <v>33</v>
      </c>
      <c r="L23" s="248">
        <f>'MayJun Proj'!V23</f>
        <v>35894.166666666672</v>
      </c>
      <c r="M23" s="248">
        <v>5000</v>
      </c>
      <c r="N23" s="249">
        <f t="shared" si="2"/>
        <v>3710</v>
      </c>
      <c r="P23" s="250"/>
      <c r="Q23" s="27"/>
      <c r="R23" s="23">
        <f t="shared" si="3"/>
        <v>29894.166666666672</v>
      </c>
      <c r="S23" s="254">
        <v>6000</v>
      </c>
      <c r="V23" s="188">
        <v>43634</v>
      </c>
      <c r="W23" s="38" t="s">
        <v>46</v>
      </c>
      <c r="X23" s="252">
        <v>0</v>
      </c>
      <c r="Y23" s="253">
        <v>12000</v>
      </c>
      <c r="Z23" s="253">
        <f t="shared" si="11"/>
        <v>0</v>
      </c>
      <c r="AA23" s="272">
        <f>15000+300</f>
        <v>15300</v>
      </c>
      <c r="AB23" s="4" t="s">
        <v>148</v>
      </c>
      <c r="AD23" s="192" t="s">
        <v>209</v>
      </c>
      <c r="AE23" s="64">
        <f t="shared" si="5"/>
        <v>0</v>
      </c>
      <c r="AF23" s="254">
        <v>0</v>
      </c>
      <c r="AG23" s="188">
        <v>43634</v>
      </c>
      <c r="AH23" s="38" t="s">
        <v>46</v>
      </c>
      <c r="AI23" s="255">
        <v>0</v>
      </c>
      <c r="AJ23" s="255">
        <f t="shared" si="6"/>
        <v>15300</v>
      </c>
      <c r="AK23" s="255">
        <f t="shared" si="7"/>
        <v>39780</v>
      </c>
      <c r="AL23" s="255">
        <v>1500</v>
      </c>
      <c r="AM23" s="255">
        <f t="shared" si="8"/>
        <v>712301.4</v>
      </c>
      <c r="AN23" s="255">
        <v>0</v>
      </c>
      <c r="AO23" s="255">
        <f t="shared" si="9"/>
        <v>0</v>
      </c>
      <c r="AP23" s="255">
        <f t="shared" si="10"/>
        <v>11577.36695383631</v>
      </c>
      <c r="AQ23" s="255">
        <f t="shared" si="1"/>
        <v>61.525336705680715</v>
      </c>
      <c r="BA23" s="273">
        <v>43646</v>
      </c>
    </row>
    <row r="24" spans="2:54" ht="14">
      <c r="B24" s="190">
        <v>43604</v>
      </c>
      <c r="C24" s="45" t="s">
        <v>37</v>
      </c>
      <c r="D24" s="259">
        <f>'MayJun Proj'!N24</f>
        <v>0</v>
      </c>
      <c r="E24" s="257">
        <v>5300</v>
      </c>
      <c r="F24" s="34"/>
      <c r="G24" s="34"/>
      <c r="H24" s="87"/>
      <c r="J24" s="190">
        <v>43604</v>
      </c>
      <c r="K24" s="45" t="s">
        <v>37</v>
      </c>
      <c r="L24" s="260">
        <f>'MayJun Proj'!V24</f>
        <v>0</v>
      </c>
      <c r="M24" s="260">
        <v>5300</v>
      </c>
      <c r="N24" s="261">
        <f t="shared" si="2"/>
        <v>3930</v>
      </c>
      <c r="O24" s="34"/>
      <c r="P24" s="262"/>
      <c r="Q24" s="87"/>
      <c r="R24" s="47">
        <f t="shared" si="3"/>
        <v>0</v>
      </c>
      <c r="S24" s="263"/>
      <c r="V24" s="188">
        <v>43635</v>
      </c>
      <c r="W24" s="38" t="s">
        <v>49</v>
      </c>
      <c r="X24" s="252">
        <v>0</v>
      </c>
      <c r="Y24" s="253">
        <v>6000</v>
      </c>
      <c r="Z24" s="253">
        <f t="shared" si="11"/>
        <v>0</v>
      </c>
      <c r="AA24" s="253">
        <f t="shared" ref="AA24:AA35" si="13">ROUNDUP(Y24*AA$2,-1)</f>
        <v>4450</v>
      </c>
      <c r="AB24" s="4" t="s">
        <v>149</v>
      </c>
      <c r="AD24" s="27"/>
      <c r="AE24" s="64">
        <f t="shared" si="5"/>
        <v>0</v>
      </c>
      <c r="AF24" s="254">
        <v>0</v>
      </c>
      <c r="AG24" s="188">
        <v>43635</v>
      </c>
      <c r="AH24" s="38" t="s">
        <v>49</v>
      </c>
      <c r="AI24" s="255">
        <v>0</v>
      </c>
      <c r="AJ24" s="255">
        <f t="shared" si="6"/>
        <v>4450</v>
      </c>
      <c r="AK24" s="255">
        <f t="shared" si="7"/>
        <v>11570</v>
      </c>
      <c r="AL24" s="255">
        <v>1500</v>
      </c>
      <c r="AM24" s="255">
        <f t="shared" si="8"/>
        <v>699531.4</v>
      </c>
      <c r="AN24" s="255">
        <v>0</v>
      </c>
      <c r="AO24" s="255">
        <f t="shared" si="9"/>
        <v>0</v>
      </c>
      <c r="AP24" s="255">
        <f t="shared" si="10"/>
        <v>11577.121388708434</v>
      </c>
      <c r="AQ24" s="255">
        <f t="shared" si="1"/>
        <v>60.423604151052359</v>
      </c>
      <c r="AR24" s="4"/>
      <c r="AS24" s="4"/>
      <c r="AT24" s="4"/>
      <c r="AU24" s="4"/>
      <c r="AV24" s="4"/>
      <c r="AW24" s="4"/>
      <c r="AX24" s="4"/>
      <c r="AY24" s="4"/>
      <c r="AZ24" s="4" t="s">
        <v>180</v>
      </c>
      <c r="BA24" s="4">
        <v>80</v>
      </c>
    </row>
    <row r="25" spans="2:54" ht="14">
      <c r="B25" s="188">
        <v>43605</v>
      </c>
      <c r="C25" s="51" t="s">
        <v>41</v>
      </c>
      <c r="D25" s="247">
        <f>'MayJun Proj'!N25</f>
        <v>17894.166666666672</v>
      </c>
      <c r="E25" s="253">
        <v>6500</v>
      </c>
      <c r="F25" s="274"/>
      <c r="H25" s="192" t="s">
        <v>136</v>
      </c>
      <c r="J25" s="188">
        <v>43605</v>
      </c>
      <c r="K25" s="51" t="s">
        <v>41</v>
      </c>
      <c r="L25" s="248">
        <f>'MayJun Proj'!V25</f>
        <v>17894.166666666672</v>
      </c>
      <c r="M25" s="248">
        <v>6500</v>
      </c>
      <c r="N25" s="249">
        <f t="shared" si="2"/>
        <v>4820</v>
      </c>
      <c r="O25" s="274" t="s">
        <v>210</v>
      </c>
      <c r="P25" s="250"/>
      <c r="Q25" s="192" t="s">
        <v>136</v>
      </c>
      <c r="R25" s="275">
        <f t="shared" si="3"/>
        <v>17894.166666666672</v>
      </c>
      <c r="S25" s="254"/>
      <c r="V25" s="188">
        <v>43636</v>
      </c>
      <c r="W25" s="38" t="s">
        <v>51</v>
      </c>
      <c r="X25" s="252">
        <v>22894.166666666672</v>
      </c>
      <c r="Y25" s="253">
        <v>6000</v>
      </c>
      <c r="Z25" s="253">
        <f t="shared" si="11"/>
        <v>18350</v>
      </c>
      <c r="AA25" s="253">
        <f t="shared" si="13"/>
        <v>4450</v>
      </c>
      <c r="AB25" s="4" t="s">
        <v>149</v>
      </c>
      <c r="AD25" s="27"/>
      <c r="AE25" s="64">
        <f t="shared" si="5"/>
        <v>21894.166666666672</v>
      </c>
      <c r="AF25" s="254">
        <v>1000</v>
      </c>
      <c r="AG25" s="188">
        <v>43636</v>
      </c>
      <c r="AH25" s="38" t="s">
        <v>51</v>
      </c>
      <c r="AI25" s="252">
        <v>18350</v>
      </c>
      <c r="AJ25" s="252">
        <f t="shared" si="6"/>
        <v>4450</v>
      </c>
      <c r="AK25" s="255">
        <f t="shared" si="7"/>
        <v>11570</v>
      </c>
      <c r="AL25" s="255">
        <v>3000</v>
      </c>
      <c r="AM25" s="255">
        <f t="shared" si="8"/>
        <v>702076.4</v>
      </c>
      <c r="AN25" s="255">
        <v>11500</v>
      </c>
      <c r="AO25" s="255">
        <f t="shared" si="9"/>
        <v>6850</v>
      </c>
      <c r="AP25" s="255">
        <f t="shared" si="10"/>
        <v>11576.884009084819</v>
      </c>
      <c r="AQ25" s="255">
        <f t="shared" si="1"/>
        <v>60.644677743083037</v>
      </c>
      <c r="AR25" s="4"/>
      <c r="AS25" s="4"/>
      <c r="AT25" s="4"/>
      <c r="AU25" s="4"/>
      <c r="AV25" s="4"/>
      <c r="AW25" s="4"/>
      <c r="AX25" s="4"/>
      <c r="AY25" s="4"/>
      <c r="AZ25" s="4" t="s">
        <v>211</v>
      </c>
      <c r="BA25" s="4">
        <v>75</v>
      </c>
      <c r="BB25" s="4" t="s">
        <v>212</v>
      </c>
    </row>
    <row r="26" spans="2:54" ht="14">
      <c r="B26" s="188">
        <v>43606</v>
      </c>
      <c r="C26" s="38" t="s">
        <v>46</v>
      </c>
      <c r="D26" s="247">
        <f>'MayJun Proj'!N26</f>
        <v>21894.166666666672</v>
      </c>
      <c r="E26" s="253">
        <v>6000</v>
      </c>
      <c r="F26" s="274"/>
      <c r="H26" s="192" t="s">
        <v>136</v>
      </c>
      <c r="J26" s="188">
        <v>43606</v>
      </c>
      <c r="K26" s="38" t="s">
        <v>46</v>
      </c>
      <c r="L26" s="248">
        <f>'MayJun Proj'!V26</f>
        <v>21894.166666666672</v>
      </c>
      <c r="M26" s="248">
        <v>6000</v>
      </c>
      <c r="N26" s="249">
        <f t="shared" si="2"/>
        <v>4450</v>
      </c>
      <c r="O26" s="274" t="s">
        <v>210</v>
      </c>
      <c r="P26" s="250"/>
      <c r="Q26" s="192" t="s">
        <v>136</v>
      </c>
      <c r="R26" s="275">
        <f t="shared" si="3"/>
        <v>21894.166666666672</v>
      </c>
      <c r="S26" s="254"/>
      <c r="V26" s="188">
        <v>43637</v>
      </c>
      <c r="W26" s="38" t="s">
        <v>29</v>
      </c>
      <c r="X26" s="252">
        <v>33694.166666666672</v>
      </c>
      <c r="Y26" s="253">
        <v>5000</v>
      </c>
      <c r="Z26" s="253">
        <f t="shared" si="11"/>
        <v>22000</v>
      </c>
      <c r="AA26" s="253">
        <f t="shared" si="13"/>
        <v>3710</v>
      </c>
      <c r="AD26" s="27"/>
      <c r="AE26" s="23">
        <f t="shared" si="5"/>
        <v>29894.166666666672</v>
      </c>
      <c r="AF26" s="254">
        <v>3800</v>
      </c>
      <c r="AG26" s="188">
        <v>43637</v>
      </c>
      <c r="AH26" s="38" t="s">
        <v>29</v>
      </c>
      <c r="AI26" s="255">
        <v>22000</v>
      </c>
      <c r="AJ26" s="252">
        <f t="shared" si="6"/>
        <v>3710</v>
      </c>
      <c r="AK26" s="255">
        <f t="shared" si="7"/>
        <v>9646</v>
      </c>
      <c r="AL26" s="255">
        <v>3000</v>
      </c>
      <c r="AM26" s="255">
        <f t="shared" si="8"/>
        <v>709830.4</v>
      </c>
      <c r="AN26" s="255">
        <v>12830</v>
      </c>
      <c r="AO26" s="255">
        <f t="shared" si="9"/>
        <v>9170</v>
      </c>
      <c r="AP26" s="255">
        <f t="shared" si="10"/>
        <v>11512.521208781991</v>
      </c>
      <c r="AQ26" s="255">
        <f t="shared" si="1"/>
        <v>61.657250147650245</v>
      </c>
    </row>
    <row r="27" spans="2:54" ht="14">
      <c r="B27" s="188">
        <v>43607</v>
      </c>
      <c r="C27" s="38" t="s">
        <v>49</v>
      </c>
      <c r="D27" s="247">
        <f>'MayJun Proj'!N27</f>
        <v>0</v>
      </c>
      <c r="E27" s="253">
        <v>5800</v>
      </c>
      <c r="F27" s="274"/>
      <c r="H27" s="192" t="s">
        <v>136</v>
      </c>
      <c r="J27" s="188">
        <v>43607</v>
      </c>
      <c r="K27" s="38" t="s">
        <v>49</v>
      </c>
      <c r="L27" s="249">
        <f>'MayJun Proj'!V27</f>
        <v>0</v>
      </c>
      <c r="M27" s="249">
        <v>8000</v>
      </c>
      <c r="N27" s="249">
        <f t="shared" si="2"/>
        <v>5930</v>
      </c>
      <c r="O27" s="274" t="s">
        <v>213</v>
      </c>
      <c r="P27" s="265"/>
      <c r="Q27" s="192" t="s">
        <v>136</v>
      </c>
      <c r="R27" s="275">
        <f t="shared" si="3"/>
        <v>0</v>
      </c>
      <c r="S27" s="254"/>
      <c r="V27" s="188">
        <v>43638</v>
      </c>
      <c r="W27" s="38" t="s">
        <v>33</v>
      </c>
      <c r="X27" s="252">
        <v>34394.166666666672</v>
      </c>
      <c r="Y27" s="253">
        <v>5000</v>
      </c>
      <c r="Z27" s="253">
        <f t="shared" si="11"/>
        <v>15000</v>
      </c>
      <c r="AA27" s="253">
        <f t="shared" si="13"/>
        <v>3710</v>
      </c>
      <c r="AD27" s="27"/>
      <c r="AE27" s="23">
        <f t="shared" si="5"/>
        <v>29894.166666666672</v>
      </c>
      <c r="AF27" s="254">
        <v>4500</v>
      </c>
      <c r="AG27" s="188">
        <v>43638</v>
      </c>
      <c r="AH27" s="38" t="s">
        <v>33</v>
      </c>
      <c r="AI27" s="255">
        <v>15000</v>
      </c>
      <c r="AJ27" s="255">
        <f t="shared" si="6"/>
        <v>3710</v>
      </c>
      <c r="AK27" s="255">
        <f t="shared" si="7"/>
        <v>9646</v>
      </c>
      <c r="AL27" s="255">
        <v>3000</v>
      </c>
      <c r="AM27" s="255">
        <f t="shared" si="8"/>
        <v>711284.4</v>
      </c>
      <c r="AN27" s="255">
        <v>9450</v>
      </c>
      <c r="AO27" s="255">
        <f t="shared" si="9"/>
        <v>5550</v>
      </c>
      <c r="AP27" s="255">
        <f t="shared" si="10"/>
        <v>11450.303835155926</v>
      </c>
      <c r="AQ27" s="255">
        <f t="shared" si="1"/>
        <v>62.119259911351861</v>
      </c>
      <c r="AR27" s="4"/>
      <c r="AS27" s="4"/>
      <c r="AT27" s="4"/>
      <c r="AU27" s="4"/>
      <c r="AV27" s="4"/>
      <c r="AW27" s="4"/>
      <c r="AX27" s="4"/>
      <c r="AY27" s="4"/>
      <c r="AZ27" s="4" t="s">
        <v>214</v>
      </c>
    </row>
    <row r="28" spans="2:54" ht="14">
      <c r="B28" s="188">
        <v>43608</v>
      </c>
      <c r="C28" s="38" t="s">
        <v>51</v>
      </c>
      <c r="D28" s="158">
        <f>'MayJun Proj'!N28</f>
        <v>21894.166666666672</v>
      </c>
      <c r="E28" s="253">
        <v>6000</v>
      </c>
      <c r="F28" s="4"/>
      <c r="H28" s="192" t="s">
        <v>137</v>
      </c>
      <c r="J28" s="188">
        <v>43608</v>
      </c>
      <c r="K28" s="38" t="s">
        <v>51</v>
      </c>
      <c r="L28" s="248">
        <f>'MayJun Proj'!V28</f>
        <v>22894.166666666672</v>
      </c>
      <c r="M28" s="248">
        <v>6000</v>
      </c>
      <c r="N28" s="249">
        <f t="shared" si="2"/>
        <v>4450</v>
      </c>
      <c r="O28" s="4"/>
      <c r="P28" s="250"/>
      <c r="Q28" s="192" t="s">
        <v>137</v>
      </c>
      <c r="R28" s="276">
        <f t="shared" si="3"/>
        <v>21894.166666666672</v>
      </c>
      <c r="S28" s="254">
        <v>1000</v>
      </c>
      <c r="V28" s="190">
        <v>43639</v>
      </c>
      <c r="W28" s="45" t="s">
        <v>37</v>
      </c>
      <c r="X28" s="256">
        <v>0</v>
      </c>
      <c r="Y28" s="257">
        <v>5300</v>
      </c>
      <c r="Z28" s="257">
        <f t="shared" si="11"/>
        <v>0</v>
      </c>
      <c r="AA28" s="257">
        <f t="shared" si="13"/>
        <v>3930</v>
      </c>
      <c r="AB28" s="34"/>
      <c r="AC28" s="34"/>
      <c r="AD28" s="87"/>
      <c r="AE28" s="47">
        <f t="shared" si="5"/>
        <v>0</v>
      </c>
      <c r="AF28" s="258">
        <v>0</v>
      </c>
      <c r="AG28" s="190">
        <v>43639</v>
      </c>
      <c r="AH28" s="45" t="s">
        <v>37</v>
      </c>
      <c r="AI28" s="256">
        <v>0</v>
      </c>
      <c r="AJ28" s="256">
        <f t="shared" si="6"/>
        <v>3930</v>
      </c>
      <c r="AK28" s="255">
        <f t="shared" si="7"/>
        <v>10218</v>
      </c>
      <c r="AL28" s="256">
        <v>0</v>
      </c>
      <c r="AM28" s="256">
        <f t="shared" si="8"/>
        <v>701066.4</v>
      </c>
      <c r="AN28" s="256">
        <v>0</v>
      </c>
      <c r="AO28" s="256">
        <f t="shared" si="9"/>
        <v>0</v>
      </c>
      <c r="AP28" s="256">
        <f t="shared" si="10"/>
        <v>11409.227040650729</v>
      </c>
      <c r="AQ28" s="256">
        <f t="shared" si="1"/>
        <v>61.447317815845174</v>
      </c>
      <c r="AR28" s="4"/>
      <c r="AS28" s="4"/>
      <c r="AT28" s="4"/>
      <c r="AU28" s="4"/>
      <c r="AV28" s="4"/>
      <c r="AW28" s="4"/>
      <c r="AX28" s="4"/>
      <c r="AY28" s="4"/>
      <c r="AZ28" s="4" t="s">
        <v>215</v>
      </c>
      <c r="BA28" s="65">
        <v>0.1</v>
      </c>
    </row>
    <row r="29" spans="2:54" ht="14">
      <c r="B29" s="188">
        <v>43609</v>
      </c>
      <c r="C29" s="38" t="s">
        <v>29</v>
      </c>
      <c r="D29" s="247">
        <f>'MayJun Proj'!N29</f>
        <v>25894.166666666672</v>
      </c>
      <c r="E29" s="253">
        <v>5500</v>
      </c>
      <c r="H29" s="27"/>
      <c r="J29" s="188">
        <v>43609</v>
      </c>
      <c r="K29" s="38" t="s">
        <v>29</v>
      </c>
      <c r="L29" s="248">
        <f>'MayJun Proj'!V29</f>
        <v>29694.166666666672</v>
      </c>
      <c r="M29" s="248">
        <v>5500</v>
      </c>
      <c r="N29" s="249">
        <f t="shared" si="2"/>
        <v>4080</v>
      </c>
      <c r="P29" s="250"/>
      <c r="Q29" s="27"/>
      <c r="R29" s="277">
        <f t="shared" si="3"/>
        <v>25894.166666666672</v>
      </c>
      <c r="S29" s="251">
        <v>3800</v>
      </c>
      <c r="V29" s="188">
        <v>43640</v>
      </c>
      <c r="W29" s="51" t="s">
        <v>41</v>
      </c>
      <c r="X29" s="252">
        <v>17894.166666666672</v>
      </c>
      <c r="Y29" s="253">
        <v>6500</v>
      </c>
      <c r="Z29" s="253">
        <f t="shared" si="11"/>
        <v>15000</v>
      </c>
      <c r="AA29" s="253">
        <f t="shared" si="13"/>
        <v>4820</v>
      </c>
      <c r="AC29" s="4" t="s">
        <v>216</v>
      </c>
      <c r="AD29" s="27"/>
      <c r="AE29" s="23">
        <f t="shared" si="5"/>
        <v>17894.166666666672</v>
      </c>
      <c r="AF29" s="254">
        <v>0</v>
      </c>
      <c r="AG29" s="188">
        <v>43640</v>
      </c>
      <c r="AH29" s="51" t="s">
        <v>41</v>
      </c>
      <c r="AI29" s="255">
        <v>15000</v>
      </c>
      <c r="AJ29" s="255">
        <f t="shared" si="6"/>
        <v>4820</v>
      </c>
      <c r="AK29" s="255">
        <f t="shared" si="7"/>
        <v>12532</v>
      </c>
      <c r="AL29" s="255">
        <v>3000</v>
      </c>
      <c r="AM29" s="255">
        <f t="shared" si="8"/>
        <v>699634.4</v>
      </c>
      <c r="AN29" s="255">
        <v>4240</v>
      </c>
      <c r="AO29" s="255">
        <f t="shared" si="9"/>
        <v>10760</v>
      </c>
      <c r="AP29" s="255">
        <f t="shared" si="10"/>
        <v>11446.652805962371</v>
      </c>
      <c r="AQ29" s="255">
        <f t="shared" si="1"/>
        <v>61.121308723155479</v>
      </c>
    </row>
    <row r="30" spans="2:54" ht="14">
      <c r="B30" s="188">
        <v>43610</v>
      </c>
      <c r="C30" s="38" t="s">
        <v>33</v>
      </c>
      <c r="D30" s="247">
        <f>'MayJun Proj'!N30</f>
        <v>29894.166666666672</v>
      </c>
      <c r="E30" s="253">
        <v>5000</v>
      </c>
      <c r="H30" s="27"/>
      <c r="J30" s="188">
        <v>43610</v>
      </c>
      <c r="K30" s="38" t="s">
        <v>33</v>
      </c>
      <c r="L30" s="248">
        <f>'MayJun Proj'!V30</f>
        <v>34394.166666666672</v>
      </c>
      <c r="M30" s="248">
        <v>5000</v>
      </c>
      <c r="N30" s="249">
        <f t="shared" si="2"/>
        <v>3710</v>
      </c>
      <c r="P30" s="250"/>
      <c r="Q30" s="27"/>
      <c r="R30" s="23">
        <f t="shared" si="3"/>
        <v>29894.166666666672</v>
      </c>
      <c r="S30" s="251">
        <v>4500</v>
      </c>
      <c r="V30" s="188">
        <v>43641</v>
      </c>
      <c r="W30" s="38" t="s">
        <v>46</v>
      </c>
      <c r="X30" s="252">
        <v>23394.166666666672</v>
      </c>
      <c r="Y30" s="253">
        <v>6000</v>
      </c>
      <c r="Z30" s="253">
        <f t="shared" si="11"/>
        <v>20000</v>
      </c>
      <c r="AA30" s="253">
        <f t="shared" si="13"/>
        <v>4450</v>
      </c>
      <c r="AC30" s="4" t="s">
        <v>216</v>
      </c>
      <c r="AD30" s="192" t="s">
        <v>136</v>
      </c>
      <c r="AE30" s="23">
        <f t="shared" si="5"/>
        <v>21894.166666666672</v>
      </c>
      <c r="AF30" s="254">
        <v>1500</v>
      </c>
      <c r="AG30" s="188">
        <v>43641</v>
      </c>
      <c r="AH30" s="38" t="s">
        <v>46</v>
      </c>
      <c r="AI30" s="255">
        <v>20000</v>
      </c>
      <c r="AJ30" s="255">
        <f t="shared" si="6"/>
        <v>4450</v>
      </c>
      <c r="AK30" s="255">
        <f t="shared" si="7"/>
        <v>11570</v>
      </c>
      <c r="AL30" s="255">
        <v>3000</v>
      </c>
      <c r="AM30" s="255">
        <f t="shared" si="8"/>
        <v>703664.4</v>
      </c>
      <c r="AN30" s="255">
        <v>8000</v>
      </c>
      <c r="AO30" s="255">
        <f t="shared" si="9"/>
        <v>12000</v>
      </c>
      <c r="AP30" s="255">
        <f t="shared" si="10"/>
        <v>11450.764379096958</v>
      </c>
      <c r="AQ30" s="255">
        <f t="shared" si="1"/>
        <v>61.451303747417874</v>
      </c>
    </row>
    <row r="31" spans="2:54" ht="14">
      <c r="B31" s="190">
        <v>43611</v>
      </c>
      <c r="C31" s="45" t="s">
        <v>37</v>
      </c>
      <c r="D31" s="259">
        <f>'MayJun Proj'!N31</f>
        <v>0</v>
      </c>
      <c r="E31" s="257">
        <v>5300</v>
      </c>
      <c r="F31" s="34"/>
      <c r="G31" s="34"/>
      <c r="H31" s="87"/>
      <c r="J31" s="190">
        <v>43611</v>
      </c>
      <c r="K31" s="45" t="s">
        <v>37</v>
      </c>
      <c r="L31" s="260">
        <f>'MayJun Proj'!V31</f>
        <v>0</v>
      </c>
      <c r="M31" s="260">
        <v>5300</v>
      </c>
      <c r="N31" s="261">
        <f t="shared" si="2"/>
        <v>3930</v>
      </c>
      <c r="O31" s="34"/>
      <c r="P31" s="262"/>
      <c r="Q31" s="87"/>
      <c r="R31" s="47">
        <f t="shared" si="3"/>
        <v>0</v>
      </c>
      <c r="S31" s="263"/>
      <c r="V31" s="188">
        <v>43642</v>
      </c>
      <c r="W31" s="38" t="s">
        <v>49</v>
      </c>
      <c r="X31" s="252">
        <v>23494.166666666672</v>
      </c>
      <c r="Y31" s="253">
        <v>5800</v>
      </c>
      <c r="Z31" s="253">
        <f t="shared" si="11"/>
        <v>15000</v>
      </c>
      <c r="AA31" s="253">
        <f t="shared" si="13"/>
        <v>4300</v>
      </c>
      <c r="AC31" s="4" t="s">
        <v>216</v>
      </c>
      <c r="AD31" s="192" t="s">
        <v>136</v>
      </c>
      <c r="AE31" s="23">
        <f t="shared" si="5"/>
        <v>23494.166666666672</v>
      </c>
      <c r="AF31" s="254">
        <v>0</v>
      </c>
      <c r="AG31" s="188">
        <v>43642</v>
      </c>
      <c r="AH31" s="38" t="s">
        <v>49</v>
      </c>
      <c r="AI31" s="255">
        <v>15000</v>
      </c>
      <c r="AJ31" s="255">
        <f t="shared" si="6"/>
        <v>4300</v>
      </c>
      <c r="AK31" s="255">
        <f t="shared" si="7"/>
        <v>11180</v>
      </c>
      <c r="AL31" s="255">
        <v>3000</v>
      </c>
      <c r="AM31" s="255">
        <f t="shared" si="8"/>
        <v>703584.4</v>
      </c>
      <c r="AN31" s="255">
        <v>3500</v>
      </c>
      <c r="AO31" s="255">
        <f t="shared" si="9"/>
        <v>11500</v>
      </c>
      <c r="AP31" s="255">
        <f t="shared" si="10"/>
        <v>11441.738899793727</v>
      </c>
      <c r="AQ31" s="255">
        <f t="shared" si="1"/>
        <v>61.492785857286457</v>
      </c>
    </row>
    <row r="32" spans="2:54" ht="14">
      <c r="B32" s="188">
        <v>43612</v>
      </c>
      <c r="C32" s="51" t="s">
        <v>41</v>
      </c>
      <c r="D32" s="158">
        <f>'MayJun Proj'!N32</f>
        <v>0</v>
      </c>
      <c r="E32" s="253">
        <f>6500+800</f>
        <v>7300</v>
      </c>
      <c r="G32" s="4" t="s">
        <v>217</v>
      </c>
      <c r="H32" s="27"/>
      <c r="J32" s="188">
        <v>43612</v>
      </c>
      <c r="K32" s="51" t="s">
        <v>41</v>
      </c>
      <c r="L32" s="253">
        <f>'MayJun Proj'!V32</f>
        <v>0</v>
      </c>
      <c r="M32" s="253">
        <f>6000+1300</f>
        <v>7300</v>
      </c>
      <c r="N32" s="249">
        <f t="shared" si="2"/>
        <v>5410</v>
      </c>
      <c r="P32" s="271" t="s">
        <v>217</v>
      </c>
      <c r="Q32" s="27"/>
      <c r="R32" s="23">
        <f t="shared" si="3"/>
        <v>0</v>
      </c>
      <c r="S32" s="251"/>
      <c r="V32" s="188">
        <v>43643</v>
      </c>
      <c r="W32" s="38" t="s">
        <v>51</v>
      </c>
      <c r="X32" s="252">
        <v>1000</v>
      </c>
      <c r="Y32" s="253">
        <v>5500</v>
      </c>
      <c r="Z32" s="253">
        <f t="shared" si="11"/>
        <v>18350</v>
      </c>
      <c r="AA32" s="253">
        <f t="shared" si="13"/>
        <v>4080</v>
      </c>
      <c r="AC32" s="4" t="s">
        <v>216</v>
      </c>
      <c r="AD32" s="192" t="s">
        <v>136</v>
      </c>
      <c r="AE32" s="23">
        <f t="shared" si="5"/>
        <v>0</v>
      </c>
      <c r="AF32" s="254">
        <v>1000</v>
      </c>
      <c r="AG32" s="188">
        <v>43643</v>
      </c>
      <c r="AH32" s="38" t="s">
        <v>51</v>
      </c>
      <c r="AI32" s="252">
        <v>18350</v>
      </c>
      <c r="AJ32" s="252">
        <f t="shared" si="6"/>
        <v>4080</v>
      </c>
      <c r="AK32" s="255">
        <f t="shared" si="7"/>
        <v>10608</v>
      </c>
      <c r="AL32" s="255">
        <v>3000</v>
      </c>
      <c r="AM32" s="255">
        <f t="shared" si="8"/>
        <v>707091.4</v>
      </c>
      <c r="AN32" s="255">
        <v>10000</v>
      </c>
      <c r="AO32" s="255">
        <f t="shared" si="9"/>
        <v>8350</v>
      </c>
      <c r="AP32" s="255">
        <f t="shared" si="10"/>
        <v>11413.947603133936</v>
      </c>
      <c r="AQ32" s="255">
        <f t="shared" si="1"/>
        <v>61.949767476228239</v>
      </c>
    </row>
    <row r="33" spans="1:43" ht="14">
      <c r="B33" s="188">
        <v>43613</v>
      </c>
      <c r="C33" s="38" t="s">
        <v>46</v>
      </c>
      <c r="D33" s="158">
        <f>'MayJun Proj'!N33</f>
        <v>21894.166666666672</v>
      </c>
      <c r="E33" s="253">
        <f>6000+500</f>
        <v>6500</v>
      </c>
      <c r="G33" s="4" t="s">
        <v>217</v>
      </c>
      <c r="H33" s="27"/>
      <c r="J33" s="188">
        <v>43613</v>
      </c>
      <c r="K33" s="38" t="s">
        <v>46</v>
      </c>
      <c r="L33" s="253">
        <f>'MayJun Proj'!V33</f>
        <v>23394.166666666672</v>
      </c>
      <c r="M33" s="253">
        <f>6000+500</f>
        <v>6500</v>
      </c>
      <c r="N33" s="249">
        <f t="shared" si="2"/>
        <v>4820</v>
      </c>
      <c r="P33" s="271" t="s">
        <v>217</v>
      </c>
      <c r="Q33" s="27"/>
      <c r="R33" s="23">
        <f t="shared" si="3"/>
        <v>21894.166666666672</v>
      </c>
      <c r="S33" s="251">
        <v>1500</v>
      </c>
      <c r="V33" s="188">
        <v>43644</v>
      </c>
      <c r="W33" s="38" t="s">
        <v>29</v>
      </c>
      <c r="X33" s="252">
        <v>25694.166666666672</v>
      </c>
      <c r="Y33" s="253">
        <v>6000</v>
      </c>
      <c r="Z33" s="253">
        <f t="shared" si="11"/>
        <v>20000</v>
      </c>
      <c r="AA33" s="253">
        <f t="shared" si="13"/>
        <v>4450</v>
      </c>
      <c r="AD33" s="192" t="s">
        <v>137</v>
      </c>
      <c r="AE33" s="23">
        <f t="shared" si="5"/>
        <v>21894.166666666672</v>
      </c>
      <c r="AF33" s="254">
        <v>3800</v>
      </c>
      <c r="AG33" s="188">
        <v>43644</v>
      </c>
      <c r="AH33" s="38" t="s">
        <v>29</v>
      </c>
      <c r="AI33" s="255">
        <v>20000</v>
      </c>
      <c r="AJ33" s="252">
        <f t="shared" si="6"/>
        <v>4450</v>
      </c>
      <c r="AK33" s="255">
        <f t="shared" si="7"/>
        <v>11570</v>
      </c>
      <c r="AL33" s="255">
        <v>3000</v>
      </c>
      <c r="AM33" s="255">
        <f t="shared" si="8"/>
        <v>711121.4</v>
      </c>
      <c r="AN33" s="255">
        <v>12200</v>
      </c>
      <c r="AO33" s="255">
        <f t="shared" si="9"/>
        <v>7800</v>
      </c>
      <c r="AP33" s="255">
        <f t="shared" si="10"/>
        <v>11419.149349696139</v>
      </c>
      <c r="AQ33" s="255">
        <f t="shared" si="1"/>
        <v>62.274463554408527</v>
      </c>
    </row>
    <row r="34" spans="1:43" ht="14">
      <c r="B34" s="188">
        <v>43614</v>
      </c>
      <c r="C34" s="38" t="s">
        <v>49</v>
      </c>
      <c r="D34" s="158">
        <f>'MayJun Proj'!N34</f>
        <v>23494.166666666672</v>
      </c>
      <c r="E34" s="253">
        <f>5800+200</f>
        <v>6000</v>
      </c>
      <c r="G34" s="4" t="s">
        <v>217</v>
      </c>
      <c r="H34" s="27"/>
      <c r="J34" s="188">
        <v>43614</v>
      </c>
      <c r="K34" s="38" t="s">
        <v>49</v>
      </c>
      <c r="L34" s="253">
        <f>'MayJun Proj'!V34</f>
        <v>23494.166666666672</v>
      </c>
      <c r="M34" s="253">
        <f>5800+200</f>
        <v>6000</v>
      </c>
      <c r="N34" s="249">
        <f t="shared" si="2"/>
        <v>4450</v>
      </c>
      <c r="P34" s="271" t="s">
        <v>217</v>
      </c>
      <c r="Q34" s="27"/>
      <c r="R34" s="23">
        <f t="shared" si="3"/>
        <v>23494.166666666672</v>
      </c>
      <c r="S34" s="251"/>
      <c r="V34" s="188">
        <v>43645</v>
      </c>
      <c r="W34" s="38" t="s">
        <v>33</v>
      </c>
      <c r="X34" s="252">
        <v>34394.166666666672</v>
      </c>
      <c r="Y34" s="253">
        <v>5000</v>
      </c>
      <c r="Z34" s="253">
        <f t="shared" si="11"/>
        <v>15000</v>
      </c>
      <c r="AA34" s="253">
        <f t="shared" si="13"/>
        <v>3710</v>
      </c>
      <c r="AD34" s="27"/>
      <c r="AE34" s="23">
        <f t="shared" si="5"/>
        <v>29894.166666666672</v>
      </c>
      <c r="AF34" s="254">
        <v>4500</v>
      </c>
      <c r="AG34" s="188">
        <v>43645</v>
      </c>
      <c r="AH34" s="38" t="s">
        <v>33</v>
      </c>
      <c r="AI34" s="255">
        <v>15000</v>
      </c>
      <c r="AJ34" s="255">
        <f t="shared" si="6"/>
        <v>3710</v>
      </c>
      <c r="AK34" s="255">
        <f t="shared" si="7"/>
        <v>9646</v>
      </c>
      <c r="AL34" s="255">
        <v>3000</v>
      </c>
      <c r="AM34" s="255">
        <f t="shared" si="8"/>
        <v>712575.4</v>
      </c>
      <c r="AN34" s="255">
        <v>7500</v>
      </c>
      <c r="AO34" s="255">
        <f t="shared" si="9"/>
        <v>7500</v>
      </c>
      <c r="AP34" s="255">
        <f t="shared" si="10"/>
        <v>11360.044371372935</v>
      </c>
      <c r="AQ34" s="255">
        <f t="shared" si="1"/>
        <v>62.726462741261344</v>
      </c>
    </row>
    <row r="35" spans="1:43" ht="14">
      <c r="B35" s="188">
        <v>43615</v>
      </c>
      <c r="C35" s="38" t="s">
        <v>51</v>
      </c>
      <c r="D35" s="158">
        <f>'MayJun Proj'!N35</f>
        <v>0</v>
      </c>
      <c r="E35" s="253">
        <f>5500+1500</f>
        <v>7000</v>
      </c>
      <c r="G35" s="4" t="s">
        <v>218</v>
      </c>
      <c r="H35" s="27"/>
      <c r="J35" s="188">
        <v>43615</v>
      </c>
      <c r="K35" s="38" t="s">
        <v>51</v>
      </c>
      <c r="L35" s="253">
        <f>'MayJun Proj'!V35</f>
        <v>1000</v>
      </c>
      <c r="M35" s="253">
        <f>5500+1500</f>
        <v>7000</v>
      </c>
      <c r="N35" s="249">
        <f t="shared" si="2"/>
        <v>5190</v>
      </c>
      <c r="P35" s="271" t="s">
        <v>218</v>
      </c>
      <c r="Q35" s="27"/>
      <c r="R35" s="23">
        <f t="shared" si="3"/>
        <v>0</v>
      </c>
      <c r="S35" s="251">
        <v>1000</v>
      </c>
      <c r="V35" s="190">
        <v>43646</v>
      </c>
      <c r="W35" s="45" t="s">
        <v>37</v>
      </c>
      <c r="X35" s="256">
        <v>0</v>
      </c>
      <c r="Y35" s="257">
        <v>5300</v>
      </c>
      <c r="Z35" s="257">
        <f t="shared" si="11"/>
        <v>0</v>
      </c>
      <c r="AA35" s="257">
        <f t="shared" si="13"/>
        <v>3930</v>
      </c>
      <c r="AB35" s="34"/>
      <c r="AC35" s="34"/>
      <c r="AD35" s="87"/>
      <c r="AE35" s="47">
        <f t="shared" si="5"/>
        <v>0</v>
      </c>
      <c r="AF35" s="258">
        <v>0</v>
      </c>
      <c r="AG35" s="190">
        <v>43646</v>
      </c>
      <c r="AH35" s="45" t="s">
        <v>37</v>
      </c>
      <c r="AI35" s="256">
        <v>0</v>
      </c>
      <c r="AJ35" s="256">
        <f t="shared" si="6"/>
        <v>3930</v>
      </c>
      <c r="AK35" s="255">
        <f t="shared" si="7"/>
        <v>10218</v>
      </c>
      <c r="AL35" s="256">
        <v>0</v>
      </c>
      <c r="AM35" s="256">
        <f t="shared" si="8"/>
        <v>702357.4</v>
      </c>
      <c r="AN35" s="256"/>
      <c r="AO35" s="256"/>
      <c r="AP35" s="256">
        <f t="shared" si="10"/>
        <v>11321.976225660503</v>
      </c>
      <c r="AQ35" s="256">
        <f t="shared" si="1"/>
        <v>62.034876774264362</v>
      </c>
    </row>
    <row r="36" spans="1:43" ht="14">
      <c r="B36" s="190">
        <v>43616</v>
      </c>
      <c r="C36" s="45" t="s">
        <v>29</v>
      </c>
      <c r="D36" s="259">
        <f>'MayJun Proj'!N36</f>
        <v>25894.166666666672</v>
      </c>
      <c r="E36" s="260">
        <v>5500</v>
      </c>
      <c r="F36" s="34"/>
      <c r="G36" s="34"/>
      <c r="H36" s="87"/>
      <c r="J36" s="190">
        <v>43616</v>
      </c>
      <c r="K36" s="45" t="s">
        <v>29</v>
      </c>
      <c r="L36" s="260">
        <f>'MayJun Proj'!V36</f>
        <v>29694.166666666672</v>
      </c>
      <c r="M36" s="260">
        <v>5500</v>
      </c>
      <c r="N36" s="261">
        <f t="shared" si="2"/>
        <v>4080</v>
      </c>
      <c r="O36" s="34"/>
      <c r="P36" s="262"/>
      <c r="Q36" s="87"/>
      <c r="R36" s="47">
        <f t="shared" si="3"/>
        <v>25894.166666666672</v>
      </c>
      <c r="S36" s="263">
        <v>3800</v>
      </c>
      <c r="V36" s="273"/>
      <c r="Y36" s="23">
        <f>AVERAGE(Y6:Y35)</f>
        <v>6323.333333333333</v>
      </c>
      <c r="Z36" s="23"/>
      <c r="AA36" s="23">
        <f>AVERAGE(AA6:AA35)</f>
        <v>4911.2</v>
      </c>
      <c r="AF36" s="23">
        <f>SUM(AF6:AF35)</f>
        <v>38700</v>
      </c>
      <c r="AI36" s="23">
        <f t="shared" ref="AI36:AL36" si="14">AVERAGE(AI6:AI35)</f>
        <v>14035</v>
      </c>
      <c r="AJ36" s="23">
        <f t="shared" si="14"/>
        <v>4911.2</v>
      </c>
      <c r="AK36" s="23">
        <f t="shared" si="14"/>
        <v>12769.119999999999</v>
      </c>
      <c r="AL36" s="23">
        <f t="shared" si="14"/>
        <v>3333.3333333333335</v>
      </c>
      <c r="AM36" s="23">
        <f>AI36-AJ36*AM2-AL36</f>
        <v>-2067.4533333333343</v>
      </c>
    </row>
    <row r="37" spans="1:43" ht="13">
      <c r="B37" s="273"/>
      <c r="E37" s="23"/>
      <c r="J37" s="273"/>
      <c r="M37" s="23">
        <f t="shared" ref="M37:N37" si="15">AVERAGE(M6:M36)</f>
        <v>5987.0967741935483</v>
      </c>
      <c r="N37" s="23">
        <f t="shared" si="15"/>
        <v>4440</v>
      </c>
      <c r="P37" s="149"/>
      <c r="S37" s="23">
        <f>SUM(S6:S36)</f>
        <v>39700</v>
      </c>
      <c r="V37" s="273"/>
    </row>
    <row r="38" spans="1:43" ht="13">
      <c r="B38" s="273"/>
      <c r="D38" s="64">
        <f t="shared" ref="D38:E38" si="16">SUM(D6:D36)</f>
        <v>507683.33333333366</v>
      </c>
      <c r="E38" s="23">
        <f t="shared" si="16"/>
        <v>182900</v>
      </c>
      <c r="F38" s="23">
        <f>AVERAGE(E6:E36)</f>
        <v>5900</v>
      </c>
      <c r="J38" s="273"/>
      <c r="L38" s="64">
        <f t="shared" ref="L38:M38" si="17">SUM(L6:L36)</f>
        <v>547383.3333333336</v>
      </c>
      <c r="M38" s="23">
        <f t="shared" si="17"/>
        <v>185600</v>
      </c>
      <c r="O38" s="23">
        <f t="shared" ref="O38:P38" si="18">AVERAGE(M6:M36)</f>
        <v>5987.0967741935483</v>
      </c>
      <c r="P38" s="23">
        <f t="shared" si="18"/>
        <v>4440</v>
      </c>
      <c r="V38" s="273"/>
      <c r="X38" s="64">
        <f t="shared" ref="X38:Y38" si="19">SUM(X6:X36)</f>
        <v>403700.83333333355</v>
      </c>
      <c r="Y38" s="23">
        <f t="shared" si="19"/>
        <v>196023.33333333334</v>
      </c>
      <c r="Z38" s="23"/>
      <c r="AA38" s="23"/>
      <c r="AB38" s="23">
        <f>AVERAGE(Y6:Y36)</f>
        <v>6323.3333333333339</v>
      </c>
    </row>
    <row r="39" spans="1:43" ht="13">
      <c r="E39" s="278">
        <f>D38/E38</f>
        <v>2.7757426644796812</v>
      </c>
      <c r="M39" s="278">
        <f>L38/M38</f>
        <v>2.9492636494252888</v>
      </c>
      <c r="P39" s="149"/>
      <c r="Y39" s="278">
        <f>X38/Y38</f>
        <v>2.0594529562807158</v>
      </c>
    </row>
    <row r="40" spans="1:43" ht="13">
      <c r="A40" s="279" t="s">
        <v>219</v>
      </c>
      <c r="E40" s="23"/>
      <c r="M40" s="23"/>
      <c r="P40" s="149"/>
      <c r="Y40" s="23"/>
    </row>
    <row r="41" spans="1:43" ht="13">
      <c r="E41" s="23"/>
      <c r="M41" s="23"/>
      <c r="P41" s="149"/>
      <c r="Y41" s="23"/>
    </row>
    <row r="42" spans="1:43" ht="38">
      <c r="B42" s="803"/>
      <c r="C42" s="794"/>
      <c r="D42" s="793" t="s">
        <v>169</v>
      </c>
      <c r="E42" s="823"/>
      <c r="F42" s="826" t="s">
        <v>129</v>
      </c>
      <c r="G42" s="794"/>
      <c r="H42" s="823"/>
      <c r="J42" s="803"/>
      <c r="K42" s="794"/>
      <c r="L42" s="280" t="s">
        <v>220</v>
      </c>
      <c r="M42" s="280" t="s">
        <v>221</v>
      </c>
      <c r="N42" s="280" t="s">
        <v>22</v>
      </c>
      <c r="O42" s="281" t="s">
        <v>222</v>
      </c>
      <c r="P42" s="282" t="s">
        <v>170</v>
      </c>
      <c r="Q42" s="283" t="s">
        <v>168</v>
      </c>
      <c r="R42" s="826" t="s">
        <v>129</v>
      </c>
      <c r="S42" s="794"/>
      <c r="T42" s="823"/>
    </row>
    <row r="43" spans="1:43" ht="14">
      <c r="B43" s="831" t="s">
        <v>10</v>
      </c>
      <c r="C43" s="786"/>
      <c r="D43" s="239" t="s">
        <v>63</v>
      </c>
      <c r="E43" s="187" t="s">
        <v>18</v>
      </c>
      <c r="F43" s="186" t="s">
        <v>130</v>
      </c>
      <c r="G43" s="153" t="s">
        <v>186</v>
      </c>
      <c r="H43" s="187" t="s">
        <v>132</v>
      </c>
      <c r="J43" s="831" t="s">
        <v>10</v>
      </c>
      <c r="K43" s="786"/>
      <c r="L43" s="187" t="s">
        <v>223</v>
      </c>
      <c r="M43" s="284" t="s">
        <v>63</v>
      </c>
      <c r="N43" s="284" t="s">
        <v>63</v>
      </c>
      <c r="O43" s="187" t="s">
        <v>18</v>
      </c>
      <c r="P43" s="240" t="s">
        <v>18</v>
      </c>
      <c r="Q43" s="285" t="s">
        <v>18</v>
      </c>
      <c r="R43" s="186" t="s">
        <v>130</v>
      </c>
      <c r="S43" s="153" t="s">
        <v>186</v>
      </c>
      <c r="T43" s="187" t="s">
        <v>132</v>
      </c>
    </row>
    <row r="44" spans="1:43" ht="14">
      <c r="B44" s="188">
        <v>43586</v>
      </c>
      <c r="C44" s="38" t="s">
        <v>49</v>
      </c>
      <c r="D44" s="175" t="str">
        <f>'MayJun Proj'!N44</f>
        <v>IB 
(pcs)</v>
      </c>
      <c r="E44" s="248">
        <v>5800</v>
      </c>
      <c r="H44" s="27"/>
      <c r="J44" s="188">
        <v>43586</v>
      </c>
      <c r="K44" s="38" t="s">
        <v>49</v>
      </c>
      <c r="L44" s="248">
        <v>23494.166666666672</v>
      </c>
      <c r="M44" s="248">
        <v>23494</v>
      </c>
      <c r="N44" s="248">
        <v>8333</v>
      </c>
      <c r="O44" s="248">
        <v>5800</v>
      </c>
      <c r="P44" s="249">
        <f t="shared" ref="P44:P74" si="20">ROUNDUP(O44*N$2,-1)</f>
        <v>4300</v>
      </c>
      <c r="Q44" s="253">
        <v>3986</v>
      </c>
      <c r="S44" s="250"/>
      <c r="T44" s="27"/>
    </row>
    <row r="45" spans="1:43" ht="14">
      <c r="B45" s="188">
        <v>43587</v>
      </c>
      <c r="C45" s="38" t="s">
        <v>51</v>
      </c>
      <c r="D45" s="247">
        <f>'MayJun Proj'!N45</f>
        <v>29894.166666666672</v>
      </c>
      <c r="E45" s="248">
        <v>5500</v>
      </c>
      <c r="H45" s="27"/>
      <c r="J45" s="188">
        <v>43587</v>
      </c>
      <c r="K45" s="38" t="s">
        <v>51</v>
      </c>
      <c r="L45" s="248">
        <v>25894.166666666672</v>
      </c>
      <c r="M45" s="248">
        <v>25894</v>
      </c>
      <c r="N45" s="248">
        <v>15392</v>
      </c>
      <c r="O45" s="248">
        <v>5500</v>
      </c>
      <c r="P45" s="249">
        <f t="shared" si="20"/>
        <v>4080</v>
      </c>
      <c r="Q45" s="253">
        <v>4134</v>
      </c>
      <c r="S45" s="250"/>
      <c r="T45" s="27"/>
    </row>
    <row r="46" spans="1:43" ht="14">
      <c r="B46" s="188">
        <v>43588</v>
      </c>
      <c r="C46" s="38" t="s">
        <v>29</v>
      </c>
      <c r="D46" s="247">
        <f>'MayJun Proj'!N46</f>
        <v>0</v>
      </c>
      <c r="E46" s="248">
        <v>5500</v>
      </c>
      <c r="H46" s="27"/>
      <c r="J46" s="188">
        <v>43588</v>
      </c>
      <c r="K46" s="38" t="s">
        <v>29</v>
      </c>
      <c r="L46" s="248">
        <v>25894.166666666672</v>
      </c>
      <c r="M46" s="248">
        <v>25894</v>
      </c>
      <c r="N46" s="248">
        <v>16910</v>
      </c>
      <c r="O46" s="248">
        <v>5500</v>
      </c>
      <c r="P46" s="249">
        <f t="shared" si="20"/>
        <v>4080</v>
      </c>
      <c r="Q46" s="253">
        <v>3981</v>
      </c>
      <c r="S46" s="250"/>
      <c r="T46" s="27"/>
    </row>
    <row r="47" spans="1:43" ht="14">
      <c r="B47" s="188">
        <v>43589</v>
      </c>
      <c r="C47" s="38" t="s">
        <v>33</v>
      </c>
      <c r="D47" s="247">
        <f>'MayJun Proj'!N47</f>
        <v>17894.166666666672</v>
      </c>
      <c r="E47" s="248">
        <v>5000</v>
      </c>
      <c r="H47" s="27"/>
      <c r="J47" s="188">
        <v>43589</v>
      </c>
      <c r="K47" s="38" t="s">
        <v>33</v>
      </c>
      <c r="L47" s="248">
        <v>29894.166666666672</v>
      </c>
      <c r="M47" s="248">
        <v>29894</v>
      </c>
      <c r="N47" s="248">
        <v>15520</v>
      </c>
      <c r="O47" s="248">
        <v>5000</v>
      </c>
      <c r="P47" s="249">
        <f t="shared" si="20"/>
        <v>3710</v>
      </c>
      <c r="Q47" s="253">
        <v>3580</v>
      </c>
      <c r="S47" s="250"/>
      <c r="T47" s="27"/>
    </row>
    <row r="48" spans="1:43" ht="14">
      <c r="B48" s="190">
        <v>43590</v>
      </c>
      <c r="C48" s="45" t="s">
        <v>37</v>
      </c>
      <c r="D48" s="259">
        <f>'MayJun Proj'!N48</f>
        <v>25894.166666666672</v>
      </c>
      <c r="E48" s="257">
        <v>5300</v>
      </c>
      <c r="F48" s="34"/>
      <c r="G48" s="34"/>
      <c r="H48" s="87"/>
      <c r="J48" s="190">
        <v>43590</v>
      </c>
      <c r="K48" s="45" t="s">
        <v>37</v>
      </c>
      <c r="L48" s="260">
        <v>0</v>
      </c>
      <c r="M48" s="260">
        <v>0</v>
      </c>
      <c r="N48" s="260">
        <v>0</v>
      </c>
      <c r="O48" s="260">
        <v>5300</v>
      </c>
      <c r="P48" s="261">
        <f t="shared" si="20"/>
        <v>3930</v>
      </c>
      <c r="Q48" s="257">
        <v>4026</v>
      </c>
      <c r="R48" s="34"/>
      <c r="S48" s="262"/>
      <c r="T48" s="87"/>
    </row>
    <row r="49" spans="2:20" ht="14">
      <c r="B49" s="188">
        <v>43591</v>
      </c>
      <c r="C49" s="51" t="s">
        <v>41</v>
      </c>
      <c r="D49" s="158">
        <f>'MayJun Proj'!N49</f>
        <v>13894.166666666672</v>
      </c>
      <c r="E49" s="253">
        <v>7000</v>
      </c>
      <c r="F49" s="4" t="s">
        <v>134</v>
      </c>
      <c r="G49" s="4"/>
      <c r="H49" s="192"/>
      <c r="J49" s="188">
        <v>43591</v>
      </c>
      <c r="K49" s="51" t="s">
        <v>41</v>
      </c>
      <c r="L49" s="249">
        <v>10000</v>
      </c>
      <c r="M49" s="249">
        <v>18350</v>
      </c>
      <c r="N49" s="249">
        <v>8774</v>
      </c>
      <c r="O49" s="249">
        <v>6000</v>
      </c>
      <c r="P49" s="249">
        <f t="shared" si="20"/>
        <v>4450</v>
      </c>
      <c r="Q49" s="253">
        <v>5005</v>
      </c>
      <c r="R49" s="4" t="s">
        <v>134</v>
      </c>
      <c r="S49" s="265"/>
      <c r="T49" s="192"/>
    </row>
    <row r="50" spans="2:20" ht="14">
      <c r="B50" s="188">
        <v>43592</v>
      </c>
      <c r="C50" s="38" t="s">
        <v>46</v>
      </c>
      <c r="D50" s="158">
        <f>'MayJun Proj'!N50</f>
        <v>0</v>
      </c>
      <c r="E50" s="253">
        <v>6500</v>
      </c>
      <c r="F50" s="4" t="s">
        <v>134</v>
      </c>
      <c r="G50" s="4"/>
      <c r="H50" s="268"/>
      <c r="J50" s="188">
        <v>43592</v>
      </c>
      <c r="K50" s="38" t="s">
        <v>46</v>
      </c>
      <c r="L50" s="249">
        <v>0</v>
      </c>
      <c r="M50" s="249">
        <v>18350</v>
      </c>
      <c r="N50" s="249">
        <v>8203</v>
      </c>
      <c r="O50" s="249">
        <v>8000</v>
      </c>
      <c r="P50" s="249">
        <f t="shared" si="20"/>
        <v>5930</v>
      </c>
      <c r="Q50" s="253">
        <v>8603</v>
      </c>
      <c r="R50" s="4" t="s">
        <v>134</v>
      </c>
      <c r="S50" s="265"/>
      <c r="T50" s="268" t="s">
        <v>199</v>
      </c>
    </row>
    <row r="51" spans="2:20" ht="14">
      <c r="B51" s="188">
        <v>43593</v>
      </c>
      <c r="C51" s="38" t="s">
        <v>49</v>
      </c>
      <c r="D51" s="158">
        <f>'MayJun Proj'!N51</f>
        <v>0</v>
      </c>
      <c r="E51" s="253">
        <v>6500</v>
      </c>
      <c r="F51" s="4" t="s">
        <v>134</v>
      </c>
      <c r="G51" s="4"/>
      <c r="H51" s="192"/>
      <c r="J51" s="188">
        <v>43593</v>
      </c>
      <c r="K51" s="38" t="s">
        <v>49</v>
      </c>
      <c r="L51" s="248">
        <v>3000</v>
      </c>
      <c r="M51" s="248">
        <v>18350</v>
      </c>
      <c r="N51" s="248">
        <v>8382</v>
      </c>
      <c r="O51" s="248">
        <v>6500</v>
      </c>
      <c r="P51" s="249">
        <f t="shared" si="20"/>
        <v>4820</v>
      </c>
      <c r="Q51" s="253">
        <v>4818</v>
      </c>
      <c r="R51" s="4" t="s">
        <v>134</v>
      </c>
      <c r="S51" s="250"/>
      <c r="T51" s="192"/>
    </row>
    <row r="52" spans="2:20" ht="14">
      <c r="B52" s="188">
        <v>43594</v>
      </c>
      <c r="C52" s="38" t="s">
        <v>51</v>
      </c>
      <c r="D52" s="158">
        <f>'MayJun Proj'!N52</f>
        <v>15494.166666666672</v>
      </c>
      <c r="E52" s="253">
        <v>8000</v>
      </c>
      <c r="F52" s="4" t="s">
        <v>135</v>
      </c>
      <c r="G52" s="4"/>
      <c r="H52" s="192"/>
      <c r="J52" s="188">
        <v>43594</v>
      </c>
      <c r="K52" s="38" t="s">
        <v>51</v>
      </c>
      <c r="L52" s="253">
        <v>1000</v>
      </c>
      <c r="M52" s="253">
        <v>18350</v>
      </c>
      <c r="N52" s="253">
        <v>9678</v>
      </c>
      <c r="O52" s="253">
        <v>8000</v>
      </c>
      <c r="P52" s="249">
        <f t="shared" si="20"/>
        <v>5930</v>
      </c>
      <c r="Q52" s="253">
        <v>6777</v>
      </c>
      <c r="R52" s="4" t="s">
        <v>135</v>
      </c>
      <c r="S52" s="271"/>
      <c r="T52" s="192"/>
    </row>
    <row r="53" spans="2:20" ht="14">
      <c r="B53" s="188">
        <v>43595</v>
      </c>
      <c r="C53" s="38" t="s">
        <v>29</v>
      </c>
      <c r="D53" s="247">
        <f>'MayJun Proj'!N53</f>
        <v>0</v>
      </c>
      <c r="E53" s="253">
        <v>5500</v>
      </c>
      <c r="H53" s="27"/>
      <c r="J53" s="188">
        <v>43595</v>
      </c>
      <c r="K53" s="38" t="s">
        <v>29</v>
      </c>
      <c r="L53" s="248">
        <v>27694.166666666672</v>
      </c>
      <c r="M53" s="248">
        <v>18350</v>
      </c>
      <c r="N53" s="248">
        <v>16242</v>
      </c>
      <c r="O53" s="248">
        <v>5500</v>
      </c>
      <c r="P53" s="249">
        <f t="shared" si="20"/>
        <v>4080</v>
      </c>
      <c r="Q53" s="253">
        <v>3806</v>
      </c>
      <c r="S53" s="250"/>
      <c r="T53" s="27"/>
    </row>
    <row r="54" spans="2:20" ht="14">
      <c r="B54" s="188">
        <v>43596</v>
      </c>
      <c r="C54" s="38" t="s">
        <v>33</v>
      </c>
      <c r="D54" s="247">
        <f>'MayJun Proj'!N54</f>
        <v>13894.166666666672</v>
      </c>
      <c r="E54" s="253">
        <v>5000</v>
      </c>
      <c r="H54" s="27"/>
      <c r="J54" s="188">
        <v>43596</v>
      </c>
      <c r="K54" s="38" t="s">
        <v>33</v>
      </c>
      <c r="L54" s="248">
        <v>33394.166666666672</v>
      </c>
      <c r="M54" s="248">
        <v>18350</v>
      </c>
      <c r="N54" s="248">
        <v>9755</v>
      </c>
      <c r="O54" s="248">
        <v>5000</v>
      </c>
      <c r="P54" s="249">
        <f t="shared" si="20"/>
        <v>3710</v>
      </c>
      <c r="Q54" s="253">
        <v>3249</v>
      </c>
      <c r="S54" s="250"/>
      <c r="T54" s="27"/>
    </row>
    <row r="55" spans="2:20" ht="14">
      <c r="B55" s="190">
        <v>43597</v>
      </c>
      <c r="C55" s="45" t="s">
        <v>37</v>
      </c>
      <c r="D55" s="259">
        <f>'MayJun Proj'!N55</f>
        <v>0</v>
      </c>
      <c r="E55" s="257">
        <v>5300</v>
      </c>
      <c r="F55" s="34"/>
      <c r="G55" s="34"/>
      <c r="H55" s="87"/>
      <c r="J55" s="190">
        <v>43597</v>
      </c>
      <c r="K55" s="45" t="s">
        <v>37</v>
      </c>
      <c r="L55" s="260">
        <v>0</v>
      </c>
      <c r="M55" s="260">
        <v>0</v>
      </c>
      <c r="N55" s="260">
        <v>0</v>
      </c>
      <c r="O55" s="260">
        <v>5300</v>
      </c>
      <c r="P55" s="261">
        <f t="shared" si="20"/>
        <v>3930</v>
      </c>
      <c r="Q55" s="257">
        <v>3740</v>
      </c>
      <c r="R55" s="34"/>
      <c r="S55" s="262"/>
      <c r="T55" s="87"/>
    </row>
    <row r="56" spans="2:20" ht="14">
      <c r="B56" s="188">
        <v>43598</v>
      </c>
      <c r="C56" s="51" t="s">
        <v>41</v>
      </c>
      <c r="D56" s="158">
        <f>'MayJun Proj'!N56</f>
        <v>0</v>
      </c>
      <c r="E56" s="253">
        <v>6500</v>
      </c>
      <c r="G56" s="4" t="s">
        <v>207</v>
      </c>
      <c r="H56" s="27"/>
      <c r="J56" s="188">
        <v>43598</v>
      </c>
      <c r="K56" s="51" t="s">
        <v>41</v>
      </c>
      <c r="L56" s="248">
        <v>17894.166666666672</v>
      </c>
      <c r="M56" s="248">
        <v>18350</v>
      </c>
      <c r="N56" s="248">
        <v>10305</v>
      </c>
      <c r="O56" s="248">
        <v>6500</v>
      </c>
      <c r="P56" s="249">
        <f t="shared" si="20"/>
        <v>4820</v>
      </c>
      <c r="Q56" s="253">
        <v>3543</v>
      </c>
      <c r="S56" s="250" t="s">
        <v>207</v>
      </c>
      <c r="T56" s="27"/>
    </row>
    <row r="57" spans="2:20" ht="14">
      <c r="B57" s="188">
        <v>43599</v>
      </c>
      <c r="C57" s="38" t="s">
        <v>46</v>
      </c>
      <c r="D57" s="158">
        <f>'MayJun Proj'!N57</f>
        <v>15494.166666666672</v>
      </c>
      <c r="E57" s="253">
        <v>6000</v>
      </c>
      <c r="G57" s="4" t="s">
        <v>207</v>
      </c>
      <c r="H57" s="27"/>
      <c r="J57" s="188">
        <v>43599</v>
      </c>
      <c r="K57" s="38" t="s">
        <v>46</v>
      </c>
      <c r="L57" s="248">
        <v>23394.166666666672</v>
      </c>
      <c r="M57" s="248">
        <v>18350</v>
      </c>
      <c r="N57" s="248">
        <v>9798</v>
      </c>
      <c r="O57" s="248">
        <v>6000</v>
      </c>
      <c r="P57" s="249">
        <f t="shared" si="20"/>
        <v>4450</v>
      </c>
      <c r="Q57" s="253">
        <v>3491</v>
      </c>
      <c r="S57" s="250" t="s">
        <v>207</v>
      </c>
      <c r="T57" s="27"/>
    </row>
    <row r="58" spans="2:20" ht="14">
      <c r="B58" s="188">
        <v>43600</v>
      </c>
      <c r="C58" s="38" t="s">
        <v>49</v>
      </c>
      <c r="D58" s="158">
        <f>'MayJun Proj'!N58</f>
        <v>17894.166666666672</v>
      </c>
      <c r="E58" s="253">
        <v>5800</v>
      </c>
      <c r="G58" s="4" t="s">
        <v>207</v>
      </c>
      <c r="H58" s="27"/>
      <c r="J58" s="188">
        <v>43600</v>
      </c>
      <c r="K58" s="38" t="s">
        <v>49</v>
      </c>
      <c r="L58" s="248">
        <v>25994.166666666672</v>
      </c>
      <c r="M58" s="248">
        <v>18350</v>
      </c>
      <c r="N58" s="248">
        <v>3332</v>
      </c>
      <c r="O58" s="248">
        <v>5800</v>
      </c>
      <c r="P58" s="249">
        <f t="shared" si="20"/>
        <v>4300</v>
      </c>
      <c r="Q58" s="253">
        <v>3350</v>
      </c>
      <c r="S58" s="250" t="s">
        <v>207</v>
      </c>
      <c r="T58" s="27"/>
    </row>
    <row r="59" spans="2:20" ht="14">
      <c r="B59" s="188">
        <v>43601</v>
      </c>
      <c r="C59" s="38" t="s">
        <v>51</v>
      </c>
      <c r="D59" s="158">
        <f>'MayJun Proj'!N59</f>
        <v>25894.166666666672</v>
      </c>
      <c r="E59" s="253">
        <v>5500</v>
      </c>
      <c r="G59" s="4" t="s">
        <v>208</v>
      </c>
      <c r="H59" s="27"/>
      <c r="J59" s="188">
        <v>43601</v>
      </c>
      <c r="K59" s="38" t="s">
        <v>51</v>
      </c>
      <c r="L59" s="248">
        <v>29394.166666666672</v>
      </c>
      <c r="M59" s="248">
        <v>18350</v>
      </c>
      <c r="N59" s="248">
        <v>4196</v>
      </c>
      <c r="O59" s="248">
        <v>5500</v>
      </c>
      <c r="P59" s="249">
        <f t="shared" si="20"/>
        <v>4080</v>
      </c>
      <c r="Q59" s="253">
        <v>3351</v>
      </c>
      <c r="S59" s="250" t="s">
        <v>208</v>
      </c>
      <c r="T59" s="27"/>
    </row>
    <row r="60" spans="2:20" ht="14">
      <c r="B60" s="188">
        <v>43602</v>
      </c>
      <c r="C60" s="38" t="s">
        <v>29</v>
      </c>
      <c r="D60" s="247">
        <f>'MayJun Proj'!N60</f>
        <v>0</v>
      </c>
      <c r="E60" s="253">
        <v>5500</v>
      </c>
      <c r="H60" s="27"/>
      <c r="J60" s="188">
        <v>43602</v>
      </c>
      <c r="K60" s="38" t="s">
        <v>29</v>
      </c>
      <c r="L60" s="248">
        <v>30194.166666666672</v>
      </c>
      <c r="M60" s="248">
        <v>18350</v>
      </c>
      <c r="N60" s="248">
        <v>3995</v>
      </c>
      <c r="O60" s="248">
        <v>5500</v>
      </c>
      <c r="P60" s="249">
        <f t="shared" si="20"/>
        <v>4080</v>
      </c>
      <c r="Q60" s="253">
        <v>5987</v>
      </c>
      <c r="S60" s="250"/>
      <c r="T60" s="27"/>
    </row>
    <row r="61" spans="2:20" ht="14">
      <c r="B61" s="188">
        <v>43603</v>
      </c>
      <c r="C61" s="38" t="s">
        <v>33</v>
      </c>
      <c r="D61" s="247">
        <f>'MayJun Proj'!N61</f>
        <v>0</v>
      </c>
      <c r="E61" s="253">
        <v>5000</v>
      </c>
      <c r="H61" s="27"/>
      <c r="J61" s="188">
        <v>43603</v>
      </c>
      <c r="K61" s="38" t="s">
        <v>33</v>
      </c>
      <c r="L61" s="248">
        <v>35894.166666666672</v>
      </c>
      <c r="M61" s="248">
        <v>18350</v>
      </c>
      <c r="N61" s="248">
        <v>2555</v>
      </c>
      <c r="O61" s="248">
        <v>5000</v>
      </c>
      <c r="P61" s="249">
        <f t="shared" si="20"/>
        <v>3710</v>
      </c>
      <c r="Q61" s="253">
        <v>2741</v>
      </c>
      <c r="S61" s="250"/>
      <c r="T61" s="27"/>
    </row>
    <row r="62" spans="2:20" ht="14">
      <c r="B62" s="190">
        <v>43604</v>
      </c>
      <c r="C62" s="45" t="s">
        <v>37</v>
      </c>
      <c r="D62" s="259">
        <f>'MayJun Proj'!N62</f>
        <v>0</v>
      </c>
      <c r="E62" s="257">
        <v>5300</v>
      </c>
      <c r="F62" s="34"/>
      <c r="G62" s="34"/>
      <c r="H62" s="87"/>
      <c r="J62" s="190">
        <v>43604</v>
      </c>
      <c r="K62" s="45" t="s">
        <v>37</v>
      </c>
      <c r="L62" s="260">
        <v>0</v>
      </c>
      <c r="M62" s="260">
        <v>0</v>
      </c>
      <c r="N62" s="260"/>
      <c r="O62" s="260">
        <v>5300</v>
      </c>
      <c r="P62" s="261">
        <f t="shared" si="20"/>
        <v>3930</v>
      </c>
      <c r="Q62" s="257">
        <v>3248</v>
      </c>
      <c r="R62" s="34"/>
      <c r="S62" s="262"/>
      <c r="T62" s="87"/>
    </row>
    <row r="63" spans="2:20" ht="14">
      <c r="B63" s="188">
        <v>43605</v>
      </c>
      <c r="C63" s="51" t="s">
        <v>41</v>
      </c>
      <c r="D63" s="247">
        <f>'MayJun Proj'!N63</f>
        <v>0</v>
      </c>
      <c r="E63" s="253">
        <v>6500</v>
      </c>
      <c r="F63" s="274"/>
      <c r="H63" s="192" t="s">
        <v>136</v>
      </c>
      <c r="J63" s="188">
        <v>43605</v>
      </c>
      <c r="K63" s="51" t="s">
        <v>41</v>
      </c>
      <c r="L63" s="248">
        <v>17894.166666666672</v>
      </c>
      <c r="M63" s="248">
        <v>18350</v>
      </c>
      <c r="N63" s="248"/>
      <c r="O63" s="248">
        <v>6500</v>
      </c>
      <c r="P63" s="249">
        <f t="shared" si="20"/>
        <v>4820</v>
      </c>
      <c r="Q63" s="253">
        <v>4937</v>
      </c>
      <c r="R63" s="274" t="s">
        <v>210</v>
      </c>
      <c r="S63" s="250"/>
      <c r="T63" s="192" t="s">
        <v>136</v>
      </c>
    </row>
    <row r="64" spans="2:20" ht="14">
      <c r="B64" s="188">
        <v>43606</v>
      </c>
      <c r="C64" s="38" t="s">
        <v>46</v>
      </c>
      <c r="D64" s="247">
        <f>'MayJun Proj'!N64</f>
        <v>21894.166666666672</v>
      </c>
      <c r="E64" s="253">
        <v>6000</v>
      </c>
      <c r="F64" s="274"/>
      <c r="H64" s="192" t="s">
        <v>136</v>
      </c>
      <c r="J64" s="188">
        <v>43606</v>
      </c>
      <c r="K64" s="38" t="s">
        <v>46</v>
      </c>
      <c r="L64" s="248">
        <v>21894.166666666672</v>
      </c>
      <c r="M64" s="248">
        <v>18350</v>
      </c>
      <c r="N64" s="248"/>
      <c r="O64" s="248">
        <v>6000</v>
      </c>
      <c r="P64" s="249">
        <f t="shared" si="20"/>
        <v>4450</v>
      </c>
      <c r="Q64" s="253">
        <v>4864</v>
      </c>
      <c r="R64" s="274" t="s">
        <v>210</v>
      </c>
      <c r="S64" s="250"/>
      <c r="T64" s="192" t="s">
        <v>136</v>
      </c>
    </row>
    <row r="65" spans="2:29" ht="14">
      <c r="B65" s="188">
        <v>43607</v>
      </c>
      <c r="C65" s="38" t="s">
        <v>49</v>
      </c>
      <c r="D65" s="247">
        <f>'MayJun Proj'!N65</f>
        <v>29894.166666666672</v>
      </c>
      <c r="E65" s="253">
        <v>5800</v>
      </c>
      <c r="F65" s="274"/>
      <c r="H65" s="192" t="s">
        <v>136</v>
      </c>
      <c r="J65" s="188">
        <v>43607</v>
      </c>
      <c r="K65" s="38" t="s">
        <v>49</v>
      </c>
      <c r="L65" s="249">
        <v>0</v>
      </c>
      <c r="M65" s="249">
        <v>18350</v>
      </c>
      <c r="N65" s="249"/>
      <c r="O65" s="249">
        <v>8000</v>
      </c>
      <c r="P65" s="249">
        <f t="shared" si="20"/>
        <v>5930</v>
      </c>
      <c r="Q65" s="253">
        <v>6593</v>
      </c>
      <c r="R65" s="274" t="s">
        <v>213</v>
      </c>
      <c r="S65" s="265"/>
      <c r="T65" s="192" t="s">
        <v>136</v>
      </c>
    </row>
    <row r="66" spans="2:29" ht="14">
      <c r="B66" s="188">
        <v>43608</v>
      </c>
      <c r="C66" s="38" t="s">
        <v>51</v>
      </c>
      <c r="D66" s="158">
        <f>'MayJun Proj'!N66</f>
        <v>29894.166666666672</v>
      </c>
      <c r="E66" s="253">
        <v>6000</v>
      </c>
      <c r="F66" s="4"/>
      <c r="H66" s="192" t="s">
        <v>137</v>
      </c>
      <c r="J66" s="188">
        <v>43608</v>
      </c>
      <c r="K66" s="38" t="s">
        <v>51</v>
      </c>
      <c r="L66" s="248">
        <v>22894.166666666672</v>
      </c>
      <c r="M66" s="248">
        <v>18350</v>
      </c>
      <c r="N66" s="248"/>
      <c r="O66" s="248">
        <v>6000</v>
      </c>
      <c r="P66" s="249">
        <f t="shared" si="20"/>
        <v>4450</v>
      </c>
      <c r="Q66" s="253">
        <v>3437</v>
      </c>
      <c r="R66" s="4"/>
      <c r="S66" s="250"/>
      <c r="T66" s="192" t="s">
        <v>137</v>
      </c>
    </row>
    <row r="67" spans="2:29" ht="14">
      <c r="B67" s="188">
        <v>43609</v>
      </c>
      <c r="C67" s="38" t="s">
        <v>29</v>
      </c>
      <c r="D67" s="247">
        <f>'MayJun Proj'!N67</f>
        <v>0</v>
      </c>
      <c r="E67" s="253">
        <v>5500</v>
      </c>
      <c r="H67" s="27"/>
      <c r="J67" s="188">
        <v>43609</v>
      </c>
      <c r="K67" s="38" t="s">
        <v>29</v>
      </c>
      <c r="L67" s="248">
        <v>29694.166666666672</v>
      </c>
      <c r="M67" s="248">
        <v>18350</v>
      </c>
      <c r="N67" s="248"/>
      <c r="O67" s="248">
        <v>5500</v>
      </c>
      <c r="P67" s="249">
        <f t="shared" si="20"/>
        <v>4080</v>
      </c>
      <c r="Q67" s="253">
        <v>3367</v>
      </c>
      <c r="S67" s="250"/>
      <c r="T67" s="27"/>
    </row>
    <row r="68" spans="2:29" ht="14">
      <c r="B68" s="188">
        <v>43610</v>
      </c>
      <c r="C68" s="38" t="s">
        <v>33</v>
      </c>
      <c r="D68" s="247">
        <f>'MayJun Proj'!N68</f>
        <v>17894.166666666672</v>
      </c>
      <c r="E68" s="253">
        <v>5000</v>
      </c>
      <c r="H68" s="27"/>
      <c r="J68" s="188">
        <v>43610</v>
      </c>
      <c r="K68" s="38" t="s">
        <v>33</v>
      </c>
      <c r="L68" s="248">
        <v>34394.166666666672</v>
      </c>
      <c r="M68" s="248">
        <v>18350</v>
      </c>
      <c r="N68" s="248"/>
      <c r="O68" s="248">
        <v>5000</v>
      </c>
      <c r="P68" s="249">
        <f t="shared" si="20"/>
        <v>3710</v>
      </c>
      <c r="Q68" s="253">
        <v>2951</v>
      </c>
      <c r="S68" s="250"/>
      <c r="T68" s="27"/>
    </row>
    <row r="69" spans="2:29" ht="14">
      <c r="B69" s="190">
        <v>43611</v>
      </c>
      <c r="C69" s="45" t="s">
        <v>37</v>
      </c>
      <c r="D69" s="259">
        <f>'MayJun Proj'!N69</f>
        <v>21894.166666666672</v>
      </c>
      <c r="E69" s="257">
        <v>5300</v>
      </c>
      <c r="F69" s="34"/>
      <c r="G69" s="34"/>
      <c r="H69" s="87"/>
      <c r="J69" s="190">
        <v>43611</v>
      </c>
      <c r="K69" s="45" t="s">
        <v>37</v>
      </c>
      <c r="L69" s="260">
        <v>0</v>
      </c>
      <c r="M69" s="260">
        <v>0</v>
      </c>
      <c r="N69" s="260"/>
      <c r="O69" s="260">
        <v>5300</v>
      </c>
      <c r="P69" s="261">
        <f t="shared" si="20"/>
        <v>3930</v>
      </c>
      <c r="Q69" s="261"/>
      <c r="R69" s="34"/>
      <c r="S69" s="262"/>
      <c r="T69" s="87"/>
    </row>
    <row r="70" spans="2:29" ht="14">
      <c r="B70" s="188">
        <v>43612</v>
      </c>
      <c r="C70" s="51" t="s">
        <v>41</v>
      </c>
      <c r="D70" s="158">
        <f>'MayJun Proj'!N70</f>
        <v>23494.166666666672</v>
      </c>
      <c r="E70" s="253">
        <f>6500+800</f>
        <v>7300</v>
      </c>
      <c r="G70" s="4" t="s">
        <v>217</v>
      </c>
      <c r="H70" s="27"/>
      <c r="J70" s="188">
        <v>43612</v>
      </c>
      <c r="K70" s="51" t="s">
        <v>41</v>
      </c>
      <c r="L70" s="253">
        <v>0</v>
      </c>
      <c r="M70" s="253">
        <v>18350</v>
      </c>
      <c r="N70" s="253"/>
      <c r="O70" s="253">
        <f>6000+1300</f>
        <v>7300</v>
      </c>
      <c r="P70" s="249">
        <f t="shared" si="20"/>
        <v>5410</v>
      </c>
      <c r="Q70" s="249"/>
      <c r="S70" s="271" t="s">
        <v>217</v>
      </c>
      <c r="T70" s="27"/>
    </row>
    <row r="71" spans="2:29" ht="14">
      <c r="B71" s="188">
        <v>43613</v>
      </c>
      <c r="C71" s="38" t="s">
        <v>46</v>
      </c>
      <c r="D71" s="158">
        <f>'MayJun Proj'!N71</f>
        <v>0</v>
      </c>
      <c r="E71" s="253">
        <f>6000+500</f>
        <v>6500</v>
      </c>
      <c r="G71" s="4" t="s">
        <v>217</v>
      </c>
      <c r="H71" s="27"/>
      <c r="J71" s="188">
        <v>43613</v>
      </c>
      <c r="K71" s="38" t="s">
        <v>46</v>
      </c>
      <c r="L71" s="253">
        <v>23394.166666666672</v>
      </c>
      <c r="M71" s="253">
        <v>18350</v>
      </c>
      <c r="N71" s="253"/>
      <c r="O71" s="253">
        <f>6000+500</f>
        <v>6500</v>
      </c>
      <c r="P71" s="249">
        <f t="shared" si="20"/>
        <v>4820</v>
      </c>
      <c r="Q71" s="249"/>
      <c r="S71" s="271" t="s">
        <v>217</v>
      </c>
      <c r="T71" s="27"/>
    </row>
    <row r="72" spans="2:29" ht="14">
      <c r="B72" s="188">
        <v>43614</v>
      </c>
      <c r="C72" s="38" t="s">
        <v>49</v>
      </c>
      <c r="D72" s="158">
        <f>'MayJun Proj'!N72</f>
        <v>21894.166666666672</v>
      </c>
      <c r="E72" s="253">
        <f>5800+200</f>
        <v>6000</v>
      </c>
      <c r="G72" s="4" t="s">
        <v>217</v>
      </c>
      <c r="H72" s="27"/>
      <c r="J72" s="188">
        <v>43614</v>
      </c>
      <c r="K72" s="38" t="s">
        <v>49</v>
      </c>
      <c r="L72" s="253">
        <v>23494.166666666672</v>
      </c>
      <c r="M72" s="253">
        <v>18350</v>
      </c>
      <c r="N72" s="253"/>
      <c r="O72" s="253">
        <f>5800+200</f>
        <v>6000</v>
      </c>
      <c r="P72" s="249">
        <f t="shared" si="20"/>
        <v>4450</v>
      </c>
      <c r="Q72" s="249"/>
      <c r="S72" s="271" t="s">
        <v>217</v>
      </c>
      <c r="T72" s="27"/>
    </row>
    <row r="73" spans="2:29" ht="14">
      <c r="B73" s="188">
        <v>43615</v>
      </c>
      <c r="C73" s="38" t="s">
        <v>51</v>
      </c>
      <c r="D73" s="158">
        <f>'MayJun Proj'!N73</f>
        <v>29894.166666666672</v>
      </c>
      <c r="E73" s="253">
        <f>5500+1500</f>
        <v>7000</v>
      </c>
      <c r="G73" s="4" t="s">
        <v>218</v>
      </c>
      <c r="H73" s="27"/>
      <c r="J73" s="188">
        <v>43615</v>
      </c>
      <c r="K73" s="38" t="s">
        <v>51</v>
      </c>
      <c r="L73" s="253">
        <v>1000</v>
      </c>
      <c r="M73" s="253">
        <v>18350</v>
      </c>
      <c r="N73" s="253"/>
      <c r="O73" s="253">
        <f>5500+1500</f>
        <v>7000</v>
      </c>
      <c r="P73" s="249">
        <f t="shared" si="20"/>
        <v>5190</v>
      </c>
      <c r="Q73" s="249"/>
      <c r="S73" s="271" t="s">
        <v>218</v>
      </c>
      <c r="T73" s="27"/>
    </row>
    <row r="74" spans="2:29" ht="14">
      <c r="B74" s="190">
        <v>43616</v>
      </c>
      <c r="C74" s="45" t="s">
        <v>29</v>
      </c>
      <c r="D74" s="259">
        <f>'MayJun Proj'!N74</f>
        <v>0</v>
      </c>
      <c r="E74" s="260">
        <v>5500</v>
      </c>
      <c r="F74" s="34"/>
      <c r="G74" s="34"/>
      <c r="H74" s="87"/>
      <c r="J74" s="190">
        <v>43616</v>
      </c>
      <c r="K74" s="45" t="s">
        <v>29</v>
      </c>
      <c r="L74" s="260">
        <v>29694.166666666672</v>
      </c>
      <c r="M74" s="260">
        <v>18350</v>
      </c>
      <c r="N74" s="260"/>
      <c r="O74" s="260">
        <v>5500</v>
      </c>
      <c r="P74" s="261">
        <f t="shared" si="20"/>
        <v>4080</v>
      </c>
      <c r="Q74" s="261"/>
      <c r="R74" s="34"/>
      <c r="S74" s="262"/>
      <c r="T74" s="87"/>
      <c r="AC74" s="23"/>
    </row>
    <row r="75" spans="2:29" ht="13">
      <c r="E75" s="23"/>
      <c r="M75" s="23"/>
      <c r="Q75" s="149"/>
    </row>
    <row r="76" spans="2:29" ht="13">
      <c r="E76" s="23"/>
      <c r="M76" s="64" t="s">
        <v>224</v>
      </c>
      <c r="Q76" s="149"/>
      <c r="Y76" s="23"/>
    </row>
    <row r="77" spans="2:29" ht="13">
      <c r="E77" s="23"/>
      <c r="M77" s="64" t="s">
        <v>225</v>
      </c>
      <c r="P77" s="4" t="s">
        <v>226</v>
      </c>
      <c r="Q77" s="149"/>
      <c r="Y77" s="23"/>
    </row>
    <row r="78" spans="2:29" ht="13">
      <c r="E78" s="23"/>
      <c r="M78" s="23"/>
      <c r="Q78" s="286" t="s">
        <v>227</v>
      </c>
      <c r="Y78" s="23"/>
    </row>
    <row r="79" spans="2:29" ht="13">
      <c r="E79" s="23"/>
      <c r="M79" s="23"/>
      <c r="Q79" s="149"/>
      <c r="Y79" s="23"/>
    </row>
    <row r="80" spans="2:29" ht="13">
      <c r="E80" s="23"/>
      <c r="M80" s="23"/>
      <c r="P80" s="149"/>
      <c r="Y80" s="23"/>
    </row>
    <row r="81" spans="5:25" ht="13">
      <c r="E81" s="23"/>
      <c r="M81" s="23"/>
      <c r="P81" s="149"/>
      <c r="Y81" s="23"/>
    </row>
    <row r="82" spans="5:25" ht="13">
      <c r="E82" s="23"/>
      <c r="M82" s="23"/>
      <c r="P82" s="149"/>
      <c r="Y82" s="23"/>
    </row>
    <row r="83" spans="5:25" ht="13">
      <c r="E83" s="23"/>
      <c r="M83" s="23"/>
      <c r="P83" s="149"/>
      <c r="Y83" s="23"/>
    </row>
    <row r="84" spans="5:25" ht="13">
      <c r="E84" s="23"/>
      <c r="M84" s="23"/>
      <c r="P84" s="149"/>
      <c r="Y84" s="23"/>
    </row>
    <row r="85" spans="5:25" ht="13">
      <c r="E85" s="23"/>
      <c r="M85" s="23"/>
      <c r="P85" s="149"/>
      <c r="Y85" s="23"/>
    </row>
    <row r="86" spans="5:25" ht="13">
      <c r="E86" s="23"/>
      <c r="M86" s="23"/>
      <c r="P86" s="149"/>
      <c r="Y86" s="23"/>
    </row>
    <row r="87" spans="5:25" ht="13">
      <c r="E87" s="23"/>
      <c r="M87" s="23"/>
      <c r="P87" s="149"/>
      <c r="Y87" s="23"/>
    </row>
    <row r="88" spans="5:25" ht="13">
      <c r="E88" s="23"/>
      <c r="M88" s="23"/>
      <c r="P88" s="149"/>
      <c r="Y88" s="23"/>
    </row>
    <row r="89" spans="5:25" ht="13">
      <c r="E89" s="23"/>
      <c r="M89" s="23"/>
      <c r="P89" s="149"/>
      <c r="Y89" s="23"/>
    </row>
    <row r="90" spans="5:25" ht="13">
      <c r="E90" s="23"/>
      <c r="M90" s="23"/>
      <c r="P90" s="149"/>
      <c r="Y90" s="23"/>
    </row>
    <row r="91" spans="5:25" ht="13">
      <c r="E91" s="23"/>
      <c r="M91" s="23"/>
      <c r="P91" s="149"/>
      <c r="Y91" s="23"/>
    </row>
    <row r="92" spans="5:25" ht="13">
      <c r="E92" s="23"/>
      <c r="M92" s="23"/>
      <c r="P92" s="149"/>
      <c r="Y92" s="23"/>
    </row>
    <row r="93" spans="5:25" ht="13">
      <c r="E93" s="23"/>
      <c r="M93" s="23"/>
      <c r="P93" s="149"/>
      <c r="Y93" s="23"/>
    </row>
    <row r="94" spans="5:25" ht="13">
      <c r="E94" s="23"/>
      <c r="M94" s="23"/>
      <c r="P94" s="149"/>
      <c r="Y94" s="23"/>
    </row>
    <row r="95" spans="5:25" ht="13">
      <c r="E95" s="23"/>
      <c r="M95" s="23"/>
      <c r="P95" s="149"/>
      <c r="Y95" s="23"/>
    </row>
    <row r="96" spans="5:25" ht="13">
      <c r="E96" s="23"/>
      <c r="M96" s="23"/>
      <c r="P96" s="149"/>
      <c r="Y96" s="23"/>
    </row>
    <row r="97" spans="5:25" ht="13">
      <c r="E97" s="23"/>
      <c r="M97" s="23"/>
      <c r="P97" s="149"/>
      <c r="Y97" s="23"/>
    </row>
    <row r="98" spans="5:25" ht="13">
      <c r="E98" s="23"/>
      <c r="M98" s="23"/>
      <c r="P98" s="149"/>
      <c r="Y98" s="23"/>
    </row>
    <row r="99" spans="5:25" ht="13">
      <c r="E99" s="23"/>
      <c r="M99" s="23"/>
      <c r="P99" s="149"/>
      <c r="Y99" s="23"/>
    </row>
    <row r="100" spans="5:25" ht="13">
      <c r="E100" s="23"/>
      <c r="M100" s="23"/>
      <c r="P100" s="149"/>
      <c r="Y100" s="23"/>
    </row>
    <row r="101" spans="5:25" ht="13">
      <c r="E101" s="23"/>
      <c r="M101" s="23"/>
      <c r="P101" s="149"/>
      <c r="Y101" s="23"/>
    </row>
    <row r="102" spans="5:25" ht="13">
      <c r="E102" s="23"/>
      <c r="M102" s="23"/>
      <c r="P102" s="149"/>
      <c r="Y102" s="23"/>
    </row>
    <row r="103" spans="5:25" ht="13">
      <c r="E103" s="23"/>
      <c r="M103" s="23"/>
      <c r="P103" s="149"/>
      <c r="Y103" s="23"/>
    </row>
    <row r="104" spans="5:25" ht="13">
      <c r="E104" s="23"/>
      <c r="M104" s="23"/>
      <c r="P104" s="149"/>
      <c r="Y104" s="23"/>
    </row>
    <row r="105" spans="5:25" ht="13">
      <c r="E105" s="23"/>
      <c r="M105" s="23"/>
      <c r="P105" s="149"/>
      <c r="Y105" s="23"/>
    </row>
    <row r="106" spans="5:25" ht="13">
      <c r="E106" s="23"/>
      <c r="M106" s="23"/>
      <c r="P106" s="149"/>
      <c r="Y106" s="23"/>
    </row>
    <row r="107" spans="5:25" ht="13">
      <c r="E107" s="23"/>
      <c r="M107" s="23"/>
      <c r="P107" s="149"/>
      <c r="Y107" s="23"/>
    </row>
    <row r="108" spans="5:25" ht="13">
      <c r="E108" s="23"/>
      <c r="M108" s="23"/>
      <c r="P108" s="149"/>
      <c r="Y108" s="23"/>
    </row>
    <row r="109" spans="5:25" ht="13">
      <c r="E109" s="23"/>
      <c r="M109" s="23"/>
      <c r="P109" s="149"/>
      <c r="Y109" s="23"/>
    </row>
    <row r="110" spans="5:25" ht="13">
      <c r="E110" s="23"/>
      <c r="M110" s="23"/>
      <c r="P110" s="149"/>
      <c r="Y110" s="23"/>
    </row>
    <row r="111" spans="5:25" ht="13">
      <c r="E111" s="23"/>
      <c r="M111" s="23"/>
      <c r="P111" s="149"/>
      <c r="Y111" s="23"/>
    </row>
    <row r="112" spans="5:25" ht="13">
      <c r="E112" s="23"/>
      <c r="M112" s="23"/>
      <c r="P112" s="149"/>
      <c r="Y112" s="23"/>
    </row>
    <row r="113" spans="5:25" ht="13">
      <c r="E113" s="23"/>
      <c r="M113" s="23"/>
      <c r="P113" s="149"/>
      <c r="Y113" s="23"/>
    </row>
    <row r="114" spans="5:25" ht="13">
      <c r="E114" s="23"/>
      <c r="M114" s="23"/>
      <c r="P114" s="149"/>
      <c r="Y114" s="23"/>
    </row>
    <row r="115" spans="5:25" ht="13">
      <c r="E115" s="23"/>
      <c r="M115" s="23"/>
      <c r="P115" s="149"/>
      <c r="Y115" s="23"/>
    </row>
    <row r="116" spans="5:25" ht="13">
      <c r="E116" s="23"/>
      <c r="M116" s="23"/>
      <c r="P116" s="149"/>
      <c r="Y116" s="23"/>
    </row>
    <row r="117" spans="5:25" ht="13">
      <c r="E117" s="23"/>
      <c r="M117" s="23"/>
      <c r="P117" s="149"/>
      <c r="Y117" s="23"/>
    </row>
    <row r="118" spans="5:25" ht="13">
      <c r="E118" s="23"/>
      <c r="M118" s="23"/>
      <c r="P118" s="149"/>
      <c r="Y118" s="23"/>
    </row>
    <row r="119" spans="5:25" ht="13">
      <c r="E119" s="23"/>
      <c r="M119" s="23"/>
      <c r="P119" s="149"/>
      <c r="Y119" s="23"/>
    </row>
    <row r="120" spans="5:25" ht="13">
      <c r="E120" s="23"/>
      <c r="M120" s="23"/>
      <c r="P120" s="149"/>
      <c r="Y120" s="23"/>
    </row>
    <row r="121" spans="5:25" ht="13">
      <c r="E121" s="23"/>
      <c r="M121" s="23"/>
      <c r="P121" s="149"/>
      <c r="Y121" s="23"/>
    </row>
    <row r="122" spans="5:25" ht="13">
      <c r="E122" s="23"/>
      <c r="M122" s="23"/>
      <c r="P122" s="149"/>
      <c r="Y122" s="23"/>
    </row>
    <row r="123" spans="5:25" ht="13">
      <c r="E123" s="23"/>
      <c r="M123" s="23"/>
      <c r="P123" s="149"/>
      <c r="Y123" s="23"/>
    </row>
    <row r="124" spans="5:25" ht="13">
      <c r="E124" s="23"/>
      <c r="M124" s="23"/>
      <c r="P124" s="149"/>
      <c r="Y124" s="23"/>
    </row>
    <row r="125" spans="5:25" ht="13">
      <c r="E125" s="23"/>
      <c r="M125" s="23"/>
      <c r="P125" s="149"/>
      <c r="Y125" s="23"/>
    </row>
    <row r="126" spans="5:25" ht="13">
      <c r="E126" s="23"/>
      <c r="M126" s="23"/>
      <c r="P126" s="149"/>
      <c r="Y126" s="23"/>
    </row>
    <row r="127" spans="5:25" ht="13">
      <c r="E127" s="23"/>
      <c r="M127" s="23"/>
      <c r="P127" s="149"/>
      <c r="Y127" s="23"/>
    </row>
    <row r="128" spans="5:25" ht="13">
      <c r="E128" s="23"/>
      <c r="M128" s="23"/>
      <c r="P128" s="149"/>
      <c r="Y128" s="23"/>
    </row>
    <row r="129" spans="5:25" ht="13">
      <c r="E129" s="23"/>
      <c r="M129" s="23"/>
      <c r="P129" s="149"/>
      <c r="Y129" s="23"/>
    </row>
    <row r="130" spans="5:25" ht="13">
      <c r="E130" s="23"/>
      <c r="M130" s="23"/>
      <c r="P130" s="149"/>
      <c r="Y130" s="23"/>
    </row>
    <row r="131" spans="5:25" ht="13">
      <c r="E131" s="23"/>
      <c r="M131" s="23"/>
      <c r="P131" s="149"/>
      <c r="Y131" s="23"/>
    </row>
    <row r="132" spans="5:25" ht="13">
      <c r="E132" s="23"/>
      <c r="M132" s="23"/>
      <c r="P132" s="149"/>
      <c r="Y132" s="23"/>
    </row>
    <row r="133" spans="5:25" ht="13">
      <c r="E133" s="23"/>
      <c r="M133" s="23"/>
      <c r="P133" s="149"/>
      <c r="Y133" s="23"/>
    </row>
    <row r="134" spans="5:25" ht="13">
      <c r="E134" s="23"/>
      <c r="M134" s="23"/>
      <c r="P134" s="149"/>
      <c r="Y134" s="23"/>
    </row>
    <row r="135" spans="5:25" ht="13">
      <c r="E135" s="23"/>
      <c r="M135" s="23"/>
      <c r="P135" s="149"/>
      <c r="Y135" s="23"/>
    </row>
    <row r="136" spans="5:25" ht="13">
      <c r="E136" s="23"/>
      <c r="M136" s="23"/>
      <c r="P136" s="149"/>
      <c r="Y136" s="23"/>
    </row>
    <row r="137" spans="5:25" ht="13">
      <c r="E137" s="23"/>
      <c r="M137" s="23"/>
      <c r="P137" s="149"/>
      <c r="Y137" s="23"/>
    </row>
    <row r="138" spans="5:25" ht="13">
      <c r="E138" s="23"/>
      <c r="M138" s="23"/>
      <c r="P138" s="149"/>
      <c r="Y138" s="23"/>
    </row>
    <row r="139" spans="5:25" ht="13">
      <c r="E139" s="23"/>
      <c r="M139" s="23"/>
      <c r="P139" s="149"/>
      <c r="Y139" s="23"/>
    </row>
    <row r="140" spans="5:25" ht="13">
      <c r="E140" s="23"/>
      <c r="M140" s="23"/>
      <c r="P140" s="149"/>
      <c r="Y140" s="23"/>
    </row>
    <row r="141" spans="5:25" ht="13">
      <c r="E141" s="23"/>
      <c r="M141" s="23"/>
      <c r="P141" s="149"/>
      <c r="Y141" s="23"/>
    </row>
    <row r="142" spans="5:25" ht="13">
      <c r="E142" s="23"/>
      <c r="M142" s="23"/>
      <c r="P142" s="149"/>
      <c r="Y142" s="23"/>
    </row>
    <row r="143" spans="5:25" ht="13">
      <c r="E143" s="23"/>
      <c r="M143" s="23"/>
      <c r="P143" s="149"/>
      <c r="Y143" s="23"/>
    </row>
    <row r="144" spans="5:25" ht="13">
      <c r="E144" s="23"/>
      <c r="M144" s="23"/>
      <c r="P144" s="149"/>
      <c r="Y144" s="23"/>
    </row>
    <row r="145" spans="5:25" ht="13">
      <c r="E145" s="23"/>
      <c r="M145" s="23"/>
      <c r="P145" s="149"/>
      <c r="Y145" s="23"/>
    </row>
    <row r="146" spans="5:25" ht="13">
      <c r="E146" s="23"/>
      <c r="M146" s="23"/>
      <c r="P146" s="149"/>
      <c r="Y146" s="23"/>
    </row>
    <row r="147" spans="5:25" ht="13">
      <c r="E147" s="23"/>
      <c r="M147" s="23"/>
      <c r="P147" s="149"/>
      <c r="Y147" s="23"/>
    </row>
    <row r="148" spans="5:25" ht="13">
      <c r="E148" s="23"/>
      <c r="M148" s="23"/>
      <c r="P148" s="149"/>
      <c r="Y148" s="23"/>
    </row>
    <row r="149" spans="5:25" ht="13">
      <c r="E149" s="23"/>
      <c r="M149" s="23"/>
      <c r="P149" s="149"/>
      <c r="Y149" s="23"/>
    </row>
    <row r="150" spans="5:25" ht="13">
      <c r="E150" s="23"/>
      <c r="M150" s="23"/>
      <c r="P150" s="149"/>
      <c r="Y150" s="23"/>
    </row>
    <row r="151" spans="5:25" ht="13">
      <c r="E151" s="23"/>
      <c r="M151" s="23"/>
      <c r="P151" s="149"/>
      <c r="Y151" s="23"/>
    </row>
    <row r="152" spans="5:25" ht="13">
      <c r="E152" s="23"/>
      <c r="M152" s="23"/>
      <c r="P152" s="149"/>
      <c r="Y152" s="23"/>
    </row>
    <row r="153" spans="5:25" ht="13">
      <c r="E153" s="23"/>
      <c r="M153" s="23"/>
      <c r="P153" s="149"/>
      <c r="Y153" s="23"/>
    </row>
    <row r="154" spans="5:25" ht="13">
      <c r="E154" s="23"/>
      <c r="M154" s="23"/>
      <c r="P154" s="149"/>
      <c r="Y154" s="23"/>
    </row>
    <row r="155" spans="5:25" ht="13">
      <c r="E155" s="23"/>
      <c r="M155" s="23"/>
      <c r="P155" s="149"/>
      <c r="Y155" s="23"/>
    </row>
    <row r="156" spans="5:25" ht="13">
      <c r="E156" s="23"/>
      <c r="M156" s="23"/>
      <c r="P156" s="149"/>
      <c r="Y156" s="23"/>
    </row>
    <row r="157" spans="5:25" ht="13">
      <c r="E157" s="23"/>
      <c r="M157" s="23"/>
      <c r="P157" s="149"/>
      <c r="Y157" s="23"/>
    </row>
    <row r="158" spans="5:25" ht="13">
      <c r="E158" s="23"/>
      <c r="M158" s="23"/>
      <c r="P158" s="149"/>
      <c r="Y158" s="23"/>
    </row>
    <row r="159" spans="5:25" ht="13">
      <c r="E159" s="23"/>
      <c r="M159" s="23"/>
      <c r="P159" s="149"/>
      <c r="Y159" s="23"/>
    </row>
    <row r="160" spans="5:25" ht="13">
      <c r="E160" s="23"/>
      <c r="M160" s="23"/>
      <c r="P160" s="149"/>
      <c r="Y160" s="23"/>
    </row>
    <row r="161" spans="5:25" ht="13">
      <c r="E161" s="23"/>
      <c r="M161" s="23"/>
      <c r="P161" s="149"/>
      <c r="Y161" s="23"/>
    </row>
    <row r="162" spans="5:25" ht="13">
      <c r="E162" s="23"/>
      <c r="M162" s="23"/>
      <c r="P162" s="149"/>
      <c r="Y162" s="23"/>
    </row>
    <row r="163" spans="5:25" ht="13">
      <c r="E163" s="23"/>
      <c r="M163" s="23"/>
      <c r="P163" s="149"/>
      <c r="Y163" s="23"/>
    </row>
    <row r="164" spans="5:25" ht="13">
      <c r="E164" s="23"/>
      <c r="M164" s="23"/>
      <c r="P164" s="149"/>
      <c r="Y164" s="23"/>
    </row>
    <row r="165" spans="5:25" ht="13">
      <c r="E165" s="23"/>
      <c r="M165" s="23"/>
      <c r="P165" s="149"/>
      <c r="Y165" s="23"/>
    </row>
    <row r="166" spans="5:25" ht="13">
      <c r="E166" s="23"/>
      <c r="M166" s="23"/>
      <c r="P166" s="149"/>
      <c r="Y166" s="23"/>
    </row>
    <row r="167" spans="5:25" ht="13">
      <c r="E167" s="23"/>
      <c r="M167" s="23"/>
      <c r="P167" s="149"/>
      <c r="Y167" s="23"/>
    </row>
    <row r="168" spans="5:25" ht="13">
      <c r="E168" s="23"/>
      <c r="M168" s="23"/>
      <c r="P168" s="149"/>
      <c r="Y168" s="23"/>
    </row>
    <row r="169" spans="5:25" ht="13">
      <c r="E169" s="23"/>
      <c r="M169" s="23"/>
      <c r="P169" s="149"/>
      <c r="Y169" s="23"/>
    </row>
    <row r="170" spans="5:25" ht="13">
      <c r="E170" s="23"/>
      <c r="M170" s="23"/>
      <c r="P170" s="149"/>
      <c r="Y170" s="23"/>
    </row>
    <row r="171" spans="5:25" ht="13">
      <c r="E171" s="23"/>
      <c r="M171" s="23"/>
      <c r="P171" s="149"/>
      <c r="Y171" s="23"/>
    </row>
    <row r="172" spans="5:25" ht="13">
      <c r="E172" s="23"/>
      <c r="M172" s="23"/>
      <c r="P172" s="149"/>
      <c r="Y172" s="23"/>
    </row>
    <row r="173" spans="5:25" ht="13">
      <c r="E173" s="23"/>
      <c r="M173" s="23"/>
      <c r="P173" s="149"/>
      <c r="Y173" s="23"/>
    </row>
    <row r="174" spans="5:25" ht="13">
      <c r="E174" s="23"/>
      <c r="M174" s="23"/>
      <c r="P174" s="149"/>
      <c r="Y174" s="23"/>
    </row>
    <row r="175" spans="5:25" ht="13">
      <c r="E175" s="23"/>
      <c r="M175" s="23"/>
      <c r="P175" s="149"/>
      <c r="Y175" s="23"/>
    </row>
    <row r="176" spans="5:25" ht="13">
      <c r="E176" s="23"/>
      <c r="M176" s="23"/>
      <c r="P176" s="149"/>
      <c r="Y176" s="23"/>
    </row>
    <row r="177" spans="5:25" ht="13">
      <c r="E177" s="23"/>
      <c r="M177" s="23"/>
      <c r="P177" s="149"/>
      <c r="Y177" s="23"/>
    </row>
    <row r="178" spans="5:25" ht="13">
      <c r="E178" s="23"/>
      <c r="M178" s="23"/>
      <c r="P178" s="149"/>
      <c r="Y178" s="23"/>
    </row>
    <row r="179" spans="5:25" ht="13">
      <c r="E179" s="23"/>
      <c r="M179" s="23"/>
      <c r="P179" s="149"/>
      <c r="Y179" s="23"/>
    </row>
    <row r="180" spans="5:25" ht="13">
      <c r="E180" s="23"/>
      <c r="M180" s="23"/>
      <c r="P180" s="149"/>
      <c r="Y180" s="23"/>
    </row>
    <row r="181" spans="5:25" ht="13">
      <c r="E181" s="23"/>
      <c r="M181" s="23"/>
      <c r="P181" s="149"/>
      <c r="Y181" s="23"/>
    </row>
    <row r="182" spans="5:25" ht="13">
      <c r="E182" s="23"/>
      <c r="M182" s="23"/>
      <c r="P182" s="149"/>
      <c r="Y182" s="23"/>
    </row>
    <row r="183" spans="5:25" ht="13">
      <c r="E183" s="23"/>
      <c r="M183" s="23"/>
      <c r="P183" s="149"/>
      <c r="Y183" s="23"/>
    </row>
    <row r="184" spans="5:25" ht="13">
      <c r="E184" s="23"/>
      <c r="M184" s="23"/>
      <c r="P184" s="149"/>
      <c r="Y184" s="23"/>
    </row>
    <row r="185" spans="5:25" ht="13">
      <c r="E185" s="23"/>
      <c r="M185" s="23"/>
      <c r="P185" s="149"/>
      <c r="Y185" s="23"/>
    </row>
    <row r="186" spans="5:25" ht="13">
      <c r="E186" s="23"/>
      <c r="M186" s="23"/>
      <c r="P186" s="149"/>
      <c r="Y186" s="23"/>
    </row>
    <row r="187" spans="5:25" ht="13">
      <c r="E187" s="23"/>
      <c r="M187" s="23"/>
      <c r="P187" s="149"/>
      <c r="Y187" s="23"/>
    </row>
    <row r="188" spans="5:25" ht="13">
      <c r="E188" s="23"/>
      <c r="M188" s="23"/>
      <c r="P188" s="149"/>
      <c r="Y188" s="23"/>
    </row>
    <row r="189" spans="5:25" ht="13">
      <c r="E189" s="23"/>
      <c r="M189" s="23"/>
      <c r="P189" s="149"/>
      <c r="Y189" s="23"/>
    </row>
    <row r="190" spans="5:25" ht="13">
      <c r="E190" s="23"/>
      <c r="M190" s="23"/>
      <c r="P190" s="149"/>
      <c r="Y190" s="23"/>
    </row>
    <row r="191" spans="5:25" ht="13">
      <c r="E191" s="23"/>
      <c r="M191" s="23"/>
      <c r="P191" s="149"/>
      <c r="Y191" s="23"/>
    </row>
    <row r="192" spans="5:25" ht="13">
      <c r="E192" s="23"/>
      <c r="M192" s="23"/>
      <c r="P192" s="149"/>
      <c r="Y192" s="23"/>
    </row>
    <row r="193" spans="5:25" ht="13">
      <c r="E193" s="23"/>
      <c r="M193" s="23"/>
      <c r="P193" s="149"/>
      <c r="Y193" s="23"/>
    </row>
    <row r="194" spans="5:25" ht="13">
      <c r="E194" s="23"/>
      <c r="M194" s="23"/>
      <c r="P194" s="149"/>
      <c r="Y194" s="23"/>
    </row>
    <row r="195" spans="5:25" ht="13">
      <c r="E195" s="23"/>
      <c r="M195" s="23"/>
      <c r="P195" s="149"/>
      <c r="Y195" s="23"/>
    </row>
    <row r="196" spans="5:25" ht="13">
      <c r="E196" s="23"/>
      <c r="M196" s="23"/>
      <c r="P196" s="149"/>
      <c r="Y196" s="23"/>
    </row>
    <row r="197" spans="5:25" ht="13">
      <c r="E197" s="23"/>
      <c r="M197" s="23"/>
      <c r="P197" s="149"/>
      <c r="Y197" s="23"/>
    </row>
    <row r="198" spans="5:25" ht="13">
      <c r="E198" s="23"/>
      <c r="M198" s="23"/>
      <c r="P198" s="149"/>
      <c r="Y198" s="23"/>
    </row>
    <row r="199" spans="5:25" ht="13">
      <c r="E199" s="23"/>
      <c r="M199" s="23"/>
      <c r="P199" s="149"/>
      <c r="Y199" s="23"/>
    </row>
    <row r="200" spans="5:25" ht="13">
      <c r="E200" s="23"/>
      <c r="M200" s="23"/>
      <c r="P200" s="149"/>
      <c r="Y200" s="23"/>
    </row>
    <row r="201" spans="5:25" ht="13">
      <c r="E201" s="23"/>
      <c r="M201" s="23"/>
      <c r="P201" s="149"/>
      <c r="Y201" s="23"/>
    </row>
    <row r="202" spans="5:25" ht="13">
      <c r="E202" s="23"/>
      <c r="M202" s="23"/>
      <c r="P202" s="149"/>
      <c r="Y202" s="23"/>
    </row>
    <row r="203" spans="5:25" ht="13">
      <c r="E203" s="23"/>
      <c r="M203" s="23"/>
      <c r="P203" s="149"/>
      <c r="Y203" s="23"/>
    </row>
    <row r="204" spans="5:25" ht="13">
      <c r="E204" s="23"/>
      <c r="M204" s="23"/>
      <c r="P204" s="149"/>
      <c r="Y204" s="23"/>
    </row>
    <row r="205" spans="5:25" ht="13">
      <c r="E205" s="23"/>
      <c r="M205" s="23"/>
      <c r="P205" s="149"/>
      <c r="Y205" s="23"/>
    </row>
    <row r="206" spans="5:25" ht="13">
      <c r="E206" s="23"/>
      <c r="M206" s="23"/>
      <c r="P206" s="149"/>
      <c r="Y206" s="23"/>
    </row>
    <row r="207" spans="5:25" ht="13">
      <c r="E207" s="23"/>
      <c r="M207" s="23"/>
      <c r="P207" s="149"/>
      <c r="Y207" s="23"/>
    </row>
    <row r="208" spans="5:25" ht="13">
      <c r="E208" s="23"/>
      <c r="M208" s="23"/>
      <c r="P208" s="149"/>
      <c r="Y208" s="23"/>
    </row>
    <row r="209" spans="5:25" ht="13">
      <c r="E209" s="23"/>
      <c r="M209" s="23"/>
      <c r="P209" s="149"/>
      <c r="Y209" s="23"/>
    </row>
    <row r="210" spans="5:25" ht="13">
      <c r="E210" s="23"/>
      <c r="M210" s="23"/>
      <c r="P210" s="149"/>
      <c r="Y210" s="23"/>
    </row>
    <row r="211" spans="5:25" ht="13">
      <c r="E211" s="23"/>
      <c r="M211" s="23"/>
      <c r="P211" s="149"/>
      <c r="Y211" s="23"/>
    </row>
    <row r="212" spans="5:25" ht="13">
      <c r="E212" s="23"/>
      <c r="M212" s="23"/>
      <c r="P212" s="149"/>
      <c r="Y212" s="23"/>
    </row>
    <row r="213" spans="5:25" ht="13">
      <c r="E213" s="23"/>
      <c r="M213" s="23"/>
      <c r="P213" s="149"/>
      <c r="Y213" s="23"/>
    </row>
    <row r="214" spans="5:25" ht="13">
      <c r="E214" s="23"/>
      <c r="M214" s="23"/>
      <c r="P214" s="149"/>
      <c r="Y214" s="23"/>
    </row>
    <row r="215" spans="5:25" ht="13">
      <c r="E215" s="23"/>
      <c r="M215" s="23"/>
      <c r="P215" s="149"/>
      <c r="Y215" s="23"/>
    </row>
    <row r="216" spans="5:25" ht="13">
      <c r="E216" s="23"/>
      <c r="M216" s="23"/>
      <c r="P216" s="149"/>
      <c r="Y216" s="23"/>
    </row>
    <row r="217" spans="5:25" ht="13">
      <c r="E217" s="23"/>
      <c r="M217" s="23"/>
      <c r="P217" s="149"/>
      <c r="Y217" s="23"/>
    </row>
    <row r="218" spans="5:25" ht="13">
      <c r="E218" s="23"/>
      <c r="M218" s="23"/>
      <c r="P218" s="149"/>
      <c r="Y218" s="23"/>
    </row>
    <row r="219" spans="5:25" ht="13">
      <c r="E219" s="23"/>
      <c r="M219" s="23"/>
      <c r="P219" s="149"/>
      <c r="Y219" s="23"/>
    </row>
    <row r="220" spans="5:25" ht="13">
      <c r="E220" s="23"/>
      <c r="M220" s="23"/>
      <c r="P220" s="149"/>
      <c r="Y220" s="23"/>
    </row>
    <row r="221" spans="5:25" ht="13">
      <c r="E221" s="23"/>
      <c r="M221" s="23"/>
      <c r="P221" s="149"/>
      <c r="Y221" s="23"/>
    </row>
    <row r="222" spans="5:25" ht="13">
      <c r="E222" s="23"/>
      <c r="M222" s="23"/>
      <c r="P222" s="149"/>
      <c r="Y222" s="23"/>
    </row>
    <row r="223" spans="5:25" ht="13">
      <c r="E223" s="23"/>
      <c r="M223" s="23"/>
      <c r="P223" s="149"/>
      <c r="Y223" s="23"/>
    </row>
    <row r="224" spans="5:25" ht="13">
      <c r="E224" s="23"/>
      <c r="M224" s="23"/>
      <c r="P224" s="149"/>
      <c r="Y224" s="23"/>
    </row>
    <row r="225" spans="5:25" ht="13">
      <c r="E225" s="23"/>
      <c r="M225" s="23"/>
      <c r="P225" s="149"/>
      <c r="Y225" s="23"/>
    </row>
    <row r="226" spans="5:25" ht="13">
      <c r="E226" s="23"/>
      <c r="M226" s="23"/>
      <c r="P226" s="149"/>
      <c r="Y226" s="23"/>
    </row>
    <row r="227" spans="5:25" ht="13">
      <c r="E227" s="23"/>
      <c r="M227" s="23"/>
      <c r="P227" s="149"/>
      <c r="Y227" s="23"/>
    </row>
    <row r="228" spans="5:25" ht="13">
      <c r="E228" s="23"/>
      <c r="M228" s="23"/>
      <c r="P228" s="149"/>
      <c r="Y228" s="23"/>
    </row>
    <row r="229" spans="5:25" ht="13">
      <c r="E229" s="23"/>
      <c r="M229" s="23"/>
      <c r="P229" s="149"/>
      <c r="Y229" s="23"/>
    </row>
    <row r="230" spans="5:25" ht="13">
      <c r="E230" s="23"/>
      <c r="M230" s="23"/>
      <c r="P230" s="149"/>
      <c r="Y230" s="23"/>
    </row>
    <row r="231" spans="5:25" ht="13">
      <c r="E231" s="23"/>
      <c r="M231" s="23"/>
      <c r="P231" s="149"/>
      <c r="Y231" s="23"/>
    </row>
    <row r="232" spans="5:25" ht="13">
      <c r="E232" s="23"/>
      <c r="M232" s="23"/>
      <c r="P232" s="149"/>
      <c r="Y232" s="23"/>
    </row>
    <row r="233" spans="5:25" ht="13">
      <c r="E233" s="23"/>
      <c r="M233" s="23"/>
      <c r="P233" s="149"/>
      <c r="Y233" s="23"/>
    </row>
    <row r="234" spans="5:25" ht="13">
      <c r="E234" s="23"/>
      <c r="M234" s="23"/>
      <c r="P234" s="149"/>
      <c r="Y234" s="23"/>
    </row>
    <row r="235" spans="5:25" ht="13">
      <c r="E235" s="23"/>
      <c r="M235" s="23"/>
      <c r="P235" s="149"/>
      <c r="Y235" s="23"/>
    </row>
    <row r="236" spans="5:25" ht="13">
      <c r="E236" s="23"/>
      <c r="M236" s="23"/>
      <c r="P236" s="149"/>
      <c r="Y236" s="23"/>
    </row>
    <row r="237" spans="5:25" ht="13">
      <c r="E237" s="23"/>
      <c r="M237" s="23"/>
      <c r="P237" s="149"/>
      <c r="Y237" s="23"/>
    </row>
    <row r="238" spans="5:25" ht="13">
      <c r="E238" s="23"/>
      <c r="M238" s="23"/>
      <c r="P238" s="149"/>
      <c r="Y238" s="23"/>
    </row>
    <row r="239" spans="5:25" ht="13">
      <c r="E239" s="23"/>
      <c r="M239" s="23"/>
      <c r="P239" s="149"/>
      <c r="Y239" s="23"/>
    </row>
    <row r="240" spans="5:25" ht="13">
      <c r="E240" s="23"/>
      <c r="M240" s="23"/>
      <c r="P240" s="149"/>
      <c r="Y240" s="23"/>
    </row>
    <row r="241" spans="5:25" ht="13">
      <c r="E241" s="23"/>
      <c r="M241" s="23"/>
      <c r="P241" s="149"/>
      <c r="Y241" s="23"/>
    </row>
    <row r="242" spans="5:25" ht="13">
      <c r="E242" s="23"/>
      <c r="M242" s="23"/>
      <c r="P242" s="149"/>
      <c r="Y242" s="23"/>
    </row>
    <row r="243" spans="5:25" ht="13">
      <c r="E243" s="23"/>
      <c r="M243" s="23"/>
      <c r="P243" s="149"/>
      <c r="Y243" s="23"/>
    </row>
    <row r="244" spans="5:25" ht="13">
      <c r="E244" s="23"/>
      <c r="M244" s="23"/>
      <c r="P244" s="149"/>
      <c r="Y244" s="23"/>
    </row>
    <row r="245" spans="5:25" ht="13">
      <c r="E245" s="23"/>
      <c r="M245" s="23"/>
      <c r="P245" s="149"/>
      <c r="Y245" s="23"/>
    </row>
    <row r="246" spans="5:25" ht="13">
      <c r="E246" s="23"/>
      <c r="M246" s="23"/>
      <c r="P246" s="149"/>
      <c r="Y246" s="23"/>
    </row>
    <row r="247" spans="5:25" ht="13">
      <c r="E247" s="23"/>
      <c r="M247" s="23"/>
      <c r="P247" s="149"/>
      <c r="Y247" s="23"/>
    </row>
    <row r="248" spans="5:25" ht="13">
      <c r="E248" s="23"/>
      <c r="M248" s="23"/>
      <c r="P248" s="149"/>
      <c r="Y248" s="23"/>
    </row>
    <row r="249" spans="5:25" ht="13">
      <c r="E249" s="23"/>
      <c r="M249" s="23"/>
      <c r="P249" s="149"/>
      <c r="Y249" s="23"/>
    </row>
    <row r="250" spans="5:25" ht="13">
      <c r="E250" s="23"/>
      <c r="M250" s="23"/>
      <c r="P250" s="149"/>
      <c r="Y250" s="23"/>
    </row>
    <row r="251" spans="5:25" ht="13">
      <c r="E251" s="23"/>
      <c r="M251" s="23"/>
      <c r="P251" s="149"/>
      <c r="Y251" s="23"/>
    </row>
    <row r="252" spans="5:25" ht="13">
      <c r="E252" s="23"/>
      <c r="M252" s="23"/>
      <c r="P252" s="149"/>
      <c r="Y252" s="23"/>
    </row>
    <row r="253" spans="5:25" ht="13">
      <c r="E253" s="23"/>
      <c r="M253" s="23"/>
      <c r="P253" s="149"/>
      <c r="Y253" s="23"/>
    </row>
    <row r="254" spans="5:25" ht="13">
      <c r="E254" s="23"/>
      <c r="M254" s="23"/>
      <c r="P254" s="149"/>
      <c r="Y254" s="23"/>
    </row>
    <row r="255" spans="5:25" ht="13">
      <c r="E255" s="23"/>
      <c r="M255" s="23"/>
      <c r="P255" s="149"/>
      <c r="Y255" s="23"/>
    </row>
    <row r="256" spans="5:25" ht="13">
      <c r="E256" s="23"/>
      <c r="M256" s="23"/>
      <c r="P256" s="149"/>
      <c r="Y256" s="23"/>
    </row>
    <row r="257" spans="5:25" ht="13">
      <c r="E257" s="23"/>
      <c r="M257" s="23"/>
      <c r="P257" s="149"/>
      <c r="Y257" s="23"/>
    </row>
    <row r="258" spans="5:25" ht="13">
      <c r="E258" s="23"/>
      <c r="M258" s="23"/>
      <c r="P258" s="149"/>
      <c r="Y258" s="23"/>
    </row>
    <row r="259" spans="5:25" ht="13">
      <c r="E259" s="23"/>
      <c r="M259" s="23"/>
      <c r="P259" s="149"/>
      <c r="Y259" s="23"/>
    </row>
    <row r="260" spans="5:25" ht="13">
      <c r="E260" s="23"/>
      <c r="M260" s="23"/>
      <c r="P260" s="149"/>
      <c r="Y260" s="23"/>
    </row>
    <row r="261" spans="5:25" ht="13">
      <c r="E261" s="23"/>
      <c r="M261" s="23"/>
      <c r="P261" s="149"/>
      <c r="Y261" s="23"/>
    </row>
    <row r="262" spans="5:25" ht="13">
      <c r="E262" s="23"/>
      <c r="M262" s="23"/>
      <c r="P262" s="149"/>
      <c r="Y262" s="23"/>
    </row>
    <row r="263" spans="5:25" ht="13">
      <c r="E263" s="23"/>
      <c r="M263" s="23"/>
      <c r="P263" s="149"/>
      <c r="Y263" s="23"/>
    </row>
    <row r="264" spans="5:25" ht="13">
      <c r="E264" s="23"/>
      <c r="M264" s="23"/>
      <c r="P264" s="149"/>
      <c r="Y264" s="23"/>
    </row>
    <row r="265" spans="5:25" ht="13">
      <c r="E265" s="23"/>
      <c r="M265" s="23"/>
      <c r="P265" s="149"/>
      <c r="Y265" s="23"/>
    </row>
    <row r="266" spans="5:25" ht="13">
      <c r="E266" s="23"/>
      <c r="M266" s="23"/>
      <c r="P266" s="149"/>
      <c r="Y266" s="23"/>
    </row>
    <row r="267" spans="5:25" ht="13">
      <c r="E267" s="23"/>
      <c r="M267" s="23"/>
      <c r="P267" s="149"/>
      <c r="Y267" s="23"/>
    </row>
    <row r="268" spans="5:25" ht="13">
      <c r="E268" s="23"/>
      <c r="M268" s="23"/>
      <c r="P268" s="149"/>
      <c r="Y268" s="23"/>
    </row>
    <row r="269" spans="5:25" ht="13">
      <c r="E269" s="23"/>
      <c r="M269" s="23"/>
      <c r="P269" s="149"/>
      <c r="Y269" s="23"/>
    </row>
    <row r="270" spans="5:25" ht="13">
      <c r="E270" s="23"/>
      <c r="M270" s="23"/>
      <c r="P270" s="149"/>
      <c r="Y270" s="23"/>
    </row>
    <row r="271" spans="5:25" ht="13">
      <c r="E271" s="23"/>
      <c r="M271" s="23"/>
      <c r="P271" s="149"/>
      <c r="Y271" s="23"/>
    </row>
    <row r="272" spans="5:25" ht="13">
      <c r="E272" s="23"/>
      <c r="M272" s="23"/>
      <c r="P272" s="149"/>
      <c r="Y272" s="23"/>
    </row>
    <row r="273" spans="5:25" ht="13">
      <c r="E273" s="23"/>
      <c r="M273" s="23"/>
      <c r="P273" s="149"/>
      <c r="Y273" s="23"/>
    </row>
    <row r="274" spans="5:25" ht="13">
      <c r="E274" s="23"/>
      <c r="M274" s="23"/>
      <c r="P274" s="149"/>
      <c r="Y274" s="23"/>
    </row>
    <row r="275" spans="5:25" ht="13">
      <c r="E275" s="23"/>
      <c r="M275" s="23"/>
      <c r="P275" s="149"/>
      <c r="Y275" s="23"/>
    </row>
    <row r="276" spans="5:25" ht="13">
      <c r="E276" s="23"/>
      <c r="M276" s="23"/>
      <c r="P276" s="149"/>
      <c r="Y276" s="23"/>
    </row>
    <row r="277" spans="5:25" ht="13">
      <c r="E277" s="23"/>
      <c r="M277" s="23"/>
      <c r="P277" s="149"/>
      <c r="Y277" s="23"/>
    </row>
    <row r="278" spans="5:25" ht="13">
      <c r="E278" s="23"/>
      <c r="M278" s="23"/>
      <c r="P278" s="149"/>
      <c r="Y278" s="23"/>
    </row>
    <row r="279" spans="5:25" ht="13">
      <c r="E279" s="23"/>
      <c r="M279" s="23"/>
      <c r="P279" s="149"/>
      <c r="Y279" s="23"/>
    </row>
    <row r="280" spans="5:25" ht="13">
      <c r="E280" s="23"/>
      <c r="M280" s="23"/>
      <c r="P280" s="149"/>
      <c r="Y280" s="23"/>
    </row>
    <row r="281" spans="5:25" ht="13">
      <c r="E281" s="23"/>
      <c r="M281" s="23"/>
      <c r="P281" s="149"/>
      <c r="Y281" s="23"/>
    </row>
    <row r="282" spans="5:25" ht="13">
      <c r="E282" s="23"/>
      <c r="M282" s="23"/>
      <c r="P282" s="149"/>
      <c r="Y282" s="23"/>
    </row>
    <row r="283" spans="5:25" ht="13">
      <c r="E283" s="23"/>
      <c r="M283" s="23"/>
      <c r="P283" s="149"/>
      <c r="Y283" s="23"/>
    </row>
    <row r="284" spans="5:25" ht="13">
      <c r="E284" s="23"/>
      <c r="M284" s="23"/>
      <c r="P284" s="149"/>
      <c r="Y284" s="23"/>
    </row>
    <row r="285" spans="5:25" ht="13">
      <c r="E285" s="23"/>
      <c r="M285" s="23"/>
      <c r="P285" s="149"/>
      <c r="Y285" s="23"/>
    </row>
    <row r="286" spans="5:25" ht="13">
      <c r="E286" s="23"/>
      <c r="M286" s="23"/>
      <c r="P286" s="149"/>
      <c r="Y286" s="23"/>
    </row>
    <row r="287" spans="5:25" ht="13">
      <c r="E287" s="23"/>
      <c r="M287" s="23"/>
      <c r="P287" s="149"/>
      <c r="Y287" s="23"/>
    </row>
    <row r="288" spans="5:25" ht="13">
      <c r="E288" s="23"/>
      <c r="M288" s="23"/>
      <c r="P288" s="149"/>
      <c r="Y288" s="23"/>
    </row>
    <row r="289" spans="5:25" ht="13">
      <c r="E289" s="23"/>
      <c r="M289" s="23"/>
      <c r="P289" s="149"/>
      <c r="Y289" s="23"/>
    </row>
    <row r="290" spans="5:25" ht="13">
      <c r="E290" s="23"/>
      <c r="M290" s="23"/>
      <c r="P290" s="149"/>
      <c r="Y290" s="23"/>
    </row>
    <row r="291" spans="5:25" ht="13">
      <c r="E291" s="23"/>
      <c r="M291" s="23"/>
      <c r="P291" s="149"/>
      <c r="Y291" s="23"/>
    </row>
    <row r="292" spans="5:25" ht="13">
      <c r="E292" s="23"/>
      <c r="M292" s="23"/>
      <c r="P292" s="149"/>
      <c r="Y292" s="23"/>
    </row>
    <row r="293" spans="5:25" ht="13">
      <c r="E293" s="23"/>
      <c r="M293" s="23"/>
      <c r="P293" s="149"/>
      <c r="Y293" s="23"/>
    </row>
    <row r="294" spans="5:25" ht="13">
      <c r="E294" s="23"/>
      <c r="M294" s="23"/>
      <c r="P294" s="149"/>
      <c r="Y294" s="23"/>
    </row>
    <row r="295" spans="5:25" ht="13">
      <c r="E295" s="23"/>
      <c r="M295" s="23"/>
      <c r="P295" s="149"/>
      <c r="Y295" s="23"/>
    </row>
    <row r="296" spans="5:25" ht="13">
      <c r="E296" s="23"/>
      <c r="M296" s="23"/>
      <c r="P296" s="149"/>
      <c r="Y296" s="23"/>
    </row>
    <row r="297" spans="5:25" ht="13">
      <c r="E297" s="23"/>
      <c r="M297" s="23"/>
      <c r="P297" s="149"/>
      <c r="Y297" s="23"/>
    </row>
    <row r="298" spans="5:25" ht="13">
      <c r="E298" s="23"/>
      <c r="M298" s="23"/>
      <c r="P298" s="149"/>
      <c r="Y298" s="23"/>
    </row>
    <row r="299" spans="5:25" ht="13">
      <c r="E299" s="23"/>
      <c r="M299" s="23"/>
      <c r="P299" s="149"/>
      <c r="Y299" s="23"/>
    </row>
    <row r="300" spans="5:25" ht="13">
      <c r="E300" s="23"/>
      <c r="M300" s="23"/>
      <c r="P300" s="149"/>
      <c r="Y300" s="23"/>
    </row>
    <row r="301" spans="5:25" ht="13">
      <c r="E301" s="23"/>
      <c r="M301" s="23"/>
      <c r="P301" s="149"/>
      <c r="Y301" s="23"/>
    </row>
    <row r="302" spans="5:25" ht="13">
      <c r="E302" s="23"/>
      <c r="M302" s="23"/>
      <c r="P302" s="149"/>
      <c r="Y302" s="23"/>
    </row>
    <row r="303" spans="5:25" ht="13">
      <c r="E303" s="23"/>
      <c r="M303" s="23"/>
      <c r="P303" s="149"/>
      <c r="Y303" s="23"/>
    </row>
    <row r="304" spans="5:25" ht="13">
      <c r="E304" s="23"/>
      <c r="M304" s="23"/>
      <c r="P304" s="149"/>
      <c r="Y304" s="23"/>
    </row>
    <row r="305" spans="5:25" ht="13">
      <c r="E305" s="23"/>
      <c r="M305" s="23"/>
      <c r="P305" s="149"/>
      <c r="Y305" s="23"/>
    </row>
    <row r="306" spans="5:25" ht="13">
      <c r="E306" s="23"/>
      <c r="M306" s="23"/>
      <c r="P306" s="149"/>
      <c r="Y306" s="23"/>
    </row>
    <row r="307" spans="5:25" ht="13">
      <c r="E307" s="23"/>
      <c r="M307" s="23"/>
      <c r="P307" s="149"/>
      <c r="Y307" s="23"/>
    </row>
    <row r="308" spans="5:25" ht="13">
      <c r="E308" s="23"/>
      <c r="M308" s="23"/>
      <c r="P308" s="149"/>
      <c r="Y308" s="23"/>
    </row>
    <row r="309" spans="5:25" ht="13">
      <c r="E309" s="23"/>
      <c r="M309" s="23"/>
      <c r="P309" s="149"/>
      <c r="Y309" s="23"/>
    </row>
    <row r="310" spans="5:25" ht="13">
      <c r="E310" s="23"/>
      <c r="M310" s="23"/>
      <c r="P310" s="149"/>
      <c r="Y310" s="23"/>
    </row>
    <row r="311" spans="5:25" ht="13">
      <c r="E311" s="23"/>
      <c r="M311" s="23"/>
      <c r="P311" s="149"/>
      <c r="Y311" s="23"/>
    </row>
    <row r="312" spans="5:25" ht="13">
      <c r="E312" s="23"/>
      <c r="M312" s="23"/>
      <c r="P312" s="149"/>
      <c r="Y312" s="23"/>
    </row>
    <row r="313" spans="5:25" ht="13">
      <c r="E313" s="23"/>
      <c r="M313" s="23"/>
      <c r="P313" s="149"/>
      <c r="Y313" s="23"/>
    </row>
    <row r="314" spans="5:25" ht="13">
      <c r="E314" s="23"/>
      <c r="M314" s="23"/>
      <c r="P314" s="149"/>
      <c r="Y314" s="23"/>
    </row>
    <row r="315" spans="5:25" ht="13">
      <c r="E315" s="23"/>
      <c r="M315" s="23"/>
      <c r="P315" s="149"/>
      <c r="Y315" s="23"/>
    </row>
    <row r="316" spans="5:25" ht="13">
      <c r="E316" s="23"/>
      <c r="M316" s="23"/>
      <c r="P316" s="149"/>
      <c r="Y316" s="23"/>
    </row>
    <row r="317" spans="5:25" ht="13">
      <c r="E317" s="23"/>
      <c r="M317" s="23"/>
      <c r="P317" s="149"/>
      <c r="Y317" s="23"/>
    </row>
    <row r="318" spans="5:25" ht="13">
      <c r="E318" s="23"/>
      <c r="M318" s="23"/>
      <c r="P318" s="149"/>
      <c r="Y318" s="23"/>
    </row>
    <row r="319" spans="5:25" ht="13">
      <c r="E319" s="23"/>
      <c r="M319" s="23"/>
      <c r="P319" s="149"/>
      <c r="Y319" s="23"/>
    </row>
    <row r="320" spans="5:25" ht="13">
      <c r="E320" s="23"/>
      <c r="M320" s="23"/>
      <c r="P320" s="149"/>
      <c r="Y320" s="23"/>
    </row>
    <row r="321" spans="5:25" ht="13">
      <c r="E321" s="23"/>
      <c r="M321" s="23"/>
      <c r="P321" s="149"/>
      <c r="Y321" s="23"/>
    </row>
    <row r="322" spans="5:25" ht="13">
      <c r="E322" s="23"/>
      <c r="M322" s="23"/>
      <c r="P322" s="149"/>
      <c r="Y322" s="23"/>
    </row>
    <row r="323" spans="5:25" ht="13">
      <c r="E323" s="23"/>
      <c r="M323" s="23"/>
      <c r="P323" s="149"/>
      <c r="Y323" s="23"/>
    </row>
    <row r="324" spans="5:25" ht="13">
      <c r="E324" s="23"/>
      <c r="M324" s="23"/>
      <c r="P324" s="149"/>
      <c r="Y324" s="23"/>
    </row>
    <row r="325" spans="5:25" ht="13">
      <c r="E325" s="23"/>
      <c r="M325" s="23"/>
      <c r="P325" s="149"/>
      <c r="Y325" s="23"/>
    </row>
    <row r="326" spans="5:25" ht="13">
      <c r="E326" s="23"/>
      <c r="M326" s="23"/>
      <c r="P326" s="149"/>
      <c r="Y326" s="23"/>
    </row>
    <row r="327" spans="5:25" ht="13">
      <c r="E327" s="23"/>
      <c r="M327" s="23"/>
      <c r="P327" s="149"/>
      <c r="Y327" s="23"/>
    </row>
    <row r="328" spans="5:25" ht="13">
      <c r="E328" s="23"/>
      <c r="M328" s="23"/>
      <c r="P328" s="149"/>
      <c r="Y328" s="23"/>
    </row>
    <row r="329" spans="5:25" ht="13">
      <c r="E329" s="23"/>
      <c r="M329" s="23"/>
      <c r="P329" s="149"/>
      <c r="Y329" s="23"/>
    </row>
    <row r="330" spans="5:25" ht="13">
      <c r="E330" s="23"/>
      <c r="M330" s="23"/>
      <c r="P330" s="149"/>
      <c r="Y330" s="23"/>
    </row>
    <row r="331" spans="5:25" ht="13">
      <c r="E331" s="23"/>
      <c r="M331" s="23"/>
      <c r="P331" s="149"/>
      <c r="Y331" s="23"/>
    </row>
    <row r="332" spans="5:25" ht="13">
      <c r="E332" s="23"/>
      <c r="M332" s="23"/>
      <c r="P332" s="149"/>
      <c r="Y332" s="23"/>
    </row>
    <row r="333" spans="5:25" ht="13">
      <c r="E333" s="23"/>
      <c r="M333" s="23"/>
      <c r="P333" s="149"/>
      <c r="Y333" s="23"/>
    </row>
    <row r="334" spans="5:25" ht="13">
      <c r="E334" s="23"/>
      <c r="M334" s="23"/>
      <c r="P334" s="149"/>
      <c r="Y334" s="23"/>
    </row>
    <row r="335" spans="5:25" ht="13">
      <c r="E335" s="23"/>
      <c r="M335" s="23"/>
      <c r="P335" s="149"/>
      <c r="Y335" s="23"/>
    </row>
    <row r="336" spans="5:25" ht="13">
      <c r="E336" s="23"/>
      <c r="M336" s="23"/>
      <c r="P336" s="149"/>
      <c r="Y336" s="23"/>
    </row>
    <row r="337" spans="5:25" ht="13">
      <c r="E337" s="23"/>
      <c r="M337" s="23"/>
      <c r="P337" s="149"/>
      <c r="Y337" s="23"/>
    </row>
    <row r="338" spans="5:25" ht="13">
      <c r="E338" s="23"/>
      <c r="M338" s="23"/>
      <c r="P338" s="149"/>
      <c r="Y338" s="23"/>
    </row>
    <row r="339" spans="5:25" ht="13">
      <c r="E339" s="23"/>
      <c r="M339" s="23"/>
      <c r="P339" s="149"/>
      <c r="Y339" s="23"/>
    </row>
    <row r="340" spans="5:25" ht="13">
      <c r="E340" s="23"/>
      <c r="M340" s="23"/>
      <c r="P340" s="149"/>
      <c r="Y340" s="23"/>
    </row>
    <row r="341" spans="5:25" ht="13">
      <c r="E341" s="23"/>
      <c r="M341" s="23"/>
      <c r="P341" s="149"/>
      <c r="Y341" s="23"/>
    </row>
    <row r="342" spans="5:25" ht="13">
      <c r="E342" s="23"/>
      <c r="M342" s="23"/>
      <c r="P342" s="149"/>
      <c r="Y342" s="23"/>
    </row>
    <row r="343" spans="5:25" ht="13">
      <c r="E343" s="23"/>
      <c r="M343" s="23"/>
      <c r="P343" s="149"/>
      <c r="Y343" s="23"/>
    </row>
    <row r="344" spans="5:25" ht="13">
      <c r="E344" s="23"/>
      <c r="M344" s="23"/>
      <c r="P344" s="149"/>
      <c r="Y344" s="23"/>
    </row>
    <row r="345" spans="5:25" ht="13">
      <c r="E345" s="23"/>
      <c r="M345" s="23"/>
      <c r="P345" s="149"/>
      <c r="Y345" s="23"/>
    </row>
    <row r="346" spans="5:25" ht="13">
      <c r="E346" s="23"/>
      <c r="M346" s="23"/>
      <c r="P346" s="149"/>
      <c r="Y346" s="23"/>
    </row>
    <row r="347" spans="5:25" ht="13">
      <c r="E347" s="23"/>
      <c r="M347" s="23"/>
      <c r="P347" s="149"/>
      <c r="Y347" s="23"/>
    </row>
    <row r="348" spans="5:25" ht="13">
      <c r="E348" s="23"/>
      <c r="M348" s="23"/>
      <c r="P348" s="149"/>
      <c r="Y348" s="23"/>
    </row>
    <row r="349" spans="5:25" ht="13">
      <c r="E349" s="23"/>
      <c r="M349" s="23"/>
      <c r="P349" s="149"/>
      <c r="Y349" s="23"/>
    </row>
    <row r="350" spans="5:25" ht="13">
      <c r="E350" s="23"/>
      <c r="M350" s="23"/>
      <c r="P350" s="149"/>
      <c r="Y350" s="23"/>
    </row>
    <row r="351" spans="5:25" ht="13">
      <c r="E351" s="23"/>
      <c r="M351" s="23"/>
      <c r="P351" s="149"/>
      <c r="Y351" s="23"/>
    </row>
    <row r="352" spans="5:25" ht="13">
      <c r="E352" s="23"/>
      <c r="M352" s="23"/>
      <c r="P352" s="149"/>
      <c r="Y352" s="23"/>
    </row>
    <row r="353" spans="5:25" ht="13">
      <c r="E353" s="23"/>
      <c r="M353" s="23"/>
      <c r="P353" s="149"/>
      <c r="Y353" s="23"/>
    </row>
    <row r="354" spans="5:25" ht="13">
      <c r="E354" s="23"/>
      <c r="M354" s="23"/>
      <c r="P354" s="149"/>
      <c r="Y354" s="23"/>
    </row>
    <row r="355" spans="5:25" ht="13">
      <c r="E355" s="23"/>
      <c r="M355" s="23"/>
      <c r="P355" s="149"/>
      <c r="Y355" s="23"/>
    </row>
    <row r="356" spans="5:25" ht="13">
      <c r="E356" s="23"/>
      <c r="M356" s="23"/>
      <c r="P356" s="149"/>
      <c r="Y356" s="23"/>
    </row>
    <row r="357" spans="5:25" ht="13">
      <c r="E357" s="23"/>
      <c r="M357" s="23"/>
      <c r="P357" s="149"/>
      <c r="Y357" s="23"/>
    </row>
    <row r="358" spans="5:25" ht="13">
      <c r="E358" s="23"/>
      <c r="M358" s="23"/>
      <c r="P358" s="149"/>
      <c r="Y358" s="23"/>
    </row>
    <row r="359" spans="5:25" ht="13">
      <c r="E359" s="23"/>
      <c r="M359" s="23"/>
      <c r="P359" s="149"/>
      <c r="Y359" s="23"/>
    </row>
    <row r="360" spans="5:25" ht="13">
      <c r="E360" s="23"/>
      <c r="M360" s="23"/>
      <c r="P360" s="149"/>
      <c r="Y360" s="23"/>
    </row>
    <row r="361" spans="5:25" ht="13">
      <c r="E361" s="23"/>
      <c r="M361" s="23"/>
      <c r="P361" s="149"/>
      <c r="Y361" s="23"/>
    </row>
    <row r="362" spans="5:25" ht="13">
      <c r="E362" s="23"/>
      <c r="M362" s="23"/>
      <c r="P362" s="149"/>
      <c r="Y362" s="23"/>
    </row>
    <row r="363" spans="5:25" ht="13">
      <c r="E363" s="23"/>
      <c r="M363" s="23"/>
      <c r="P363" s="149"/>
      <c r="Y363" s="23"/>
    </row>
    <row r="364" spans="5:25" ht="13">
      <c r="E364" s="23"/>
      <c r="M364" s="23"/>
      <c r="P364" s="149"/>
      <c r="Y364" s="23"/>
    </row>
    <row r="365" spans="5:25" ht="13">
      <c r="E365" s="23"/>
      <c r="M365" s="23"/>
      <c r="P365" s="149"/>
      <c r="Y365" s="23"/>
    </row>
    <row r="366" spans="5:25" ht="13">
      <c r="E366" s="23"/>
      <c r="M366" s="23"/>
      <c r="P366" s="149"/>
      <c r="Y366" s="23"/>
    </row>
    <row r="367" spans="5:25" ht="13">
      <c r="E367" s="23"/>
      <c r="M367" s="23"/>
      <c r="P367" s="149"/>
      <c r="Y367" s="23"/>
    </row>
    <row r="368" spans="5:25" ht="13">
      <c r="E368" s="23"/>
      <c r="M368" s="23"/>
      <c r="P368" s="149"/>
      <c r="Y368" s="23"/>
    </row>
    <row r="369" spans="5:25" ht="13">
      <c r="E369" s="23"/>
      <c r="M369" s="23"/>
      <c r="P369" s="149"/>
      <c r="Y369" s="23"/>
    </row>
    <row r="370" spans="5:25" ht="13">
      <c r="E370" s="23"/>
      <c r="M370" s="23"/>
      <c r="P370" s="149"/>
      <c r="Y370" s="23"/>
    </row>
    <row r="371" spans="5:25" ht="13">
      <c r="E371" s="23"/>
      <c r="M371" s="23"/>
      <c r="P371" s="149"/>
      <c r="Y371" s="23"/>
    </row>
    <row r="372" spans="5:25" ht="13">
      <c r="E372" s="23"/>
      <c r="M372" s="23"/>
      <c r="P372" s="149"/>
      <c r="Y372" s="23"/>
    </row>
    <row r="373" spans="5:25" ht="13">
      <c r="E373" s="23"/>
      <c r="M373" s="23"/>
      <c r="P373" s="149"/>
      <c r="Y373" s="23"/>
    </row>
    <row r="374" spans="5:25" ht="13">
      <c r="E374" s="23"/>
      <c r="M374" s="23"/>
      <c r="P374" s="149"/>
      <c r="Y374" s="23"/>
    </row>
    <row r="375" spans="5:25" ht="13">
      <c r="E375" s="23"/>
      <c r="M375" s="23"/>
      <c r="P375" s="149"/>
      <c r="Y375" s="23"/>
    </row>
    <row r="376" spans="5:25" ht="13">
      <c r="E376" s="23"/>
      <c r="M376" s="23"/>
      <c r="P376" s="149"/>
      <c r="Y376" s="23"/>
    </row>
    <row r="377" spans="5:25" ht="13">
      <c r="E377" s="23"/>
      <c r="M377" s="23"/>
      <c r="P377" s="149"/>
      <c r="Y377" s="23"/>
    </row>
    <row r="378" spans="5:25" ht="13">
      <c r="E378" s="23"/>
      <c r="M378" s="23"/>
      <c r="P378" s="149"/>
      <c r="Y378" s="23"/>
    </row>
    <row r="379" spans="5:25" ht="13">
      <c r="E379" s="23"/>
      <c r="M379" s="23"/>
      <c r="P379" s="149"/>
      <c r="Y379" s="23"/>
    </row>
    <row r="380" spans="5:25" ht="13">
      <c r="E380" s="23"/>
      <c r="M380" s="23"/>
      <c r="P380" s="149"/>
      <c r="Y380" s="23"/>
    </row>
    <row r="381" spans="5:25" ht="13">
      <c r="E381" s="23"/>
      <c r="M381" s="23"/>
      <c r="P381" s="149"/>
      <c r="Y381" s="23"/>
    </row>
    <row r="382" spans="5:25" ht="13">
      <c r="E382" s="23"/>
      <c r="M382" s="23"/>
      <c r="P382" s="149"/>
      <c r="Y382" s="23"/>
    </row>
    <row r="383" spans="5:25" ht="13">
      <c r="E383" s="23"/>
      <c r="M383" s="23"/>
      <c r="P383" s="149"/>
      <c r="Y383" s="23"/>
    </row>
    <row r="384" spans="5:25" ht="13">
      <c r="E384" s="23"/>
      <c r="M384" s="23"/>
      <c r="P384" s="149"/>
      <c r="Y384" s="23"/>
    </row>
    <row r="385" spans="5:25" ht="13">
      <c r="E385" s="23"/>
      <c r="M385" s="23"/>
      <c r="P385" s="149"/>
      <c r="Y385" s="23"/>
    </row>
    <row r="386" spans="5:25" ht="13">
      <c r="E386" s="23"/>
      <c r="M386" s="23"/>
      <c r="P386" s="149"/>
      <c r="Y386" s="23"/>
    </row>
    <row r="387" spans="5:25" ht="13">
      <c r="E387" s="23"/>
      <c r="M387" s="23"/>
      <c r="P387" s="149"/>
      <c r="Y387" s="23"/>
    </row>
    <row r="388" spans="5:25" ht="13">
      <c r="E388" s="23"/>
      <c r="M388" s="23"/>
      <c r="P388" s="149"/>
      <c r="Y388" s="23"/>
    </row>
    <row r="389" spans="5:25" ht="13">
      <c r="E389" s="23"/>
      <c r="M389" s="23"/>
      <c r="P389" s="149"/>
      <c r="Y389" s="23"/>
    </row>
    <row r="390" spans="5:25" ht="13">
      <c r="E390" s="23"/>
      <c r="M390" s="23"/>
      <c r="P390" s="149"/>
      <c r="Y390" s="23"/>
    </row>
    <row r="391" spans="5:25" ht="13">
      <c r="E391" s="23"/>
      <c r="M391" s="23"/>
      <c r="P391" s="149"/>
      <c r="Y391" s="23"/>
    </row>
    <row r="392" spans="5:25" ht="13">
      <c r="E392" s="23"/>
      <c r="M392" s="23"/>
      <c r="P392" s="149"/>
      <c r="Y392" s="23"/>
    </row>
    <row r="393" spans="5:25" ht="13">
      <c r="E393" s="23"/>
      <c r="M393" s="23"/>
      <c r="P393" s="149"/>
      <c r="Y393" s="23"/>
    </row>
    <row r="394" spans="5:25" ht="13">
      <c r="E394" s="23"/>
      <c r="M394" s="23"/>
      <c r="P394" s="149"/>
      <c r="Y394" s="23"/>
    </row>
    <row r="395" spans="5:25" ht="13">
      <c r="E395" s="23"/>
      <c r="M395" s="23"/>
      <c r="P395" s="149"/>
      <c r="Y395" s="23"/>
    </row>
    <row r="396" spans="5:25" ht="13">
      <c r="E396" s="23"/>
      <c r="M396" s="23"/>
      <c r="P396" s="149"/>
      <c r="Y396" s="23"/>
    </row>
    <row r="397" spans="5:25" ht="13">
      <c r="E397" s="23"/>
      <c r="M397" s="23"/>
      <c r="P397" s="149"/>
      <c r="Y397" s="23"/>
    </row>
    <row r="398" spans="5:25" ht="13">
      <c r="E398" s="23"/>
      <c r="M398" s="23"/>
      <c r="P398" s="149"/>
      <c r="Y398" s="23"/>
    </row>
    <row r="399" spans="5:25" ht="13">
      <c r="E399" s="23"/>
      <c r="M399" s="23"/>
      <c r="P399" s="149"/>
      <c r="Y399" s="23"/>
    </row>
    <row r="400" spans="5:25" ht="13">
      <c r="E400" s="23"/>
      <c r="M400" s="23"/>
      <c r="P400" s="149"/>
      <c r="Y400" s="23"/>
    </row>
    <row r="401" spans="5:25" ht="13">
      <c r="E401" s="23"/>
      <c r="M401" s="23"/>
      <c r="P401" s="149"/>
      <c r="Y401" s="23"/>
    </row>
    <row r="402" spans="5:25" ht="13">
      <c r="E402" s="23"/>
      <c r="M402" s="23"/>
      <c r="P402" s="149"/>
      <c r="Y402" s="23"/>
    </row>
    <row r="403" spans="5:25" ht="13">
      <c r="E403" s="23"/>
      <c r="M403" s="23"/>
      <c r="P403" s="149"/>
      <c r="Y403" s="23"/>
    </row>
    <row r="404" spans="5:25" ht="13">
      <c r="E404" s="23"/>
      <c r="M404" s="23"/>
      <c r="P404" s="149"/>
      <c r="Y404" s="23"/>
    </row>
    <row r="405" spans="5:25" ht="13">
      <c r="E405" s="23"/>
      <c r="M405" s="23"/>
      <c r="P405" s="149"/>
      <c r="Y405" s="23"/>
    </row>
    <row r="406" spans="5:25" ht="13">
      <c r="E406" s="23"/>
      <c r="M406" s="23"/>
      <c r="P406" s="149"/>
      <c r="Y406" s="23"/>
    </row>
    <row r="407" spans="5:25" ht="13">
      <c r="E407" s="23"/>
      <c r="M407" s="23"/>
      <c r="P407" s="149"/>
      <c r="Y407" s="23"/>
    </row>
    <row r="408" spans="5:25" ht="13">
      <c r="E408" s="23"/>
      <c r="M408" s="23"/>
      <c r="P408" s="149"/>
      <c r="Y408" s="23"/>
    </row>
    <row r="409" spans="5:25" ht="13">
      <c r="E409" s="23"/>
      <c r="M409" s="23"/>
      <c r="P409" s="149"/>
      <c r="Y409" s="23"/>
    </row>
    <row r="410" spans="5:25" ht="13">
      <c r="E410" s="23"/>
      <c r="M410" s="23"/>
      <c r="P410" s="149"/>
      <c r="Y410" s="23"/>
    </row>
    <row r="411" spans="5:25" ht="13">
      <c r="E411" s="23"/>
      <c r="M411" s="23"/>
      <c r="P411" s="149"/>
      <c r="Y411" s="23"/>
    </row>
    <row r="412" spans="5:25" ht="13">
      <c r="E412" s="23"/>
      <c r="M412" s="23"/>
      <c r="P412" s="149"/>
      <c r="Y412" s="23"/>
    </row>
    <row r="413" spans="5:25" ht="13">
      <c r="E413" s="23"/>
      <c r="M413" s="23"/>
      <c r="P413" s="149"/>
      <c r="Y413" s="23"/>
    </row>
    <row r="414" spans="5:25" ht="13">
      <c r="E414" s="23"/>
      <c r="M414" s="23"/>
      <c r="P414" s="149"/>
      <c r="Y414" s="23"/>
    </row>
    <row r="415" spans="5:25" ht="13">
      <c r="E415" s="23"/>
      <c r="M415" s="23"/>
      <c r="P415" s="149"/>
      <c r="Y415" s="23"/>
    </row>
    <row r="416" spans="5:25" ht="13">
      <c r="E416" s="23"/>
      <c r="M416" s="23"/>
      <c r="P416" s="149"/>
      <c r="Y416" s="23"/>
    </row>
    <row r="417" spans="5:25" ht="13">
      <c r="E417" s="23"/>
      <c r="M417" s="23"/>
      <c r="P417" s="149"/>
      <c r="Y417" s="23"/>
    </row>
    <row r="418" spans="5:25" ht="13">
      <c r="E418" s="23"/>
      <c r="M418" s="23"/>
      <c r="P418" s="149"/>
      <c r="Y418" s="23"/>
    </row>
    <row r="419" spans="5:25" ht="13">
      <c r="E419" s="23"/>
      <c r="M419" s="23"/>
      <c r="P419" s="149"/>
      <c r="Y419" s="23"/>
    </row>
    <row r="420" spans="5:25" ht="13">
      <c r="E420" s="23"/>
      <c r="M420" s="23"/>
      <c r="P420" s="149"/>
      <c r="Y420" s="23"/>
    </row>
    <row r="421" spans="5:25" ht="13">
      <c r="E421" s="23"/>
      <c r="M421" s="23"/>
      <c r="P421" s="149"/>
      <c r="Y421" s="23"/>
    </row>
    <row r="422" spans="5:25" ht="13">
      <c r="E422" s="23"/>
      <c r="M422" s="23"/>
      <c r="P422" s="149"/>
      <c r="Y422" s="23"/>
    </row>
    <row r="423" spans="5:25" ht="13">
      <c r="E423" s="23"/>
      <c r="M423" s="23"/>
      <c r="P423" s="149"/>
      <c r="Y423" s="23"/>
    </row>
    <row r="424" spans="5:25" ht="13">
      <c r="E424" s="23"/>
      <c r="M424" s="23"/>
      <c r="P424" s="149"/>
      <c r="Y424" s="23"/>
    </row>
    <row r="425" spans="5:25" ht="13">
      <c r="E425" s="23"/>
      <c r="M425" s="23"/>
      <c r="P425" s="149"/>
      <c r="Y425" s="23"/>
    </row>
    <row r="426" spans="5:25" ht="13">
      <c r="E426" s="23"/>
      <c r="M426" s="23"/>
      <c r="P426" s="149"/>
      <c r="Y426" s="23"/>
    </row>
    <row r="427" spans="5:25" ht="13">
      <c r="E427" s="23"/>
      <c r="M427" s="23"/>
      <c r="P427" s="149"/>
      <c r="Y427" s="23"/>
    </row>
    <row r="428" spans="5:25" ht="13">
      <c r="E428" s="23"/>
      <c r="M428" s="23"/>
      <c r="P428" s="149"/>
      <c r="Y428" s="23"/>
    </row>
    <row r="429" spans="5:25" ht="13">
      <c r="E429" s="23"/>
      <c r="M429" s="23"/>
      <c r="P429" s="149"/>
      <c r="Y429" s="23"/>
    </row>
    <row r="430" spans="5:25" ht="13">
      <c r="E430" s="23"/>
      <c r="M430" s="23"/>
      <c r="P430" s="149"/>
      <c r="Y430" s="23"/>
    </row>
    <row r="431" spans="5:25" ht="13">
      <c r="E431" s="23"/>
      <c r="M431" s="23"/>
      <c r="P431" s="149"/>
      <c r="Y431" s="23"/>
    </row>
    <row r="432" spans="5:25" ht="13">
      <c r="E432" s="23"/>
      <c r="M432" s="23"/>
      <c r="P432" s="149"/>
      <c r="Y432" s="23"/>
    </row>
    <row r="433" spans="5:25" ht="13">
      <c r="E433" s="23"/>
      <c r="M433" s="23"/>
      <c r="P433" s="149"/>
      <c r="Y433" s="23"/>
    </row>
    <row r="434" spans="5:25" ht="13">
      <c r="E434" s="23"/>
      <c r="M434" s="23"/>
      <c r="P434" s="149"/>
      <c r="Y434" s="23"/>
    </row>
    <row r="435" spans="5:25" ht="13">
      <c r="E435" s="23"/>
      <c r="M435" s="23"/>
      <c r="P435" s="149"/>
      <c r="Y435" s="23"/>
    </row>
    <row r="436" spans="5:25" ht="13">
      <c r="E436" s="23"/>
      <c r="M436" s="23"/>
      <c r="P436" s="149"/>
      <c r="Y436" s="23"/>
    </row>
    <row r="437" spans="5:25" ht="13">
      <c r="E437" s="23"/>
      <c r="M437" s="23"/>
      <c r="P437" s="149"/>
      <c r="Y437" s="23"/>
    </row>
    <row r="438" spans="5:25" ht="13">
      <c r="E438" s="23"/>
      <c r="M438" s="23"/>
      <c r="P438" s="149"/>
      <c r="Y438" s="23"/>
    </row>
    <row r="439" spans="5:25" ht="13">
      <c r="E439" s="23"/>
      <c r="M439" s="23"/>
      <c r="P439" s="149"/>
      <c r="Y439" s="23"/>
    </row>
    <row r="440" spans="5:25" ht="13">
      <c r="E440" s="23"/>
      <c r="M440" s="23"/>
      <c r="P440" s="149"/>
      <c r="Y440" s="23"/>
    </row>
    <row r="441" spans="5:25" ht="13">
      <c r="E441" s="23"/>
      <c r="M441" s="23"/>
      <c r="P441" s="149"/>
      <c r="Y441" s="23"/>
    </row>
    <row r="442" spans="5:25" ht="13">
      <c r="E442" s="23"/>
      <c r="M442" s="23"/>
      <c r="P442" s="149"/>
      <c r="Y442" s="23"/>
    </row>
    <row r="443" spans="5:25" ht="13">
      <c r="E443" s="23"/>
      <c r="M443" s="23"/>
      <c r="P443" s="149"/>
      <c r="Y443" s="23"/>
    </row>
    <row r="444" spans="5:25" ht="13">
      <c r="E444" s="23"/>
      <c r="M444" s="23"/>
      <c r="P444" s="149"/>
      <c r="Y444" s="23"/>
    </row>
    <row r="445" spans="5:25" ht="13">
      <c r="E445" s="23"/>
      <c r="M445" s="23"/>
      <c r="P445" s="149"/>
      <c r="Y445" s="23"/>
    </row>
    <row r="446" spans="5:25" ht="13">
      <c r="E446" s="23"/>
      <c r="M446" s="23"/>
      <c r="P446" s="149"/>
      <c r="Y446" s="23"/>
    </row>
    <row r="447" spans="5:25" ht="13">
      <c r="E447" s="23"/>
      <c r="M447" s="23"/>
      <c r="P447" s="149"/>
      <c r="Y447" s="23"/>
    </row>
    <row r="448" spans="5:25" ht="13">
      <c r="E448" s="23"/>
      <c r="M448" s="23"/>
      <c r="P448" s="149"/>
      <c r="Y448" s="23"/>
    </row>
    <row r="449" spans="5:25" ht="13">
      <c r="E449" s="23"/>
      <c r="M449" s="23"/>
      <c r="P449" s="149"/>
      <c r="Y449" s="23"/>
    </row>
    <row r="450" spans="5:25" ht="13">
      <c r="E450" s="23"/>
      <c r="M450" s="23"/>
      <c r="P450" s="149"/>
      <c r="Y450" s="23"/>
    </row>
    <row r="451" spans="5:25" ht="13">
      <c r="E451" s="23"/>
      <c r="M451" s="23"/>
      <c r="P451" s="149"/>
      <c r="Y451" s="23"/>
    </row>
    <row r="452" spans="5:25" ht="13">
      <c r="E452" s="23"/>
      <c r="M452" s="23"/>
      <c r="P452" s="149"/>
      <c r="Y452" s="23"/>
    </row>
    <row r="453" spans="5:25" ht="13">
      <c r="E453" s="23"/>
      <c r="M453" s="23"/>
      <c r="P453" s="149"/>
      <c r="Y453" s="23"/>
    </row>
    <row r="454" spans="5:25" ht="13">
      <c r="E454" s="23"/>
      <c r="M454" s="23"/>
      <c r="P454" s="149"/>
      <c r="Y454" s="23"/>
    </row>
    <row r="455" spans="5:25" ht="13">
      <c r="E455" s="23"/>
      <c r="M455" s="23"/>
      <c r="P455" s="149"/>
      <c r="Y455" s="23"/>
    </row>
    <row r="456" spans="5:25" ht="13">
      <c r="E456" s="23"/>
      <c r="M456" s="23"/>
      <c r="P456" s="149"/>
      <c r="Y456" s="23"/>
    </row>
    <row r="457" spans="5:25" ht="13">
      <c r="E457" s="23"/>
      <c r="M457" s="23"/>
      <c r="P457" s="149"/>
      <c r="Y457" s="23"/>
    </row>
    <row r="458" spans="5:25" ht="13">
      <c r="E458" s="23"/>
      <c r="M458" s="23"/>
      <c r="P458" s="149"/>
      <c r="Y458" s="23"/>
    </row>
    <row r="459" spans="5:25" ht="13">
      <c r="E459" s="23"/>
      <c r="M459" s="23"/>
      <c r="P459" s="149"/>
      <c r="Y459" s="23"/>
    </row>
    <row r="460" spans="5:25" ht="13">
      <c r="E460" s="23"/>
      <c r="M460" s="23"/>
      <c r="P460" s="149"/>
      <c r="Y460" s="23"/>
    </row>
    <row r="461" spans="5:25" ht="13">
      <c r="E461" s="23"/>
      <c r="M461" s="23"/>
      <c r="P461" s="149"/>
      <c r="Y461" s="23"/>
    </row>
    <row r="462" spans="5:25" ht="13">
      <c r="E462" s="23"/>
      <c r="M462" s="23"/>
      <c r="P462" s="149"/>
      <c r="Y462" s="23"/>
    </row>
    <row r="463" spans="5:25" ht="13">
      <c r="E463" s="23"/>
      <c r="M463" s="23"/>
      <c r="P463" s="149"/>
      <c r="Y463" s="23"/>
    </row>
    <row r="464" spans="5:25" ht="13">
      <c r="E464" s="23"/>
      <c r="M464" s="23"/>
      <c r="P464" s="149"/>
      <c r="Y464" s="23"/>
    </row>
    <row r="465" spans="5:25" ht="13">
      <c r="E465" s="23"/>
      <c r="M465" s="23"/>
      <c r="P465" s="149"/>
      <c r="Y465" s="23"/>
    </row>
    <row r="466" spans="5:25" ht="13">
      <c r="E466" s="23"/>
      <c r="M466" s="23"/>
      <c r="P466" s="149"/>
      <c r="Y466" s="23"/>
    </row>
    <row r="467" spans="5:25" ht="13">
      <c r="E467" s="23"/>
      <c r="M467" s="23"/>
      <c r="P467" s="149"/>
      <c r="Y467" s="23"/>
    </row>
    <row r="468" spans="5:25" ht="13">
      <c r="E468" s="23"/>
      <c r="M468" s="23"/>
      <c r="P468" s="149"/>
      <c r="Y468" s="23"/>
    </row>
    <row r="469" spans="5:25" ht="13">
      <c r="E469" s="23"/>
      <c r="M469" s="23"/>
      <c r="P469" s="149"/>
      <c r="Y469" s="23"/>
    </row>
    <row r="470" spans="5:25" ht="13">
      <c r="E470" s="23"/>
      <c r="M470" s="23"/>
      <c r="P470" s="149"/>
      <c r="Y470" s="23"/>
    </row>
    <row r="471" spans="5:25" ht="13">
      <c r="E471" s="23"/>
      <c r="M471" s="23"/>
      <c r="P471" s="149"/>
      <c r="Y471" s="23"/>
    </row>
    <row r="472" spans="5:25" ht="13">
      <c r="E472" s="23"/>
      <c r="M472" s="23"/>
      <c r="P472" s="149"/>
      <c r="Y472" s="23"/>
    </row>
    <row r="473" spans="5:25" ht="13">
      <c r="E473" s="23"/>
      <c r="M473" s="23"/>
      <c r="P473" s="149"/>
      <c r="Y473" s="23"/>
    </row>
    <row r="474" spans="5:25" ht="13">
      <c r="E474" s="23"/>
      <c r="M474" s="23"/>
      <c r="P474" s="149"/>
      <c r="Y474" s="23"/>
    </row>
    <row r="475" spans="5:25" ht="13">
      <c r="E475" s="23"/>
      <c r="M475" s="23"/>
      <c r="P475" s="149"/>
      <c r="Y475" s="23"/>
    </row>
    <row r="476" spans="5:25" ht="13">
      <c r="E476" s="23"/>
      <c r="M476" s="23"/>
      <c r="P476" s="149"/>
      <c r="Y476" s="23"/>
    </row>
    <row r="477" spans="5:25" ht="13">
      <c r="E477" s="23"/>
      <c r="M477" s="23"/>
      <c r="P477" s="149"/>
      <c r="Y477" s="23"/>
    </row>
    <row r="478" spans="5:25" ht="13">
      <c r="E478" s="23"/>
      <c r="M478" s="23"/>
      <c r="P478" s="149"/>
      <c r="Y478" s="23"/>
    </row>
    <row r="479" spans="5:25" ht="13">
      <c r="E479" s="23"/>
      <c r="M479" s="23"/>
      <c r="P479" s="149"/>
      <c r="Y479" s="23"/>
    </row>
    <row r="480" spans="5:25" ht="13">
      <c r="E480" s="23"/>
      <c r="M480" s="23"/>
      <c r="P480" s="149"/>
      <c r="Y480" s="23"/>
    </row>
    <row r="481" spans="5:25" ht="13">
      <c r="E481" s="23"/>
      <c r="M481" s="23"/>
      <c r="P481" s="149"/>
      <c r="Y481" s="23"/>
    </row>
    <row r="482" spans="5:25" ht="13">
      <c r="E482" s="23"/>
      <c r="M482" s="23"/>
      <c r="P482" s="149"/>
      <c r="Y482" s="23"/>
    </row>
    <row r="483" spans="5:25" ht="13">
      <c r="E483" s="23"/>
      <c r="M483" s="23"/>
      <c r="P483" s="149"/>
      <c r="Y483" s="23"/>
    </row>
    <row r="484" spans="5:25" ht="13">
      <c r="E484" s="23"/>
      <c r="M484" s="23"/>
      <c r="P484" s="149"/>
      <c r="Y484" s="23"/>
    </row>
    <row r="485" spans="5:25" ht="13">
      <c r="E485" s="23"/>
      <c r="M485" s="23"/>
      <c r="P485" s="149"/>
      <c r="Y485" s="23"/>
    </row>
    <row r="486" spans="5:25" ht="13">
      <c r="E486" s="23"/>
      <c r="M486" s="23"/>
      <c r="P486" s="149"/>
      <c r="Y486" s="23"/>
    </row>
    <row r="487" spans="5:25" ht="13">
      <c r="E487" s="23"/>
      <c r="M487" s="23"/>
      <c r="P487" s="149"/>
      <c r="Y487" s="23"/>
    </row>
    <row r="488" spans="5:25" ht="13">
      <c r="E488" s="23"/>
      <c r="M488" s="23"/>
      <c r="P488" s="149"/>
      <c r="Y488" s="23"/>
    </row>
    <row r="489" spans="5:25" ht="13">
      <c r="E489" s="23"/>
      <c r="M489" s="23"/>
      <c r="P489" s="149"/>
      <c r="Y489" s="23"/>
    </row>
    <row r="490" spans="5:25" ht="13">
      <c r="E490" s="23"/>
      <c r="M490" s="23"/>
      <c r="P490" s="149"/>
      <c r="Y490" s="23"/>
    </row>
    <row r="491" spans="5:25" ht="13">
      <c r="E491" s="23"/>
      <c r="M491" s="23"/>
      <c r="P491" s="149"/>
      <c r="Y491" s="23"/>
    </row>
    <row r="492" spans="5:25" ht="13">
      <c r="E492" s="23"/>
      <c r="M492" s="23"/>
      <c r="P492" s="149"/>
      <c r="Y492" s="23"/>
    </row>
    <row r="493" spans="5:25" ht="13">
      <c r="E493" s="23"/>
      <c r="M493" s="23"/>
      <c r="P493" s="149"/>
      <c r="Y493" s="23"/>
    </row>
    <row r="494" spans="5:25" ht="13">
      <c r="E494" s="23"/>
      <c r="M494" s="23"/>
      <c r="P494" s="149"/>
      <c r="Y494" s="23"/>
    </row>
    <row r="495" spans="5:25" ht="13">
      <c r="E495" s="23"/>
      <c r="M495" s="23"/>
      <c r="P495" s="149"/>
      <c r="Y495" s="23"/>
    </row>
    <row r="496" spans="5:25" ht="13">
      <c r="E496" s="23"/>
      <c r="M496" s="23"/>
      <c r="P496" s="149"/>
      <c r="Y496" s="23"/>
    </row>
    <row r="497" spans="5:25" ht="13">
      <c r="E497" s="23"/>
      <c r="M497" s="23"/>
      <c r="P497" s="149"/>
      <c r="Y497" s="23"/>
    </row>
    <row r="498" spans="5:25" ht="13">
      <c r="E498" s="23"/>
      <c r="M498" s="23"/>
      <c r="P498" s="149"/>
      <c r="Y498" s="23"/>
    </row>
    <row r="499" spans="5:25" ht="13">
      <c r="E499" s="23"/>
      <c r="M499" s="23"/>
      <c r="P499" s="149"/>
      <c r="Y499" s="23"/>
    </row>
    <row r="500" spans="5:25" ht="13">
      <c r="E500" s="23"/>
      <c r="M500" s="23"/>
      <c r="P500" s="149"/>
      <c r="Y500" s="23"/>
    </row>
    <row r="501" spans="5:25" ht="13">
      <c r="E501" s="23"/>
      <c r="M501" s="23"/>
      <c r="P501" s="149"/>
      <c r="Y501" s="23"/>
    </row>
    <row r="502" spans="5:25" ht="13">
      <c r="E502" s="23"/>
      <c r="M502" s="23"/>
      <c r="P502" s="149"/>
      <c r="Y502" s="23"/>
    </row>
    <row r="503" spans="5:25" ht="13">
      <c r="E503" s="23"/>
      <c r="M503" s="23"/>
      <c r="P503" s="149"/>
      <c r="Y503" s="23"/>
    </row>
    <row r="504" spans="5:25" ht="13">
      <c r="E504" s="23"/>
      <c r="M504" s="23"/>
      <c r="P504" s="149"/>
      <c r="Y504" s="23"/>
    </row>
    <row r="505" spans="5:25" ht="13">
      <c r="E505" s="23"/>
      <c r="M505" s="23"/>
      <c r="P505" s="149"/>
      <c r="Y505" s="23"/>
    </row>
    <row r="506" spans="5:25" ht="13">
      <c r="E506" s="23"/>
      <c r="M506" s="23"/>
      <c r="P506" s="149"/>
      <c r="Y506" s="23"/>
    </row>
    <row r="507" spans="5:25" ht="13">
      <c r="E507" s="23"/>
      <c r="M507" s="23"/>
      <c r="P507" s="149"/>
      <c r="Y507" s="23"/>
    </row>
    <row r="508" spans="5:25" ht="13">
      <c r="E508" s="23"/>
      <c r="M508" s="23"/>
      <c r="P508" s="149"/>
      <c r="Y508" s="23"/>
    </row>
    <row r="509" spans="5:25" ht="13">
      <c r="E509" s="23"/>
      <c r="M509" s="23"/>
      <c r="P509" s="149"/>
      <c r="Y509" s="23"/>
    </row>
    <row r="510" spans="5:25" ht="13">
      <c r="E510" s="23"/>
      <c r="M510" s="23"/>
      <c r="P510" s="149"/>
      <c r="Y510" s="23"/>
    </row>
    <row r="511" spans="5:25" ht="13">
      <c r="E511" s="23"/>
      <c r="M511" s="23"/>
      <c r="P511" s="149"/>
      <c r="Y511" s="23"/>
    </row>
    <row r="512" spans="5:25" ht="13">
      <c r="E512" s="23"/>
      <c r="M512" s="23"/>
      <c r="P512" s="149"/>
      <c r="Y512" s="23"/>
    </row>
    <row r="513" spans="5:25" ht="13">
      <c r="E513" s="23"/>
      <c r="M513" s="23"/>
      <c r="P513" s="149"/>
      <c r="Y513" s="23"/>
    </row>
    <row r="514" spans="5:25" ht="13">
      <c r="E514" s="23"/>
      <c r="M514" s="23"/>
      <c r="P514" s="149"/>
      <c r="Y514" s="23"/>
    </row>
    <row r="515" spans="5:25" ht="13">
      <c r="E515" s="23"/>
      <c r="M515" s="23"/>
      <c r="P515" s="149"/>
      <c r="Y515" s="23"/>
    </row>
    <row r="516" spans="5:25" ht="13">
      <c r="E516" s="23"/>
      <c r="M516" s="23"/>
      <c r="P516" s="149"/>
      <c r="Y516" s="23"/>
    </row>
    <row r="517" spans="5:25" ht="13">
      <c r="E517" s="23"/>
      <c r="M517" s="23"/>
      <c r="P517" s="149"/>
      <c r="Y517" s="23"/>
    </row>
    <row r="518" spans="5:25" ht="13">
      <c r="E518" s="23"/>
      <c r="M518" s="23"/>
      <c r="P518" s="149"/>
      <c r="Y518" s="23"/>
    </row>
    <row r="519" spans="5:25" ht="13">
      <c r="E519" s="23"/>
      <c r="M519" s="23"/>
      <c r="P519" s="149"/>
      <c r="Y519" s="23"/>
    </row>
    <row r="520" spans="5:25" ht="13">
      <c r="E520" s="23"/>
      <c r="M520" s="23"/>
      <c r="P520" s="149"/>
      <c r="Y520" s="23"/>
    </row>
    <row r="521" spans="5:25" ht="13">
      <c r="E521" s="23"/>
      <c r="M521" s="23"/>
      <c r="P521" s="149"/>
      <c r="Y521" s="23"/>
    </row>
    <row r="522" spans="5:25" ht="13">
      <c r="E522" s="23"/>
      <c r="M522" s="23"/>
      <c r="P522" s="149"/>
      <c r="Y522" s="23"/>
    </row>
    <row r="523" spans="5:25" ht="13">
      <c r="E523" s="23"/>
      <c r="M523" s="23"/>
      <c r="P523" s="149"/>
      <c r="Y523" s="23"/>
    </row>
    <row r="524" spans="5:25" ht="13">
      <c r="E524" s="23"/>
      <c r="M524" s="23"/>
      <c r="P524" s="149"/>
      <c r="Y524" s="23"/>
    </row>
    <row r="525" spans="5:25" ht="13">
      <c r="E525" s="23"/>
      <c r="M525" s="23"/>
      <c r="P525" s="149"/>
      <c r="Y525" s="23"/>
    </row>
    <row r="526" spans="5:25" ht="13">
      <c r="E526" s="23"/>
      <c r="M526" s="23"/>
      <c r="P526" s="149"/>
      <c r="Y526" s="23"/>
    </row>
    <row r="527" spans="5:25" ht="13">
      <c r="E527" s="23"/>
      <c r="M527" s="23"/>
      <c r="P527" s="149"/>
      <c r="Y527" s="23"/>
    </row>
    <row r="528" spans="5:25" ht="13">
      <c r="E528" s="23"/>
      <c r="M528" s="23"/>
      <c r="P528" s="149"/>
      <c r="Y528" s="23"/>
    </row>
    <row r="529" spans="5:25" ht="13">
      <c r="E529" s="23"/>
      <c r="M529" s="23"/>
      <c r="P529" s="149"/>
      <c r="Y529" s="23"/>
    </row>
    <row r="530" spans="5:25" ht="13">
      <c r="E530" s="23"/>
      <c r="M530" s="23"/>
      <c r="P530" s="149"/>
      <c r="Y530" s="23"/>
    </row>
    <row r="531" spans="5:25" ht="13">
      <c r="E531" s="23"/>
      <c r="M531" s="23"/>
      <c r="P531" s="149"/>
      <c r="Y531" s="23"/>
    </row>
    <row r="532" spans="5:25" ht="13">
      <c r="E532" s="23"/>
      <c r="M532" s="23"/>
      <c r="P532" s="149"/>
      <c r="Y532" s="23"/>
    </row>
    <row r="533" spans="5:25" ht="13">
      <c r="E533" s="23"/>
      <c r="M533" s="23"/>
      <c r="P533" s="149"/>
      <c r="Y533" s="23"/>
    </row>
    <row r="534" spans="5:25" ht="13">
      <c r="E534" s="23"/>
      <c r="M534" s="23"/>
      <c r="P534" s="149"/>
      <c r="Y534" s="23"/>
    </row>
    <row r="535" spans="5:25" ht="13">
      <c r="E535" s="23"/>
      <c r="M535" s="23"/>
      <c r="P535" s="149"/>
      <c r="Y535" s="23"/>
    </row>
    <row r="536" spans="5:25" ht="13">
      <c r="E536" s="23"/>
      <c r="M536" s="23"/>
      <c r="P536" s="149"/>
      <c r="Y536" s="23"/>
    </row>
    <row r="537" spans="5:25" ht="13">
      <c r="E537" s="23"/>
      <c r="M537" s="23"/>
      <c r="P537" s="149"/>
      <c r="Y537" s="23"/>
    </row>
    <row r="538" spans="5:25" ht="13">
      <c r="E538" s="23"/>
      <c r="M538" s="23"/>
      <c r="P538" s="149"/>
      <c r="Y538" s="23"/>
    </row>
    <row r="539" spans="5:25" ht="13">
      <c r="E539" s="23"/>
      <c r="M539" s="23"/>
      <c r="P539" s="149"/>
      <c r="Y539" s="23"/>
    </row>
    <row r="540" spans="5:25" ht="13">
      <c r="E540" s="23"/>
      <c r="M540" s="23"/>
      <c r="P540" s="149"/>
      <c r="Y540" s="23"/>
    </row>
    <row r="541" spans="5:25" ht="13">
      <c r="E541" s="23"/>
      <c r="M541" s="23"/>
      <c r="P541" s="149"/>
      <c r="Y541" s="23"/>
    </row>
    <row r="542" spans="5:25" ht="13">
      <c r="E542" s="23"/>
      <c r="M542" s="23"/>
      <c r="P542" s="149"/>
      <c r="Y542" s="23"/>
    </row>
    <row r="543" spans="5:25" ht="13">
      <c r="E543" s="23"/>
      <c r="M543" s="23"/>
      <c r="P543" s="149"/>
      <c r="Y543" s="23"/>
    </row>
    <row r="544" spans="5:25" ht="13">
      <c r="E544" s="23"/>
      <c r="M544" s="23"/>
      <c r="P544" s="149"/>
      <c r="Y544" s="23"/>
    </row>
    <row r="545" spans="5:25" ht="13">
      <c r="E545" s="23"/>
      <c r="M545" s="23"/>
      <c r="P545" s="149"/>
      <c r="Y545" s="23"/>
    </row>
    <row r="546" spans="5:25" ht="13">
      <c r="E546" s="23"/>
      <c r="M546" s="23"/>
      <c r="P546" s="149"/>
      <c r="Y546" s="23"/>
    </row>
    <row r="547" spans="5:25" ht="13">
      <c r="E547" s="23"/>
      <c r="M547" s="23"/>
      <c r="P547" s="149"/>
      <c r="Y547" s="23"/>
    </row>
    <row r="548" spans="5:25" ht="13">
      <c r="E548" s="23"/>
      <c r="M548" s="23"/>
      <c r="P548" s="149"/>
      <c r="Y548" s="23"/>
    </row>
    <row r="549" spans="5:25" ht="13">
      <c r="E549" s="23"/>
      <c r="M549" s="23"/>
      <c r="P549" s="149"/>
      <c r="Y549" s="23"/>
    </row>
    <row r="550" spans="5:25" ht="13">
      <c r="E550" s="23"/>
      <c r="M550" s="23"/>
      <c r="P550" s="149"/>
      <c r="Y550" s="23"/>
    </row>
    <row r="551" spans="5:25" ht="13">
      <c r="E551" s="23"/>
      <c r="M551" s="23"/>
      <c r="P551" s="149"/>
      <c r="Y551" s="23"/>
    </row>
    <row r="552" spans="5:25" ht="13">
      <c r="E552" s="23"/>
      <c r="M552" s="23"/>
      <c r="P552" s="149"/>
      <c r="Y552" s="23"/>
    </row>
    <row r="553" spans="5:25" ht="13">
      <c r="E553" s="23"/>
      <c r="M553" s="23"/>
      <c r="P553" s="149"/>
      <c r="Y553" s="23"/>
    </row>
    <row r="554" spans="5:25" ht="13">
      <c r="E554" s="23"/>
      <c r="M554" s="23"/>
      <c r="P554" s="149"/>
      <c r="Y554" s="23"/>
    </row>
    <row r="555" spans="5:25" ht="13">
      <c r="E555" s="23"/>
      <c r="M555" s="23"/>
      <c r="P555" s="149"/>
      <c r="Y555" s="23"/>
    </row>
    <row r="556" spans="5:25" ht="13">
      <c r="E556" s="23"/>
      <c r="M556" s="23"/>
      <c r="P556" s="149"/>
      <c r="Y556" s="23"/>
    </row>
    <row r="557" spans="5:25" ht="13">
      <c r="E557" s="23"/>
      <c r="M557" s="23"/>
      <c r="P557" s="149"/>
      <c r="Y557" s="23"/>
    </row>
    <row r="558" spans="5:25" ht="13">
      <c r="E558" s="23"/>
      <c r="M558" s="23"/>
      <c r="P558" s="149"/>
      <c r="Y558" s="23"/>
    </row>
    <row r="559" spans="5:25" ht="13">
      <c r="E559" s="23"/>
      <c r="M559" s="23"/>
      <c r="P559" s="149"/>
      <c r="Y559" s="23"/>
    </row>
    <row r="560" spans="5:25" ht="13">
      <c r="E560" s="23"/>
      <c r="M560" s="23"/>
      <c r="P560" s="149"/>
      <c r="Y560" s="23"/>
    </row>
    <row r="561" spans="5:25" ht="13">
      <c r="E561" s="23"/>
      <c r="M561" s="23"/>
      <c r="P561" s="149"/>
      <c r="Y561" s="23"/>
    </row>
    <row r="562" spans="5:25" ht="13">
      <c r="E562" s="23"/>
      <c r="M562" s="23"/>
      <c r="P562" s="149"/>
      <c r="Y562" s="23"/>
    </row>
    <row r="563" spans="5:25" ht="13">
      <c r="E563" s="23"/>
      <c r="M563" s="23"/>
      <c r="P563" s="149"/>
      <c r="Y563" s="23"/>
    </row>
    <row r="564" spans="5:25" ht="13">
      <c r="E564" s="23"/>
      <c r="M564" s="23"/>
      <c r="P564" s="149"/>
      <c r="Y564" s="23"/>
    </row>
    <row r="565" spans="5:25" ht="13">
      <c r="E565" s="23"/>
      <c r="M565" s="23"/>
      <c r="P565" s="149"/>
      <c r="Y565" s="23"/>
    </row>
    <row r="566" spans="5:25" ht="13">
      <c r="E566" s="23"/>
      <c r="M566" s="23"/>
      <c r="P566" s="149"/>
      <c r="Y566" s="23"/>
    </row>
    <row r="567" spans="5:25" ht="13">
      <c r="E567" s="23"/>
      <c r="M567" s="23"/>
      <c r="P567" s="149"/>
      <c r="Y567" s="23"/>
    </row>
    <row r="568" spans="5:25" ht="13">
      <c r="E568" s="23"/>
      <c r="M568" s="23"/>
      <c r="P568" s="149"/>
      <c r="Y568" s="23"/>
    </row>
    <row r="569" spans="5:25" ht="13">
      <c r="E569" s="23"/>
      <c r="M569" s="23"/>
      <c r="P569" s="149"/>
      <c r="Y569" s="23"/>
    </row>
    <row r="570" spans="5:25" ht="13">
      <c r="E570" s="23"/>
      <c r="M570" s="23"/>
      <c r="P570" s="149"/>
      <c r="Y570" s="23"/>
    </row>
    <row r="571" spans="5:25" ht="13">
      <c r="E571" s="23"/>
      <c r="M571" s="23"/>
      <c r="P571" s="149"/>
      <c r="Y571" s="23"/>
    </row>
    <row r="572" spans="5:25" ht="13">
      <c r="E572" s="23"/>
      <c r="M572" s="23"/>
      <c r="P572" s="149"/>
      <c r="Y572" s="23"/>
    </row>
    <row r="573" spans="5:25" ht="13">
      <c r="E573" s="23"/>
      <c r="M573" s="23"/>
      <c r="P573" s="149"/>
      <c r="Y573" s="23"/>
    </row>
    <row r="574" spans="5:25" ht="13">
      <c r="E574" s="23"/>
      <c r="M574" s="23"/>
      <c r="P574" s="149"/>
      <c r="Y574" s="23"/>
    </row>
    <row r="575" spans="5:25" ht="13">
      <c r="E575" s="23"/>
      <c r="M575" s="23"/>
      <c r="P575" s="149"/>
      <c r="Y575" s="23"/>
    </row>
    <row r="576" spans="5:25" ht="13">
      <c r="E576" s="23"/>
      <c r="M576" s="23"/>
      <c r="P576" s="149"/>
      <c r="Y576" s="23"/>
    </row>
    <row r="577" spans="5:25" ht="13">
      <c r="E577" s="23"/>
      <c r="M577" s="23"/>
      <c r="P577" s="149"/>
      <c r="Y577" s="23"/>
    </row>
    <row r="578" spans="5:25" ht="13">
      <c r="E578" s="23"/>
      <c r="M578" s="23"/>
      <c r="P578" s="149"/>
      <c r="Y578" s="23"/>
    </row>
    <row r="579" spans="5:25" ht="13">
      <c r="E579" s="23"/>
      <c r="M579" s="23"/>
      <c r="P579" s="149"/>
      <c r="Y579" s="23"/>
    </row>
    <row r="580" spans="5:25" ht="13">
      <c r="E580" s="23"/>
      <c r="M580" s="23"/>
      <c r="P580" s="149"/>
      <c r="Y580" s="23"/>
    </row>
    <row r="581" spans="5:25" ht="13">
      <c r="E581" s="23"/>
      <c r="M581" s="23"/>
      <c r="P581" s="149"/>
      <c r="Y581" s="23"/>
    </row>
    <row r="582" spans="5:25" ht="13">
      <c r="E582" s="23"/>
      <c r="M582" s="23"/>
      <c r="P582" s="149"/>
      <c r="Y582" s="23"/>
    </row>
    <row r="583" spans="5:25" ht="13">
      <c r="E583" s="23"/>
      <c r="M583" s="23"/>
      <c r="P583" s="149"/>
      <c r="Y583" s="23"/>
    </row>
    <row r="584" spans="5:25" ht="13">
      <c r="E584" s="23"/>
      <c r="M584" s="23"/>
      <c r="P584" s="149"/>
      <c r="Y584" s="23"/>
    </row>
    <row r="585" spans="5:25" ht="13">
      <c r="E585" s="23"/>
      <c r="M585" s="23"/>
      <c r="P585" s="149"/>
      <c r="Y585" s="23"/>
    </row>
    <row r="586" spans="5:25" ht="13">
      <c r="E586" s="23"/>
      <c r="M586" s="23"/>
      <c r="P586" s="149"/>
      <c r="Y586" s="23"/>
    </row>
    <row r="587" spans="5:25" ht="13">
      <c r="E587" s="23"/>
      <c r="M587" s="23"/>
      <c r="P587" s="149"/>
      <c r="Y587" s="23"/>
    </row>
    <row r="588" spans="5:25" ht="13">
      <c r="E588" s="23"/>
      <c r="M588" s="23"/>
      <c r="P588" s="149"/>
      <c r="Y588" s="23"/>
    </row>
    <row r="589" spans="5:25" ht="13">
      <c r="E589" s="23"/>
      <c r="M589" s="23"/>
      <c r="P589" s="149"/>
      <c r="Y589" s="23"/>
    </row>
    <row r="590" spans="5:25" ht="13">
      <c r="E590" s="23"/>
      <c r="M590" s="23"/>
      <c r="P590" s="149"/>
      <c r="Y590" s="23"/>
    </row>
    <row r="591" spans="5:25" ht="13">
      <c r="E591" s="23"/>
      <c r="M591" s="23"/>
      <c r="P591" s="149"/>
      <c r="Y591" s="23"/>
    </row>
    <row r="592" spans="5:25" ht="13">
      <c r="E592" s="23"/>
      <c r="M592" s="23"/>
      <c r="P592" s="149"/>
      <c r="Y592" s="23"/>
    </row>
    <row r="593" spans="5:25" ht="13">
      <c r="E593" s="23"/>
      <c r="M593" s="23"/>
      <c r="P593" s="149"/>
      <c r="Y593" s="23"/>
    </row>
    <row r="594" spans="5:25" ht="13">
      <c r="E594" s="23"/>
      <c r="M594" s="23"/>
      <c r="P594" s="149"/>
      <c r="Y594" s="23"/>
    </row>
    <row r="595" spans="5:25" ht="13">
      <c r="E595" s="23"/>
      <c r="M595" s="23"/>
      <c r="P595" s="149"/>
      <c r="Y595" s="23"/>
    </row>
    <row r="596" spans="5:25" ht="13">
      <c r="E596" s="23"/>
      <c r="M596" s="23"/>
      <c r="P596" s="149"/>
      <c r="Y596" s="23"/>
    </row>
    <row r="597" spans="5:25" ht="13">
      <c r="E597" s="23"/>
      <c r="M597" s="23"/>
      <c r="P597" s="149"/>
      <c r="Y597" s="23"/>
    </row>
    <row r="598" spans="5:25" ht="13">
      <c r="E598" s="23"/>
      <c r="M598" s="23"/>
      <c r="P598" s="149"/>
      <c r="Y598" s="23"/>
    </row>
    <row r="599" spans="5:25" ht="13">
      <c r="E599" s="23"/>
      <c r="M599" s="23"/>
      <c r="P599" s="149"/>
      <c r="Y599" s="23"/>
    </row>
    <row r="600" spans="5:25" ht="13">
      <c r="E600" s="23"/>
      <c r="M600" s="23"/>
      <c r="P600" s="149"/>
      <c r="Y600" s="23"/>
    </row>
    <row r="601" spans="5:25" ht="13">
      <c r="E601" s="23"/>
      <c r="M601" s="23"/>
      <c r="P601" s="149"/>
      <c r="Y601" s="23"/>
    </row>
    <row r="602" spans="5:25" ht="13">
      <c r="E602" s="23"/>
      <c r="M602" s="23"/>
      <c r="P602" s="149"/>
      <c r="Y602" s="23"/>
    </row>
    <row r="603" spans="5:25" ht="13">
      <c r="E603" s="23"/>
      <c r="M603" s="23"/>
      <c r="P603" s="149"/>
      <c r="Y603" s="23"/>
    </row>
    <row r="604" spans="5:25" ht="13">
      <c r="E604" s="23"/>
      <c r="M604" s="23"/>
      <c r="P604" s="149"/>
      <c r="Y604" s="23"/>
    </row>
    <row r="605" spans="5:25" ht="13">
      <c r="E605" s="23"/>
      <c r="M605" s="23"/>
      <c r="P605" s="149"/>
      <c r="Y605" s="23"/>
    </row>
    <row r="606" spans="5:25" ht="13">
      <c r="E606" s="23"/>
      <c r="M606" s="23"/>
      <c r="P606" s="149"/>
      <c r="Y606" s="23"/>
    </row>
    <row r="607" spans="5:25" ht="13">
      <c r="E607" s="23"/>
      <c r="M607" s="23"/>
      <c r="P607" s="149"/>
      <c r="Y607" s="23"/>
    </row>
    <row r="608" spans="5:25" ht="13">
      <c r="E608" s="23"/>
      <c r="M608" s="23"/>
      <c r="P608" s="149"/>
      <c r="Y608" s="23"/>
    </row>
    <row r="609" spans="5:25" ht="13">
      <c r="E609" s="23"/>
      <c r="M609" s="23"/>
      <c r="P609" s="149"/>
      <c r="Y609" s="23"/>
    </row>
    <row r="610" spans="5:25" ht="13">
      <c r="E610" s="23"/>
      <c r="M610" s="23"/>
      <c r="P610" s="149"/>
      <c r="Y610" s="23"/>
    </row>
    <row r="611" spans="5:25" ht="13">
      <c r="E611" s="23"/>
      <c r="M611" s="23"/>
      <c r="P611" s="149"/>
      <c r="Y611" s="23"/>
    </row>
    <row r="612" spans="5:25" ht="13">
      <c r="E612" s="23"/>
      <c r="M612" s="23"/>
      <c r="P612" s="149"/>
      <c r="Y612" s="23"/>
    </row>
    <row r="613" spans="5:25" ht="13">
      <c r="E613" s="23"/>
      <c r="M613" s="23"/>
      <c r="P613" s="149"/>
      <c r="Y613" s="23"/>
    </row>
    <row r="614" spans="5:25" ht="13">
      <c r="E614" s="23"/>
      <c r="M614" s="23"/>
      <c r="P614" s="149"/>
      <c r="Y614" s="23"/>
    </row>
    <row r="615" spans="5:25" ht="13">
      <c r="E615" s="23"/>
      <c r="M615" s="23"/>
      <c r="P615" s="149"/>
      <c r="Y615" s="23"/>
    </row>
    <row r="616" spans="5:25" ht="13">
      <c r="E616" s="23"/>
      <c r="M616" s="23"/>
      <c r="P616" s="149"/>
      <c r="Y616" s="23"/>
    </row>
    <row r="617" spans="5:25" ht="13">
      <c r="E617" s="23"/>
      <c r="M617" s="23"/>
      <c r="P617" s="149"/>
      <c r="Y617" s="23"/>
    </row>
    <row r="618" spans="5:25" ht="13">
      <c r="E618" s="23"/>
      <c r="M618" s="23"/>
      <c r="P618" s="149"/>
      <c r="Y618" s="23"/>
    </row>
    <row r="619" spans="5:25" ht="13">
      <c r="E619" s="23"/>
      <c r="M619" s="23"/>
      <c r="P619" s="149"/>
      <c r="Y619" s="23"/>
    </row>
    <row r="620" spans="5:25" ht="13">
      <c r="E620" s="23"/>
      <c r="M620" s="23"/>
      <c r="P620" s="149"/>
      <c r="Y620" s="23"/>
    </row>
    <row r="621" spans="5:25" ht="13">
      <c r="E621" s="23"/>
      <c r="M621" s="23"/>
      <c r="P621" s="149"/>
      <c r="Y621" s="23"/>
    </row>
    <row r="622" spans="5:25" ht="13">
      <c r="E622" s="23"/>
      <c r="M622" s="23"/>
      <c r="P622" s="149"/>
      <c r="Y622" s="23"/>
    </row>
    <row r="623" spans="5:25" ht="13">
      <c r="E623" s="23"/>
      <c r="M623" s="23"/>
      <c r="P623" s="149"/>
      <c r="Y623" s="23"/>
    </row>
    <row r="624" spans="5:25" ht="13">
      <c r="E624" s="23"/>
      <c r="M624" s="23"/>
      <c r="P624" s="149"/>
      <c r="Y624" s="23"/>
    </row>
    <row r="625" spans="5:25" ht="13">
      <c r="E625" s="23"/>
      <c r="M625" s="23"/>
      <c r="P625" s="149"/>
      <c r="Y625" s="23"/>
    </row>
    <row r="626" spans="5:25" ht="13">
      <c r="E626" s="23"/>
      <c r="M626" s="23"/>
      <c r="P626" s="149"/>
      <c r="Y626" s="23"/>
    </row>
    <row r="627" spans="5:25" ht="13">
      <c r="E627" s="23"/>
      <c r="M627" s="23"/>
      <c r="P627" s="149"/>
      <c r="Y627" s="23"/>
    </row>
    <row r="628" spans="5:25" ht="13">
      <c r="E628" s="23"/>
      <c r="M628" s="23"/>
      <c r="P628" s="149"/>
      <c r="Y628" s="23"/>
    </row>
    <row r="629" spans="5:25" ht="13">
      <c r="E629" s="23"/>
      <c r="M629" s="23"/>
      <c r="P629" s="149"/>
      <c r="Y629" s="23"/>
    </row>
    <row r="630" spans="5:25" ht="13">
      <c r="E630" s="23"/>
      <c r="M630" s="23"/>
      <c r="P630" s="149"/>
      <c r="Y630" s="23"/>
    </row>
    <row r="631" spans="5:25" ht="13">
      <c r="E631" s="23"/>
      <c r="M631" s="23"/>
      <c r="P631" s="149"/>
      <c r="Y631" s="23"/>
    </row>
    <row r="632" spans="5:25" ht="13">
      <c r="E632" s="23"/>
      <c r="M632" s="23"/>
      <c r="P632" s="149"/>
      <c r="Y632" s="23"/>
    </row>
    <row r="633" spans="5:25" ht="13">
      <c r="E633" s="23"/>
      <c r="M633" s="23"/>
      <c r="P633" s="149"/>
      <c r="Y633" s="23"/>
    </row>
    <row r="634" spans="5:25" ht="13">
      <c r="E634" s="23"/>
      <c r="M634" s="23"/>
      <c r="P634" s="149"/>
      <c r="Y634" s="23"/>
    </row>
    <row r="635" spans="5:25" ht="13">
      <c r="E635" s="23"/>
      <c r="M635" s="23"/>
      <c r="P635" s="149"/>
      <c r="Y635" s="23"/>
    </row>
    <row r="636" spans="5:25" ht="13">
      <c r="E636" s="23"/>
      <c r="M636" s="23"/>
      <c r="P636" s="149"/>
      <c r="Y636" s="23"/>
    </row>
    <row r="637" spans="5:25" ht="13">
      <c r="E637" s="23"/>
      <c r="M637" s="23"/>
      <c r="P637" s="149"/>
      <c r="Y637" s="23"/>
    </row>
    <row r="638" spans="5:25" ht="13">
      <c r="E638" s="23"/>
      <c r="M638" s="23"/>
      <c r="P638" s="149"/>
      <c r="Y638" s="23"/>
    </row>
    <row r="639" spans="5:25" ht="13">
      <c r="E639" s="23"/>
      <c r="M639" s="23"/>
      <c r="P639" s="149"/>
      <c r="Y639" s="23"/>
    </row>
    <row r="640" spans="5:25" ht="13">
      <c r="E640" s="23"/>
      <c r="M640" s="23"/>
      <c r="P640" s="149"/>
      <c r="Y640" s="23"/>
    </row>
    <row r="641" spans="5:25" ht="13">
      <c r="E641" s="23"/>
      <c r="M641" s="23"/>
      <c r="P641" s="149"/>
      <c r="Y641" s="23"/>
    </row>
    <row r="642" spans="5:25" ht="13">
      <c r="E642" s="23"/>
      <c r="M642" s="23"/>
      <c r="P642" s="149"/>
      <c r="Y642" s="23"/>
    </row>
    <row r="643" spans="5:25" ht="13">
      <c r="E643" s="23"/>
      <c r="M643" s="23"/>
      <c r="P643" s="149"/>
      <c r="Y643" s="23"/>
    </row>
    <row r="644" spans="5:25" ht="13">
      <c r="E644" s="23"/>
      <c r="M644" s="23"/>
      <c r="P644" s="149"/>
      <c r="Y644" s="23"/>
    </row>
    <row r="645" spans="5:25" ht="13">
      <c r="E645" s="23"/>
      <c r="M645" s="23"/>
      <c r="P645" s="149"/>
      <c r="Y645" s="23"/>
    </row>
    <row r="646" spans="5:25" ht="13">
      <c r="E646" s="23"/>
      <c r="M646" s="23"/>
      <c r="P646" s="149"/>
      <c r="Y646" s="23"/>
    </row>
    <row r="647" spans="5:25" ht="13">
      <c r="E647" s="23"/>
      <c r="M647" s="23"/>
      <c r="P647" s="149"/>
      <c r="Y647" s="23"/>
    </row>
    <row r="648" spans="5:25" ht="13">
      <c r="E648" s="23"/>
      <c r="M648" s="23"/>
      <c r="P648" s="149"/>
      <c r="Y648" s="23"/>
    </row>
    <row r="649" spans="5:25" ht="13">
      <c r="E649" s="23"/>
      <c r="M649" s="23"/>
      <c r="P649" s="149"/>
      <c r="Y649" s="23"/>
    </row>
    <row r="650" spans="5:25" ht="13">
      <c r="E650" s="23"/>
      <c r="M650" s="23"/>
      <c r="P650" s="149"/>
      <c r="Y650" s="23"/>
    </row>
    <row r="651" spans="5:25" ht="13">
      <c r="E651" s="23"/>
      <c r="M651" s="23"/>
      <c r="P651" s="149"/>
      <c r="Y651" s="23"/>
    </row>
    <row r="652" spans="5:25" ht="13">
      <c r="E652" s="23"/>
      <c r="M652" s="23"/>
      <c r="P652" s="149"/>
      <c r="Y652" s="23"/>
    </row>
    <row r="653" spans="5:25" ht="13">
      <c r="E653" s="23"/>
      <c r="M653" s="23"/>
      <c r="P653" s="149"/>
      <c r="Y653" s="23"/>
    </row>
    <row r="654" spans="5:25" ht="13">
      <c r="E654" s="23"/>
      <c r="M654" s="23"/>
      <c r="P654" s="149"/>
      <c r="Y654" s="23"/>
    </row>
    <row r="655" spans="5:25" ht="13">
      <c r="E655" s="23"/>
      <c r="M655" s="23"/>
      <c r="P655" s="149"/>
      <c r="Y655" s="23"/>
    </row>
    <row r="656" spans="5:25" ht="13">
      <c r="E656" s="23"/>
      <c r="M656" s="23"/>
      <c r="P656" s="149"/>
      <c r="Y656" s="23"/>
    </row>
    <row r="657" spans="5:25" ht="13">
      <c r="E657" s="23"/>
      <c r="M657" s="23"/>
      <c r="P657" s="149"/>
      <c r="Y657" s="23"/>
    </row>
    <row r="658" spans="5:25" ht="13">
      <c r="E658" s="23"/>
      <c r="M658" s="23"/>
      <c r="P658" s="149"/>
      <c r="Y658" s="23"/>
    </row>
    <row r="659" spans="5:25" ht="13">
      <c r="E659" s="23"/>
      <c r="M659" s="23"/>
      <c r="P659" s="149"/>
      <c r="Y659" s="23"/>
    </row>
    <row r="660" spans="5:25" ht="13">
      <c r="E660" s="23"/>
      <c r="M660" s="23"/>
      <c r="P660" s="149"/>
      <c r="Y660" s="23"/>
    </row>
    <row r="661" spans="5:25" ht="13">
      <c r="E661" s="23"/>
      <c r="M661" s="23"/>
      <c r="P661" s="149"/>
      <c r="Y661" s="23"/>
    </row>
    <row r="662" spans="5:25" ht="13">
      <c r="E662" s="23"/>
      <c r="M662" s="23"/>
      <c r="P662" s="149"/>
      <c r="Y662" s="23"/>
    </row>
    <row r="663" spans="5:25" ht="13">
      <c r="E663" s="23"/>
      <c r="M663" s="23"/>
      <c r="P663" s="149"/>
      <c r="Y663" s="23"/>
    </row>
    <row r="664" spans="5:25" ht="13">
      <c r="E664" s="23"/>
      <c r="M664" s="23"/>
      <c r="P664" s="149"/>
      <c r="Y664" s="23"/>
    </row>
    <row r="665" spans="5:25" ht="13">
      <c r="E665" s="23"/>
      <c r="M665" s="23"/>
      <c r="P665" s="149"/>
      <c r="Y665" s="23"/>
    </row>
    <row r="666" spans="5:25" ht="13">
      <c r="E666" s="23"/>
      <c r="M666" s="23"/>
      <c r="P666" s="149"/>
      <c r="Y666" s="23"/>
    </row>
    <row r="667" spans="5:25" ht="13">
      <c r="E667" s="23"/>
      <c r="M667" s="23"/>
      <c r="P667" s="149"/>
      <c r="Y667" s="23"/>
    </row>
    <row r="668" spans="5:25" ht="13">
      <c r="E668" s="23"/>
      <c r="M668" s="23"/>
      <c r="P668" s="149"/>
      <c r="Y668" s="23"/>
    </row>
    <row r="669" spans="5:25" ht="13">
      <c r="E669" s="23"/>
      <c r="M669" s="23"/>
      <c r="P669" s="149"/>
      <c r="Y669" s="23"/>
    </row>
    <row r="670" spans="5:25" ht="13">
      <c r="E670" s="23"/>
      <c r="M670" s="23"/>
      <c r="P670" s="149"/>
      <c r="Y670" s="23"/>
    </row>
    <row r="671" spans="5:25" ht="13">
      <c r="E671" s="23"/>
      <c r="M671" s="23"/>
      <c r="P671" s="149"/>
      <c r="Y671" s="23"/>
    </row>
    <row r="672" spans="5:25" ht="13">
      <c r="E672" s="23"/>
      <c r="M672" s="23"/>
      <c r="P672" s="149"/>
      <c r="Y672" s="23"/>
    </row>
    <row r="673" spans="5:25" ht="13">
      <c r="E673" s="23"/>
      <c r="M673" s="23"/>
      <c r="P673" s="149"/>
      <c r="Y673" s="23"/>
    </row>
    <row r="674" spans="5:25" ht="13">
      <c r="E674" s="23"/>
      <c r="M674" s="23"/>
      <c r="P674" s="149"/>
      <c r="Y674" s="23"/>
    </row>
    <row r="675" spans="5:25" ht="13">
      <c r="E675" s="23"/>
      <c r="M675" s="23"/>
      <c r="P675" s="149"/>
      <c r="Y675" s="23"/>
    </row>
    <row r="676" spans="5:25" ht="13">
      <c r="E676" s="23"/>
      <c r="M676" s="23"/>
      <c r="P676" s="149"/>
      <c r="Y676" s="23"/>
    </row>
    <row r="677" spans="5:25" ht="13">
      <c r="E677" s="23"/>
      <c r="M677" s="23"/>
      <c r="P677" s="149"/>
      <c r="Y677" s="23"/>
    </row>
    <row r="678" spans="5:25" ht="13">
      <c r="E678" s="23"/>
      <c r="M678" s="23"/>
      <c r="P678" s="149"/>
      <c r="Y678" s="23"/>
    </row>
    <row r="679" spans="5:25" ht="13">
      <c r="E679" s="23"/>
      <c r="M679" s="23"/>
      <c r="P679" s="149"/>
      <c r="Y679" s="23"/>
    </row>
    <row r="680" spans="5:25" ht="13">
      <c r="E680" s="23"/>
      <c r="M680" s="23"/>
      <c r="P680" s="149"/>
      <c r="Y680" s="23"/>
    </row>
    <row r="681" spans="5:25" ht="13">
      <c r="E681" s="23"/>
      <c r="M681" s="23"/>
      <c r="P681" s="149"/>
      <c r="Y681" s="23"/>
    </row>
    <row r="682" spans="5:25" ht="13">
      <c r="E682" s="23"/>
      <c r="M682" s="23"/>
      <c r="P682" s="149"/>
      <c r="Y682" s="23"/>
    </row>
    <row r="683" spans="5:25" ht="13">
      <c r="E683" s="23"/>
      <c r="M683" s="23"/>
      <c r="P683" s="149"/>
      <c r="Y683" s="23"/>
    </row>
    <row r="684" spans="5:25" ht="13">
      <c r="E684" s="23"/>
      <c r="M684" s="23"/>
      <c r="P684" s="149"/>
      <c r="Y684" s="23"/>
    </row>
    <row r="685" spans="5:25" ht="13">
      <c r="E685" s="23"/>
      <c r="M685" s="23"/>
      <c r="P685" s="149"/>
      <c r="Y685" s="23"/>
    </row>
    <row r="686" spans="5:25" ht="13">
      <c r="E686" s="23"/>
      <c r="M686" s="23"/>
      <c r="P686" s="149"/>
      <c r="Y686" s="23"/>
    </row>
    <row r="687" spans="5:25" ht="13">
      <c r="E687" s="23"/>
      <c r="M687" s="23"/>
      <c r="P687" s="149"/>
      <c r="Y687" s="23"/>
    </row>
    <row r="688" spans="5:25" ht="13">
      <c r="E688" s="23"/>
      <c r="M688" s="23"/>
      <c r="P688" s="149"/>
      <c r="Y688" s="23"/>
    </row>
    <row r="689" spans="5:25" ht="13">
      <c r="E689" s="23"/>
      <c r="M689" s="23"/>
      <c r="P689" s="149"/>
      <c r="Y689" s="23"/>
    </row>
    <row r="690" spans="5:25" ht="13">
      <c r="E690" s="23"/>
      <c r="M690" s="23"/>
      <c r="P690" s="149"/>
      <c r="Y690" s="23"/>
    </row>
    <row r="691" spans="5:25" ht="13">
      <c r="E691" s="23"/>
      <c r="M691" s="23"/>
      <c r="P691" s="149"/>
      <c r="Y691" s="23"/>
    </row>
    <row r="692" spans="5:25" ht="13">
      <c r="E692" s="23"/>
      <c r="M692" s="23"/>
      <c r="P692" s="149"/>
      <c r="Y692" s="23"/>
    </row>
    <row r="693" spans="5:25" ht="13">
      <c r="E693" s="23"/>
      <c r="M693" s="23"/>
      <c r="P693" s="149"/>
      <c r="Y693" s="23"/>
    </row>
    <row r="694" spans="5:25" ht="13">
      <c r="E694" s="23"/>
      <c r="M694" s="23"/>
      <c r="P694" s="149"/>
      <c r="Y694" s="23"/>
    </row>
    <row r="695" spans="5:25" ht="13">
      <c r="E695" s="23"/>
      <c r="M695" s="23"/>
      <c r="P695" s="149"/>
      <c r="Y695" s="23"/>
    </row>
    <row r="696" spans="5:25" ht="13">
      <c r="E696" s="23"/>
      <c r="M696" s="23"/>
      <c r="P696" s="149"/>
      <c r="Y696" s="23"/>
    </row>
    <row r="697" spans="5:25" ht="13">
      <c r="E697" s="23"/>
      <c r="M697" s="23"/>
      <c r="P697" s="149"/>
      <c r="Y697" s="23"/>
    </row>
    <row r="698" spans="5:25" ht="13">
      <c r="E698" s="23"/>
      <c r="M698" s="23"/>
      <c r="P698" s="149"/>
      <c r="Y698" s="23"/>
    </row>
    <row r="699" spans="5:25" ht="13">
      <c r="E699" s="23"/>
      <c r="M699" s="23"/>
      <c r="P699" s="149"/>
      <c r="Y699" s="23"/>
    </row>
    <row r="700" spans="5:25" ht="13">
      <c r="E700" s="23"/>
      <c r="M700" s="23"/>
      <c r="P700" s="149"/>
      <c r="Y700" s="23"/>
    </row>
    <row r="701" spans="5:25" ht="13">
      <c r="E701" s="23"/>
      <c r="M701" s="23"/>
      <c r="P701" s="149"/>
      <c r="Y701" s="23"/>
    </row>
    <row r="702" spans="5:25" ht="13">
      <c r="E702" s="23"/>
      <c r="M702" s="23"/>
      <c r="P702" s="149"/>
      <c r="Y702" s="23"/>
    </row>
    <row r="703" spans="5:25" ht="13">
      <c r="E703" s="23"/>
      <c r="M703" s="23"/>
      <c r="P703" s="149"/>
      <c r="Y703" s="23"/>
    </row>
    <row r="704" spans="5:25" ht="13">
      <c r="E704" s="23"/>
      <c r="M704" s="23"/>
      <c r="P704" s="149"/>
      <c r="Y704" s="23"/>
    </row>
    <row r="705" spans="5:25" ht="13">
      <c r="E705" s="23"/>
      <c r="M705" s="23"/>
      <c r="P705" s="149"/>
      <c r="Y705" s="23"/>
    </row>
    <row r="706" spans="5:25" ht="13">
      <c r="E706" s="23"/>
      <c r="M706" s="23"/>
      <c r="P706" s="149"/>
      <c r="Y706" s="23"/>
    </row>
    <row r="707" spans="5:25" ht="13">
      <c r="E707" s="23"/>
      <c r="M707" s="23"/>
      <c r="P707" s="149"/>
      <c r="Y707" s="23"/>
    </row>
    <row r="708" spans="5:25" ht="13">
      <c r="E708" s="23"/>
      <c r="M708" s="23"/>
      <c r="P708" s="149"/>
      <c r="Y708" s="23"/>
    </row>
    <row r="709" spans="5:25" ht="13">
      <c r="E709" s="23"/>
      <c r="M709" s="23"/>
      <c r="P709" s="149"/>
      <c r="Y709" s="23"/>
    </row>
    <row r="710" spans="5:25" ht="13">
      <c r="E710" s="23"/>
      <c r="M710" s="23"/>
      <c r="P710" s="149"/>
      <c r="Y710" s="23"/>
    </row>
    <row r="711" spans="5:25" ht="13">
      <c r="E711" s="23"/>
      <c r="M711" s="23"/>
      <c r="P711" s="149"/>
      <c r="Y711" s="23"/>
    </row>
    <row r="712" spans="5:25" ht="13">
      <c r="E712" s="23"/>
      <c r="M712" s="23"/>
      <c r="P712" s="149"/>
      <c r="Y712" s="23"/>
    </row>
    <row r="713" spans="5:25" ht="13">
      <c r="E713" s="23"/>
      <c r="M713" s="23"/>
      <c r="P713" s="149"/>
      <c r="Y713" s="23"/>
    </row>
    <row r="714" spans="5:25" ht="13">
      <c r="E714" s="23"/>
      <c r="M714" s="23"/>
      <c r="P714" s="149"/>
      <c r="Y714" s="23"/>
    </row>
    <row r="715" spans="5:25" ht="13">
      <c r="E715" s="23"/>
      <c r="M715" s="23"/>
      <c r="P715" s="149"/>
      <c r="Y715" s="23"/>
    </row>
    <row r="716" spans="5:25" ht="13">
      <c r="E716" s="23"/>
      <c r="M716" s="23"/>
      <c r="P716" s="149"/>
      <c r="Y716" s="23"/>
    </row>
    <row r="717" spans="5:25" ht="13">
      <c r="E717" s="23"/>
      <c r="M717" s="23"/>
      <c r="P717" s="149"/>
      <c r="Y717" s="23"/>
    </row>
    <row r="718" spans="5:25" ht="13">
      <c r="E718" s="23"/>
      <c r="M718" s="23"/>
      <c r="P718" s="149"/>
      <c r="Y718" s="23"/>
    </row>
    <row r="719" spans="5:25" ht="13">
      <c r="E719" s="23"/>
      <c r="M719" s="23"/>
      <c r="P719" s="149"/>
      <c r="Y719" s="23"/>
    </row>
    <row r="720" spans="5:25" ht="13">
      <c r="E720" s="23"/>
      <c r="M720" s="23"/>
      <c r="P720" s="149"/>
      <c r="Y720" s="23"/>
    </row>
    <row r="721" spans="5:25" ht="13">
      <c r="E721" s="23"/>
      <c r="M721" s="23"/>
      <c r="P721" s="149"/>
      <c r="Y721" s="23"/>
    </row>
    <row r="722" spans="5:25" ht="13">
      <c r="E722" s="23"/>
      <c r="M722" s="23"/>
      <c r="P722" s="149"/>
      <c r="Y722" s="23"/>
    </row>
    <row r="723" spans="5:25" ht="13">
      <c r="E723" s="23"/>
      <c r="M723" s="23"/>
      <c r="P723" s="149"/>
      <c r="Y723" s="23"/>
    </row>
    <row r="724" spans="5:25" ht="13">
      <c r="E724" s="23"/>
      <c r="M724" s="23"/>
      <c r="P724" s="149"/>
      <c r="Y724" s="23"/>
    </row>
    <row r="725" spans="5:25" ht="13">
      <c r="E725" s="23"/>
      <c r="M725" s="23"/>
      <c r="P725" s="149"/>
      <c r="Y725" s="23"/>
    </row>
    <row r="726" spans="5:25" ht="13">
      <c r="E726" s="23"/>
      <c r="M726" s="23"/>
      <c r="P726" s="149"/>
      <c r="Y726" s="23"/>
    </row>
    <row r="727" spans="5:25" ht="13">
      <c r="E727" s="23"/>
      <c r="M727" s="23"/>
      <c r="P727" s="149"/>
      <c r="Y727" s="23"/>
    </row>
    <row r="728" spans="5:25" ht="13">
      <c r="E728" s="23"/>
      <c r="M728" s="23"/>
      <c r="P728" s="149"/>
      <c r="Y728" s="23"/>
    </row>
    <row r="729" spans="5:25" ht="13">
      <c r="E729" s="23"/>
      <c r="M729" s="23"/>
      <c r="P729" s="149"/>
      <c r="Y729" s="23"/>
    </row>
    <row r="730" spans="5:25" ht="13">
      <c r="E730" s="23"/>
      <c r="M730" s="23"/>
      <c r="P730" s="149"/>
      <c r="Y730" s="23"/>
    </row>
    <row r="731" spans="5:25" ht="13">
      <c r="E731" s="23"/>
      <c r="M731" s="23"/>
      <c r="P731" s="149"/>
      <c r="Y731" s="23"/>
    </row>
    <row r="732" spans="5:25" ht="13">
      <c r="E732" s="23"/>
      <c r="M732" s="23"/>
      <c r="P732" s="149"/>
      <c r="Y732" s="23"/>
    </row>
    <row r="733" spans="5:25" ht="13">
      <c r="E733" s="23"/>
      <c r="M733" s="23"/>
      <c r="P733" s="149"/>
      <c r="Y733" s="23"/>
    </row>
    <row r="734" spans="5:25" ht="13">
      <c r="E734" s="23"/>
      <c r="M734" s="23"/>
      <c r="P734" s="149"/>
      <c r="Y734" s="23"/>
    </row>
    <row r="735" spans="5:25" ht="13">
      <c r="E735" s="23"/>
      <c r="M735" s="23"/>
      <c r="P735" s="149"/>
      <c r="Y735" s="23"/>
    </row>
    <row r="736" spans="5:25" ht="13">
      <c r="E736" s="23"/>
      <c r="M736" s="23"/>
      <c r="P736" s="149"/>
      <c r="Y736" s="23"/>
    </row>
    <row r="737" spans="5:25" ht="13">
      <c r="E737" s="23"/>
      <c r="M737" s="23"/>
      <c r="P737" s="149"/>
      <c r="Y737" s="23"/>
    </row>
    <row r="738" spans="5:25" ht="13">
      <c r="E738" s="23"/>
      <c r="M738" s="23"/>
      <c r="P738" s="149"/>
      <c r="Y738" s="23"/>
    </row>
    <row r="739" spans="5:25" ht="13">
      <c r="E739" s="23"/>
      <c r="M739" s="23"/>
      <c r="P739" s="149"/>
      <c r="Y739" s="23"/>
    </row>
    <row r="740" spans="5:25" ht="13">
      <c r="E740" s="23"/>
      <c r="M740" s="23"/>
      <c r="P740" s="149"/>
      <c r="Y740" s="23"/>
    </row>
    <row r="741" spans="5:25" ht="13">
      <c r="E741" s="23"/>
      <c r="M741" s="23"/>
      <c r="P741" s="149"/>
      <c r="Y741" s="23"/>
    </row>
    <row r="742" spans="5:25" ht="13">
      <c r="E742" s="23"/>
      <c r="M742" s="23"/>
      <c r="P742" s="149"/>
      <c r="Y742" s="23"/>
    </row>
    <row r="743" spans="5:25" ht="13">
      <c r="E743" s="23"/>
      <c r="M743" s="23"/>
      <c r="P743" s="149"/>
      <c r="Y743" s="23"/>
    </row>
    <row r="744" spans="5:25" ht="13">
      <c r="E744" s="23"/>
      <c r="M744" s="23"/>
      <c r="P744" s="149"/>
      <c r="Y744" s="23"/>
    </row>
    <row r="745" spans="5:25" ht="13">
      <c r="E745" s="23"/>
      <c r="M745" s="23"/>
      <c r="P745" s="149"/>
      <c r="Y745" s="23"/>
    </row>
    <row r="746" spans="5:25" ht="13">
      <c r="E746" s="23"/>
      <c r="M746" s="23"/>
      <c r="P746" s="149"/>
      <c r="Y746" s="23"/>
    </row>
    <row r="747" spans="5:25" ht="13">
      <c r="E747" s="23"/>
      <c r="M747" s="23"/>
      <c r="P747" s="149"/>
      <c r="Y747" s="23"/>
    </row>
    <row r="748" spans="5:25" ht="13">
      <c r="E748" s="23"/>
      <c r="M748" s="23"/>
      <c r="P748" s="149"/>
      <c r="Y748" s="23"/>
    </row>
    <row r="749" spans="5:25" ht="13">
      <c r="E749" s="23"/>
      <c r="M749" s="23"/>
      <c r="P749" s="149"/>
      <c r="Y749" s="23"/>
    </row>
    <row r="750" spans="5:25" ht="13">
      <c r="E750" s="23"/>
      <c r="M750" s="23"/>
      <c r="P750" s="149"/>
      <c r="Y750" s="23"/>
    </row>
    <row r="751" spans="5:25" ht="13">
      <c r="E751" s="23"/>
      <c r="M751" s="23"/>
      <c r="P751" s="149"/>
      <c r="Y751" s="23"/>
    </row>
    <row r="752" spans="5:25" ht="13">
      <c r="E752" s="23"/>
      <c r="M752" s="23"/>
      <c r="P752" s="149"/>
      <c r="Y752" s="23"/>
    </row>
    <row r="753" spans="5:25" ht="13">
      <c r="E753" s="23"/>
      <c r="M753" s="23"/>
      <c r="P753" s="149"/>
      <c r="Y753" s="23"/>
    </row>
    <row r="754" spans="5:25" ht="13">
      <c r="E754" s="23"/>
      <c r="M754" s="23"/>
      <c r="P754" s="149"/>
      <c r="Y754" s="23"/>
    </row>
    <row r="755" spans="5:25" ht="13">
      <c r="E755" s="23"/>
      <c r="M755" s="23"/>
      <c r="P755" s="149"/>
      <c r="Y755" s="23"/>
    </row>
    <row r="756" spans="5:25" ht="13">
      <c r="E756" s="23"/>
      <c r="M756" s="23"/>
      <c r="P756" s="149"/>
      <c r="Y756" s="23"/>
    </row>
    <row r="757" spans="5:25" ht="13">
      <c r="E757" s="23"/>
      <c r="M757" s="23"/>
      <c r="P757" s="149"/>
      <c r="Y757" s="23"/>
    </row>
    <row r="758" spans="5:25" ht="13">
      <c r="E758" s="23"/>
      <c r="M758" s="23"/>
      <c r="P758" s="149"/>
      <c r="Y758" s="23"/>
    </row>
    <row r="759" spans="5:25" ht="13">
      <c r="E759" s="23"/>
      <c r="M759" s="23"/>
      <c r="P759" s="149"/>
      <c r="Y759" s="23"/>
    </row>
    <row r="760" spans="5:25" ht="13">
      <c r="E760" s="23"/>
      <c r="M760" s="23"/>
      <c r="P760" s="149"/>
      <c r="Y760" s="23"/>
    </row>
    <row r="761" spans="5:25" ht="13">
      <c r="E761" s="23"/>
      <c r="M761" s="23"/>
      <c r="P761" s="149"/>
      <c r="Y761" s="23"/>
    </row>
    <row r="762" spans="5:25" ht="13">
      <c r="E762" s="23"/>
      <c r="M762" s="23"/>
      <c r="P762" s="149"/>
      <c r="Y762" s="23"/>
    </row>
    <row r="763" spans="5:25" ht="13">
      <c r="E763" s="23"/>
      <c r="M763" s="23"/>
      <c r="P763" s="149"/>
      <c r="Y763" s="23"/>
    </row>
    <row r="764" spans="5:25" ht="13">
      <c r="E764" s="23"/>
      <c r="M764" s="23"/>
      <c r="P764" s="149"/>
      <c r="Y764" s="23"/>
    </row>
    <row r="765" spans="5:25" ht="13">
      <c r="E765" s="23"/>
      <c r="M765" s="23"/>
      <c r="P765" s="149"/>
      <c r="Y765" s="23"/>
    </row>
    <row r="766" spans="5:25" ht="13">
      <c r="E766" s="23"/>
      <c r="M766" s="23"/>
      <c r="P766" s="149"/>
      <c r="Y766" s="23"/>
    </row>
    <row r="767" spans="5:25" ht="13">
      <c r="E767" s="23"/>
      <c r="M767" s="23"/>
      <c r="P767" s="149"/>
      <c r="Y767" s="23"/>
    </row>
    <row r="768" spans="5:25" ht="13">
      <c r="E768" s="23"/>
      <c r="M768" s="23"/>
      <c r="P768" s="149"/>
      <c r="Y768" s="23"/>
    </row>
    <row r="769" spans="5:25" ht="13">
      <c r="E769" s="23"/>
      <c r="M769" s="23"/>
      <c r="P769" s="149"/>
      <c r="Y769" s="23"/>
    </row>
    <row r="770" spans="5:25" ht="13">
      <c r="E770" s="23"/>
      <c r="M770" s="23"/>
      <c r="P770" s="149"/>
      <c r="Y770" s="23"/>
    </row>
    <row r="771" spans="5:25" ht="13">
      <c r="E771" s="23"/>
      <c r="M771" s="23"/>
      <c r="P771" s="149"/>
      <c r="Y771" s="23"/>
    </row>
    <row r="772" spans="5:25" ht="13">
      <c r="E772" s="23"/>
      <c r="M772" s="23"/>
      <c r="P772" s="149"/>
      <c r="Y772" s="23"/>
    </row>
    <row r="773" spans="5:25" ht="13">
      <c r="E773" s="23"/>
      <c r="M773" s="23"/>
      <c r="P773" s="149"/>
      <c r="Y773" s="23"/>
    </row>
    <row r="774" spans="5:25" ht="13">
      <c r="E774" s="23"/>
      <c r="M774" s="23"/>
      <c r="P774" s="149"/>
      <c r="Y774" s="23"/>
    </row>
    <row r="775" spans="5:25" ht="13">
      <c r="E775" s="23"/>
      <c r="M775" s="23"/>
      <c r="P775" s="149"/>
      <c r="Y775" s="23"/>
    </row>
    <row r="776" spans="5:25" ht="13">
      <c r="E776" s="23"/>
      <c r="M776" s="23"/>
      <c r="P776" s="149"/>
      <c r="Y776" s="23"/>
    </row>
    <row r="777" spans="5:25" ht="13">
      <c r="E777" s="23"/>
      <c r="M777" s="23"/>
      <c r="P777" s="149"/>
      <c r="Y777" s="23"/>
    </row>
    <row r="778" spans="5:25" ht="13">
      <c r="E778" s="23"/>
      <c r="M778" s="23"/>
      <c r="P778" s="149"/>
      <c r="Y778" s="23"/>
    </row>
    <row r="779" spans="5:25" ht="13">
      <c r="E779" s="23"/>
      <c r="M779" s="23"/>
      <c r="P779" s="149"/>
      <c r="Y779" s="23"/>
    </row>
    <row r="780" spans="5:25" ht="13">
      <c r="E780" s="23"/>
      <c r="M780" s="23"/>
      <c r="P780" s="149"/>
      <c r="Y780" s="23"/>
    </row>
    <row r="781" spans="5:25" ht="13">
      <c r="E781" s="23"/>
      <c r="M781" s="23"/>
      <c r="P781" s="149"/>
      <c r="Y781" s="23"/>
    </row>
    <row r="782" spans="5:25" ht="13">
      <c r="E782" s="23"/>
      <c r="M782" s="23"/>
      <c r="P782" s="149"/>
      <c r="Y782" s="23"/>
    </row>
    <row r="783" spans="5:25" ht="13">
      <c r="E783" s="23"/>
      <c r="M783" s="23"/>
      <c r="P783" s="149"/>
      <c r="Y783" s="23"/>
    </row>
    <row r="784" spans="5:25" ht="13">
      <c r="E784" s="23"/>
      <c r="M784" s="23"/>
      <c r="P784" s="149"/>
      <c r="Y784" s="23"/>
    </row>
    <row r="785" spans="5:25" ht="13">
      <c r="E785" s="23"/>
      <c r="M785" s="23"/>
      <c r="P785" s="149"/>
      <c r="Y785" s="23"/>
    </row>
    <row r="786" spans="5:25" ht="13">
      <c r="E786" s="23"/>
      <c r="M786" s="23"/>
      <c r="P786" s="149"/>
      <c r="Y786" s="23"/>
    </row>
    <row r="787" spans="5:25" ht="13">
      <c r="E787" s="23"/>
      <c r="M787" s="23"/>
      <c r="P787" s="149"/>
      <c r="Y787" s="23"/>
    </row>
    <row r="788" spans="5:25" ht="13">
      <c r="E788" s="23"/>
      <c r="M788" s="23"/>
      <c r="P788" s="149"/>
      <c r="Y788" s="23"/>
    </row>
    <row r="789" spans="5:25" ht="13">
      <c r="E789" s="23"/>
      <c r="M789" s="23"/>
      <c r="P789" s="149"/>
      <c r="Y789" s="23"/>
    </row>
    <row r="790" spans="5:25" ht="13">
      <c r="E790" s="23"/>
      <c r="M790" s="23"/>
      <c r="P790" s="149"/>
      <c r="Y790" s="23"/>
    </row>
    <row r="791" spans="5:25" ht="13">
      <c r="E791" s="23"/>
      <c r="M791" s="23"/>
      <c r="P791" s="149"/>
      <c r="Y791" s="23"/>
    </row>
    <row r="792" spans="5:25" ht="13">
      <c r="E792" s="23"/>
      <c r="M792" s="23"/>
      <c r="P792" s="149"/>
      <c r="Y792" s="23"/>
    </row>
    <row r="793" spans="5:25" ht="13">
      <c r="E793" s="23"/>
      <c r="M793" s="23"/>
      <c r="P793" s="149"/>
      <c r="Y793" s="23"/>
    </row>
    <row r="794" spans="5:25" ht="13">
      <c r="E794" s="23"/>
      <c r="M794" s="23"/>
      <c r="P794" s="149"/>
      <c r="Y794" s="23"/>
    </row>
    <row r="795" spans="5:25" ht="13">
      <c r="E795" s="23"/>
      <c r="M795" s="23"/>
      <c r="P795" s="149"/>
      <c r="Y795" s="23"/>
    </row>
    <row r="796" spans="5:25" ht="13">
      <c r="E796" s="23"/>
      <c r="M796" s="23"/>
      <c r="P796" s="149"/>
      <c r="Y796" s="23"/>
    </row>
    <row r="797" spans="5:25" ht="13">
      <c r="E797" s="23"/>
      <c r="M797" s="23"/>
      <c r="P797" s="149"/>
      <c r="Y797" s="23"/>
    </row>
    <row r="798" spans="5:25" ht="13">
      <c r="E798" s="23"/>
      <c r="M798" s="23"/>
      <c r="P798" s="149"/>
      <c r="Y798" s="23"/>
    </row>
    <row r="799" spans="5:25" ht="13">
      <c r="E799" s="23"/>
      <c r="M799" s="23"/>
      <c r="P799" s="149"/>
      <c r="Y799" s="23"/>
    </row>
    <row r="800" spans="5:25" ht="13">
      <c r="E800" s="23"/>
      <c r="M800" s="23"/>
      <c r="P800" s="149"/>
      <c r="Y800" s="23"/>
    </row>
    <row r="801" spans="5:25" ht="13">
      <c r="E801" s="23"/>
      <c r="M801" s="23"/>
      <c r="P801" s="149"/>
      <c r="Y801" s="23"/>
    </row>
    <row r="802" spans="5:25" ht="13">
      <c r="E802" s="23"/>
      <c r="M802" s="23"/>
      <c r="P802" s="149"/>
      <c r="Y802" s="23"/>
    </row>
    <row r="803" spans="5:25" ht="13">
      <c r="E803" s="23"/>
      <c r="M803" s="23"/>
      <c r="P803" s="149"/>
      <c r="Y803" s="23"/>
    </row>
    <row r="804" spans="5:25" ht="13">
      <c r="E804" s="23"/>
      <c r="M804" s="23"/>
      <c r="P804" s="149"/>
      <c r="Y804" s="23"/>
    </row>
    <row r="805" spans="5:25" ht="13">
      <c r="E805" s="23"/>
      <c r="M805" s="23"/>
      <c r="P805" s="149"/>
      <c r="Y805" s="23"/>
    </row>
    <row r="806" spans="5:25" ht="13">
      <c r="E806" s="23"/>
      <c r="M806" s="23"/>
      <c r="P806" s="149"/>
      <c r="Y806" s="23"/>
    </row>
    <row r="807" spans="5:25" ht="13">
      <c r="E807" s="23"/>
      <c r="M807" s="23"/>
      <c r="P807" s="149"/>
      <c r="Y807" s="23"/>
    </row>
    <row r="808" spans="5:25" ht="13">
      <c r="E808" s="23"/>
      <c r="M808" s="23"/>
      <c r="P808" s="149"/>
      <c r="Y808" s="23"/>
    </row>
    <row r="809" spans="5:25" ht="13">
      <c r="E809" s="23"/>
      <c r="M809" s="23"/>
      <c r="P809" s="149"/>
      <c r="Y809" s="23"/>
    </row>
    <row r="810" spans="5:25" ht="13">
      <c r="E810" s="23"/>
      <c r="M810" s="23"/>
      <c r="P810" s="149"/>
      <c r="Y810" s="23"/>
    </row>
    <row r="811" spans="5:25" ht="13">
      <c r="E811" s="23"/>
      <c r="M811" s="23"/>
      <c r="P811" s="149"/>
      <c r="Y811" s="23"/>
    </row>
    <row r="812" spans="5:25" ht="13">
      <c r="E812" s="23"/>
      <c r="M812" s="23"/>
      <c r="P812" s="149"/>
      <c r="Y812" s="23"/>
    </row>
    <row r="813" spans="5:25" ht="13">
      <c r="E813" s="23"/>
      <c r="M813" s="23"/>
      <c r="P813" s="149"/>
      <c r="Y813" s="23"/>
    </row>
    <row r="814" spans="5:25" ht="13">
      <c r="E814" s="23"/>
      <c r="M814" s="23"/>
      <c r="P814" s="149"/>
      <c r="Y814" s="23"/>
    </row>
    <row r="815" spans="5:25" ht="13">
      <c r="E815" s="23"/>
      <c r="M815" s="23"/>
      <c r="P815" s="149"/>
      <c r="Y815" s="23"/>
    </row>
    <row r="816" spans="5:25" ht="13">
      <c r="E816" s="23"/>
      <c r="M816" s="23"/>
      <c r="P816" s="149"/>
      <c r="Y816" s="23"/>
    </row>
    <row r="817" spans="5:25" ht="13">
      <c r="E817" s="23"/>
      <c r="M817" s="23"/>
      <c r="P817" s="149"/>
      <c r="Y817" s="23"/>
    </row>
    <row r="818" spans="5:25" ht="13">
      <c r="E818" s="23"/>
      <c r="M818" s="23"/>
      <c r="P818" s="149"/>
      <c r="Y818" s="23"/>
    </row>
    <row r="819" spans="5:25" ht="13">
      <c r="E819" s="23"/>
      <c r="M819" s="23"/>
      <c r="P819" s="149"/>
      <c r="Y819" s="23"/>
    </row>
    <row r="820" spans="5:25" ht="13">
      <c r="E820" s="23"/>
      <c r="M820" s="23"/>
      <c r="P820" s="149"/>
      <c r="Y820" s="23"/>
    </row>
    <row r="821" spans="5:25" ht="13">
      <c r="E821" s="23"/>
      <c r="M821" s="23"/>
      <c r="P821" s="149"/>
      <c r="Y821" s="23"/>
    </row>
    <row r="822" spans="5:25" ht="13">
      <c r="E822" s="23"/>
      <c r="M822" s="23"/>
      <c r="P822" s="149"/>
      <c r="Y822" s="23"/>
    </row>
    <row r="823" spans="5:25" ht="13">
      <c r="E823" s="23"/>
      <c r="M823" s="23"/>
      <c r="P823" s="149"/>
      <c r="Y823" s="23"/>
    </row>
    <row r="824" spans="5:25" ht="13">
      <c r="E824" s="23"/>
      <c r="M824" s="23"/>
      <c r="P824" s="149"/>
      <c r="Y824" s="23"/>
    </row>
    <row r="825" spans="5:25" ht="13">
      <c r="E825" s="23"/>
      <c r="M825" s="23"/>
      <c r="P825" s="149"/>
      <c r="Y825" s="23"/>
    </row>
    <row r="826" spans="5:25" ht="13">
      <c r="E826" s="23"/>
      <c r="M826" s="23"/>
      <c r="P826" s="149"/>
      <c r="Y826" s="23"/>
    </row>
    <row r="827" spans="5:25" ht="13">
      <c r="E827" s="23"/>
      <c r="M827" s="23"/>
      <c r="P827" s="149"/>
      <c r="Y827" s="23"/>
    </row>
    <row r="828" spans="5:25" ht="13">
      <c r="E828" s="23"/>
      <c r="M828" s="23"/>
      <c r="P828" s="149"/>
      <c r="Y828" s="23"/>
    </row>
    <row r="829" spans="5:25" ht="13">
      <c r="E829" s="23"/>
      <c r="M829" s="23"/>
      <c r="P829" s="149"/>
      <c r="Y829" s="23"/>
    </row>
    <row r="830" spans="5:25" ht="13">
      <c r="E830" s="23"/>
      <c r="M830" s="23"/>
      <c r="P830" s="149"/>
      <c r="Y830" s="23"/>
    </row>
    <row r="831" spans="5:25" ht="13">
      <c r="E831" s="23"/>
      <c r="M831" s="23"/>
      <c r="P831" s="149"/>
      <c r="Y831" s="23"/>
    </row>
    <row r="832" spans="5:25" ht="13">
      <c r="E832" s="23"/>
      <c r="M832" s="23"/>
      <c r="P832" s="149"/>
      <c r="Y832" s="23"/>
    </row>
    <row r="833" spans="5:25" ht="13">
      <c r="E833" s="23"/>
      <c r="M833" s="23"/>
      <c r="P833" s="149"/>
      <c r="Y833" s="23"/>
    </row>
    <row r="834" spans="5:25" ht="13">
      <c r="E834" s="23"/>
      <c r="M834" s="23"/>
      <c r="P834" s="149"/>
      <c r="Y834" s="23"/>
    </row>
    <row r="835" spans="5:25" ht="13">
      <c r="E835" s="23"/>
      <c r="M835" s="23"/>
      <c r="P835" s="149"/>
      <c r="Y835" s="23"/>
    </row>
    <row r="836" spans="5:25" ht="13">
      <c r="E836" s="23"/>
      <c r="M836" s="23"/>
      <c r="P836" s="149"/>
      <c r="Y836" s="23"/>
    </row>
    <row r="837" spans="5:25" ht="13">
      <c r="E837" s="23"/>
      <c r="M837" s="23"/>
      <c r="P837" s="149"/>
      <c r="Y837" s="23"/>
    </row>
    <row r="838" spans="5:25" ht="13">
      <c r="E838" s="23"/>
      <c r="M838" s="23"/>
      <c r="P838" s="149"/>
      <c r="Y838" s="23"/>
    </row>
    <row r="839" spans="5:25" ht="13">
      <c r="E839" s="23"/>
      <c r="M839" s="23"/>
      <c r="P839" s="149"/>
      <c r="Y839" s="23"/>
    </row>
    <row r="840" spans="5:25" ht="13">
      <c r="E840" s="23"/>
      <c r="M840" s="23"/>
      <c r="P840" s="149"/>
      <c r="Y840" s="23"/>
    </row>
    <row r="841" spans="5:25" ht="13">
      <c r="E841" s="23"/>
      <c r="M841" s="23"/>
      <c r="P841" s="149"/>
      <c r="Y841" s="23"/>
    </row>
    <row r="842" spans="5:25" ht="13">
      <c r="E842" s="23"/>
      <c r="M842" s="23"/>
      <c r="P842" s="149"/>
      <c r="Y842" s="23"/>
    </row>
    <row r="843" spans="5:25" ht="13">
      <c r="E843" s="23"/>
      <c r="M843" s="23"/>
      <c r="P843" s="149"/>
      <c r="Y843" s="23"/>
    </row>
    <row r="844" spans="5:25" ht="13">
      <c r="E844" s="23"/>
      <c r="M844" s="23"/>
      <c r="P844" s="149"/>
      <c r="Y844" s="23"/>
    </row>
    <row r="845" spans="5:25" ht="13">
      <c r="E845" s="23"/>
      <c r="M845" s="23"/>
      <c r="P845" s="149"/>
      <c r="Y845" s="23"/>
    </row>
    <row r="846" spans="5:25" ht="13">
      <c r="E846" s="23"/>
      <c r="M846" s="23"/>
      <c r="P846" s="149"/>
      <c r="Y846" s="23"/>
    </row>
    <row r="847" spans="5:25" ht="13">
      <c r="E847" s="23"/>
      <c r="M847" s="23"/>
      <c r="P847" s="149"/>
      <c r="Y847" s="23"/>
    </row>
    <row r="848" spans="5:25" ht="13">
      <c r="E848" s="23"/>
      <c r="M848" s="23"/>
      <c r="P848" s="149"/>
      <c r="Y848" s="23"/>
    </row>
    <row r="849" spans="5:25" ht="13">
      <c r="E849" s="23"/>
      <c r="M849" s="23"/>
      <c r="P849" s="149"/>
      <c r="Y849" s="23"/>
    </row>
    <row r="850" spans="5:25" ht="13">
      <c r="E850" s="23"/>
      <c r="M850" s="23"/>
      <c r="P850" s="149"/>
      <c r="Y850" s="23"/>
    </row>
    <row r="851" spans="5:25" ht="13">
      <c r="E851" s="23"/>
      <c r="M851" s="23"/>
      <c r="P851" s="149"/>
      <c r="Y851" s="23"/>
    </row>
    <row r="852" spans="5:25" ht="13">
      <c r="E852" s="23"/>
      <c r="M852" s="23"/>
      <c r="P852" s="149"/>
      <c r="Y852" s="23"/>
    </row>
    <row r="853" spans="5:25" ht="13">
      <c r="E853" s="23"/>
      <c r="M853" s="23"/>
      <c r="P853" s="149"/>
      <c r="Y853" s="23"/>
    </row>
    <row r="854" spans="5:25" ht="13">
      <c r="E854" s="23"/>
      <c r="M854" s="23"/>
      <c r="P854" s="149"/>
      <c r="Y854" s="23"/>
    </row>
    <row r="855" spans="5:25" ht="13">
      <c r="E855" s="23"/>
      <c r="M855" s="23"/>
      <c r="P855" s="149"/>
      <c r="Y855" s="23"/>
    </row>
    <row r="856" spans="5:25" ht="13">
      <c r="E856" s="23"/>
      <c r="M856" s="23"/>
      <c r="P856" s="149"/>
      <c r="Y856" s="23"/>
    </row>
    <row r="857" spans="5:25" ht="13">
      <c r="E857" s="23"/>
      <c r="M857" s="23"/>
      <c r="P857" s="149"/>
      <c r="Y857" s="23"/>
    </row>
    <row r="858" spans="5:25" ht="13">
      <c r="E858" s="23"/>
      <c r="M858" s="23"/>
      <c r="P858" s="149"/>
      <c r="Y858" s="23"/>
    </row>
    <row r="859" spans="5:25" ht="13">
      <c r="E859" s="23"/>
      <c r="M859" s="23"/>
      <c r="P859" s="149"/>
      <c r="Y859" s="23"/>
    </row>
    <row r="860" spans="5:25" ht="13">
      <c r="E860" s="23"/>
      <c r="M860" s="23"/>
      <c r="P860" s="149"/>
      <c r="Y860" s="23"/>
    </row>
    <row r="861" spans="5:25" ht="13">
      <c r="E861" s="23"/>
      <c r="M861" s="23"/>
      <c r="P861" s="149"/>
      <c r="Y861" s="23"/>
    </row>
    <row r="862" spans="5:25" ht="13">
      <c r="E862" s="23"/>
      <c r="M862" s="23"/>
      <c r="P862" s="149"/>
      <c r="Y862" s="23"/>
    </row>
    <row r="863" spans="5:25" ht="13">
      <c r="E863" s="23"/>
      <c r="M863" s="23"/>
      <c r="P863" s="149"/>
      <c r="Y863" s="23"/>
    </row>
    <row r="864" spans="5:25" ht="13">
      <c r="E864" s="23"/>
      <c r="M864" s="23"/>
      <c r="P864" s="149"/>
      <c r="Y864" s="23"/>
    </row>
    <row r="865" spans="5:25" ht="13">
      <c r="E865" s="23"/>
      <c r="M865" s="23"/>
      <c r="P865" s="149"/>
      <c r="Y865" s="23"/>
    </row>
    <row r="866" spans="5:25" ht="13">
      <c r="E866" s="23"/>
      <c r="M866" s="23"/>
      <c r="P866" s="149"/>
      <c r="Y866" s="23"/>
    </row>
    <row r="867" spans="5:25" ht="13">
      <c r="E867" s="23"/>
      <c r="M867" s="23"/>
      <c r="P867" s="149"/>
      <c r="Y867" s="23"/>
    </row>
    <row r="868" spans="5:25" ht="13">
      <c r="E868" s="23"/>
      <c r="M868" s="23"/>
      <c r="P868" s="149"/>
      <c r="Y868" s="23"/>
    </row>
    <row r="869" spans="5:25" ht="13">
      <c r="E869" s="23"/>
      <c r="M869" s="23"/>
      <c r="P869" s="149"/>
      <c r="Y869" s="23"/>
    </row>
    <row r="870" spans="5:25" ht="13">
      <c r="E870" s="23"/>
      <c r="M870" s="23"/>
      <c r="P870" s="149"/>
      <c r="Y870" s="23"/>
    </row>
    <row r="871" spans="5:25" ht="13">
      <c r="E871" s="23"/>
      <c r="M871" s="23"/>
      <c r="P871" s="149"/>
      <c r="Y871" s="23"/>
    </row>
    <row r="872" spans="5:25" ht="13">
      <c r="E872" s="23"/>
      <c r="M872" s="23"/>
      <c r="P872" s="149"/>
      <c r="Y872" s="23"/>
    </row>
    <row r="873" spans="5:25" ht="13">
      <c r="E873" s="23"/>
      <c r="M873" s="23"/>
      <c r="P873" s="149"/>
      <c r="Y873" s="23"/>
    </row>
    <row r="874" spans="5:25" ht="13">
      <c r="E874" s="23"/>
      <c r="M874" s="23"/>
      <c r="P874" s="149"/>
      <c r="Y874" s="23"/>
    </row>
    <row r="875" spans="5:25" ht="13">
      <c r="E875" s="23"/>
      <c r="M875" s="23"/>
      <c r="P875" s="149"/>
      <c r="Y875" s="23"/>
    </row>
    <row r="876" spans="5:25" ht="13">
      <c r="E876" s="23"/>
      <c r="M876" s="23"/>
      <c r="P876" s="149"/>
      <c r="Y876" s="23"/>
    </row>
    <row r="877" spans="5:25" ht="13">
      <c r="E877" s="23"/>
      <c r="M877" s="23"/>
      <c r="P877" s="149"/>
      <c r="Y877" s="23"/>
    </row>
    <row r="878" spans="5:25" ht="13">
      <c r="E878" s="23"/>
      <c r="M878" s="23"/>
      <c r="P878" s="149"/>
      <c r="Y878" s="23"/>
    </row>
    <row r="879" spans="5:25" ht="13">
      <c r="E879" s="23"/>
      <c r="M879" s="23"/>
      <c r="P879" s="149"/>
      <c r="Y879" s="23"/>
    </row>
    <row r="880" spans="5:25" ht="13">
      <c r="E880" s="23"/>
      <c r="M880" s="23"/>
      <c r="P880" s="149"/>
      <c r="Y880" s="23"/>
    </row>
    <row r="881" spans="5:25" ht="13">
      <c r="E881" s="23"/>
      <c r="M881" s="23"/>
      <c r="P881" s="149"/>
      <c r="Y881" s="23"/>
    </row>
    <row r="882" spans="5:25" ht="13">
      <c r="E882" s="23"/>
      <c r="M882" s="23"/>
      <c r="P882" s="149"/>
      <c r="Y882" s="23"/>
    </row>
    <row r="883" spans="5:25" ht="13">
      <c r="E883" s="23"/>
      <c r="M883" s="23"/>
      <c r="P883" s="149"/>
      <c r="Y883" s="23"/>
    </row>
    <row r="884" spans="5:25" ht="13">
      <c r="E884" s="23"/>
      <c r="M884" s="23"/>
      <c r="P884" s="149"/>
      <c r="Y884" s="23"/>
    </row>
    <row r="885" spans="5:25" ht="13">
      <c r="E885" s="23"/>
      <c r="M885" s="23"/>
      <c r="P885" s="149"/>
      <c r="Y885" s="23"/>
    </row>
    <row r="886" spans="5:25" ht="13">
      <c r="E886" s="23"/>
      <c r="M886" s="23"/>
      <c r="P886" s="149"/>
      <c r="Y886" s="23"/>
    </row>
    <row r="887" spans="5:25" ht="13">
      <c r="E887" s="23"/>
      <c r="M887" s="23"/>
      <c r="P887" s="149"/>
      <c r="Y887" s="23"/>
    </row>
    <row r="888" spans="5:25" ht="13">
      <c r="E888" s="23"/>
      <c r="M888" s="23"/>
      <c r="P888" s="149"/>
      <c r="Y888" s="23"/>
    </row>
    <row r="889" spans="5:25" ht="13">
      <c r="E889" s="23"/>
      <c r="M889" s="23"/>
      <c r="P889" s="149"/>
      <c r="Y889" s="23"/>
    </row>
    <row r="890" spans="5:25" ht="13">
      <c r="E890" s="23"/>
      <c r="M890" s="23"/>
      <c r="P890" s="149"/>
      <c r="Y890" s="23"/>
    </row>
    <row r="891" spans="5:25" ht="13">
      <c r="E891" s="23"/>
      <c r="M891" s="23"/>
      <c r="P891" s="149"/>
      <c r="Y891" s="23"/>
    </row>
    <row r="892" spans="5:25" ht="13">
      <c r="E892" s="23"/>
      <c r="M892" s="23"/>
      <c r="P892" s="149"/>
      <c r="Y892" s="23"/>
    </row>
    <row r="893" spans="5:25" ht="13">
      <c r="E893" s="23"/>
      <c r="M893" s="23"/>
      <c r="P893" s="149"/>
      <c r="Y893" s="23"/>
    </row>
    <row r="894" spans="5:25" ht="13">
      <c r="E894" s="23"/>
      <c r="M894" s="23"/>
      <c r="P894" s="149"/>
      <c r="Y894" s="23"/>
    </row>
    <row r="895" spans="5:25" ht="13">
      <c r="E895" s="23"/>
      <c r="M895" s="23"/>
      <c r="P895" s="149"/>
      <c r="Y895" s="23"/>
    </row>
    <row r="896" spans="5:25" ht="13">
      <c r="E896" s="23"/>
      <c r="M896" s="23"/>
      <c r="P896" s="149"/>
      <c r="Y896" s="23"/>
    </row>
    <row r="897" spans="5:25" ht="13">
      <c r="E897" s="23"/>
      <c r="M897" s="23"/>
      <c r="P897" s="149"/>
      <c r="Y897" s="23"/>
    </row>
    <row r="898" spans="5:25" ht="13">
      <c r="E898" s="23"/>
      <c r="M898" s="23"/>
      <c r="P898" s="149"/>
      <c r="Y898" s="23"/>
    </row>
    <row r="899" spans="5:25" ht="13">
      <c r="E899" s="23"/>
      <c r="M899" s="23"/>
      <c r="P899" s="149"/>
      <c r="Y899" s="23"/>
    </row>
    <row r="900" spans="5:25" ht="13">
      <c r="E900" s="23"/>
      <c r="M900" s="23"/>
      <c r="P900" s="149"/>
      <c r="Y900" s="23"/>
    </row>
    <row r="901" spans="5:25" ht="13">
      <c r="E901" s="23"/>
      <c r="M901" s="23"/>
      <c r="P901" s="149"/>
      <c r="Y901" s="23"/>
    </row>
    <row r="902" spans="5:25" ht="13">
      <c r="E902" s="23"/>
      <c r="M902" s="23"/>
      <c r="P902" s="149"/>
      <c r="Y902" s="23"/>
    </row>
    <row r="903" spans="5:25" ht="13">
      <c r="E903" s="23"/>
      <c r="M903" s="23"/>
      <c r="P903" s="149"/>
      <c r="Y903" s="23"/>
    </row>
    <row r="904" spans="5:25" ht="13">
      <c r="E904" s="23"/>
      <c r="M904" s="23"/>
      <c r="P904" s="149"/>
      <c r="Y904" s="23"/>
    </row>
    <row r="905" spans="5:25" ht="13">
      <c r="E905" s="23"/>
      <c r="M905" s="23"/>
      <c r="P905" s="149"/>
      <c r="Y905" s="23"/>
    </row>
    <row r="906" spans="5:25" ht="13">
      <c r="E906" s="23"/>
      <c r="M906" s="23"/>
      <c r="P906" s="149"/>
      <c r="Y906" s="23"/>
    </row>
    <row r="907" spans="5:25" ht="13">
      <c r="E907" s="23"/>
      <c r="M907" s="23"/>
      <c r="P907" s="149"/>
      <c r="Y907" s="23"/>
    </row>
    <row r="908" spans="5:25" ht="13">
      <c r="E908" s="23"/>
      <c r="M908" s="23"/>
      <c r="P908" s="149"/>
      <c r="Y908" s="23"/>
    </row>
    <row r="909" spans="5:25" ht="13">
      <c r="E909" s="23"/>
      <c r="M909" s="23"/>
      <c r="P909" s="149"/>
      <c r="Y909" s="23"/>
    </row>
    <row r="910" spans="5:25" ht="13">
      <c r="E910" s="23"/>
      <c r="M910" s="23"/>
      <c r="P910" s="149"/>
      <c r="Y910" s="23"/>
    </row>
    <row r="911" spans="5:25" ht="13">
      <c r="E911" s="23"/>
      <c r="M911" s="23"/>
      <c r="P911" s="149"/>
      <c r="Y911" s="23"/>
    </row>
    <row r="912" spans="5:25" ht="13">
      <c r="E912" s="23"/>
      <c r="M912" s="23"/>
      <c r="P912" s="149"/>
      <c r="Y912" s="23"/>
    </row>
    <row r="913" spans="5:25" ht="13">
      <c r="E913" s="23"/>
      <c r="M913" s="23"/>
      <c r="P913" s="149"/>
      <c r="Y913" s="23"/>
    </row>
    <row r="914" spans="5:25" ht="13">
      <c r="E914" s="23"/>
      <c r="M914" s="23"/>
      <c r="P914" s="149"/>
      <c r="Y914" s="23"/>
    </row>
    <row r="915" spans="5:25" ht="13">
      <c r="E915" s="23"/>
      <c r="M915" s="23"/>
      <c r="P915" s="149"/>
      <c r="Y915" s="23"/>
    </row>
    <row r="916" spans="5:25" ht="13">
      <c r="E916" s="23"/>
      <c r="M916" s="23"/>
      <c r="P916" s="149"/>
      <c r="Y916" s="23"/>
    </row>
    <row r="917" spans="5:25" ht="13">
      <c r="E917" s="23"/>
      <c r="M917" s="23"/>
      <c r="P917" s="149"/>
      <c r="Y917" s="23"/>
    </row>
    <row r="918" spans="5:25" ht="13">
      <c r="E918" s="23"/>
      <c r="M918" s="23"/>
      <c r="P918" s="149"/>
      <c r="Y918" s="23"/>
    </row>
    <row r="919" spans="5:25" ht="13">
      <c r="E919" s="23"/>
      <c r="M919" s="23"/>
      <c r="P919" s="149"/>
      <c r="Y919" s="23"/>
    </row>
    <row r="920" spans="5:25" ht="13">
      <c r="E920" s="23"/>
      <c r="M920" s="23"/>
      <c r="P920" s="149"/>
      <c r="Y920" s="23"/>
    </row>
    <row r="921" spans="5:25" ht="13">
      <c r="E921" s="23"/>
      <c r="M921" s="23"/>
      <c r="P921" s="149"/>
      <c r="Y921" s="23"/>
    </row>
    <row r="922" spans="5:25" ht="13">
      <c r="E922" s="23"/>
      <c r="M922" s="23"/>
      <c r="P922" s="149"/>
      <c r="Y922" s="23"/>
    </row>
    <row r="923" spans="5:25" ht="13">
      <c r="E923" s="23"/>
      <c r="M923" s="23"/>
      <c r="P923" s="149"/>
      <c r="Y923" s="23"/>
    </row>
    <row r="924" spans="5:25" ht="13">
      <c r="E924" s="23"/>
      <c r="M924" s="23"/>
      <c r="P924" s="149"/>
      <c r="Y924" s="23"/>
    </row>
    <row r="925" spans="5:25" ht="13">
      <c r="E925" s="23"/>
      <c r="M925" s="23"/>
      <c r="P925" s="149"/>
      <c r="Y925" s="23"/>
    </row>
    <row r="926" spans="5:25" ht="13">
      <c r="E926" s="23"/>
      <c r="M926" s="23"/>
      <c r="P926" s="149"/>
      <c r="Y926" s="23"/>
    </row>
    <row r="927" spans="5:25" ht="13">
      <c r="E927" s="23"/>
      <c r="M927" s="23"/>
      <c r="P927" s="149"/>
      <c r="Y927" s="23"/>
    </row>
    <row r="928" spans="5:25" ht="13">
      <c r="E928" s="23"/>
      <c r="M928" s="23"/>
      <c r="P928" s="149"/>
      <c r="Y928" s="23"/>
    </row>
    <row r="929" spans="5:25" ht="13">
      <c r="E929" s="23"/>
      <c r="M929" s="23"/>
      <c r="P929" s="149"/>
      <c r="Y929" s="23"/>
    </row>
    <row r="930" spans="5:25" ht="13">
      <c r="E930" s="23"/>
      <c r="M930" s="23"/>
      <c r="P930" s="149"/>
      <c r="Y930" s="23"/>
    </row>
    <row r="931" spans="5:25" ht="13">
      <c r="E931" s="23"/>
      <c r="M931" s="23"/>
      <c r="P931" s="149"/>
      <c r="Y931" s="23"/>
    </row>
    <row r="932" spans="5:25" ht="13">
      <c r="E932" s="23"/>
      <c r="M932" s="23"/>
      <c r="P932" s="149"/>
      <c r="Y932" s="23"/>
    </row>
    <row r="933" spans="5:25" ht="13">
      <c r="E933" s="23"/>
      <c r="M933" s="23"/>
      <c r="P933" s="149"/>
      <c r="Y933" s="23"/>
    </row>
    <row r="934" spans="5:25" ht="13">
      <c r="E934" s="23"/>
      <c r="M934" s="23"/>
      <c r="P934" s="149"/>
      <c r="Y934" s="23"/>
    </row>
    <row r="935" spans="5:25" ht="13">
      <c r="E935" s="23"/>
      <c r="M935" s="23"/>
      <c r="P935" s="149"/>
      <c r="Y935" s="23"/>
    </row>
    <row r="936" spans="5:25" ht="13">
      <c r="E936" s="23"/>
      <c r="M936" s="23"/>
      <c r="P936" s="149"/>
      <c r="Y936" s="23"/>
    </row>
    <row r="937" spans="5:25" ht="13">
      <c r="E937" s="23"/>
      <c r="M937" s="23"/>
      <c r="P937" s="149"/>
      <c r="Y937" s="23"/>
    </row>
    <row r="938" spans="5:25" ht="13">
      <c r="E938" s="23"/>
      <c r="M938" s="23"/>
      <c r="P938" s="149"/>
      <c r="Y938" s="23"/>
    </row>
    <row r="939" spans="5:25" ht="13">
      <c r="E939" s="23"/>
      <c r="M939" s="23"/>
      <c r="P939" s="149"/>
      <c r="Y939" s="23"/>
    </row>
    <row r="940" spans="5:25" ht="13">
      <c r="E940" s="23"/>
      <c r="M940" s="23"/>
      <c r="P940" s="149"/>
      <c r="Y940" s="23"/>
    </row>
    <row r="941" spans="5:25" ht="13">
      <c r="E941" s="23"/>
      <c r="M941" s="23"/>
      <c r="P941" s="149"/>
      <c r="Y941" s="23"/>
    </row>
    <row r="942" spans="5:25" ht="13">
      <c r="E942" s="23"/>
      <c r="M942" s="23"/>
      <c r="P942" s="149"/>
      <c r="Y942" s="23"/>
    </row>
    <row r="943" spans="5:25" ht="13">
      <c r="E943" s="23"/>
      <c r="M943" s="23"/>
      <c r="P943" s="149"/>
      <c r="Y943" s="23"/>
    </row>
    <row r="944" spans="5:25" ht="13">
      <c r="E944" s="23"/>
      <c r="M944" s="23"/>
      <c r="P944" s="149"/>
      <c r="Y944" s="23"/>
    </row>
    <row r="945" spans="5:25" ht="13">
      <c r="E945" s="23"/>
      <c r="M945" s="23"/>
      <c r="P945" s="149"/>
      <c r="Y945" s="23"/>
    </row>
    <row r="946" spans="5:25" ht="13">
      <c r="E946" s="23"/>
      <c r="M946" s="23"/>
      <c r="P946" s="149"/>
      <c r="Y946" s="23"/>
    </row>
    <row r="947" spans="5:25" ht="13">
      <c r="E947" s="23"/>
      <c r="M947" s="23"/>
      <c r="P947" s="149"/>
      <c r="Y947" s="23"/>
    </row>
    <row r="948" spans="5:25" ht="13">
      <c r="E948" s="23"/>
      <c r="M948" s="23"/>
      <c r="P948" s="149"/>
      <c r="Y948" s="23"/>
    </row>
    <row r="949" spans="5:25" ht="13">
      <c r="E949" s="23"/>
      <c r="M949" s="23"/>
      <c r="P949" s="149"/>
      <c r="Y949" s="23"/>
    </row>
    <row r="950" spans="5:25" ht="13">
      <c r="E950" s="23"/>
      <c r="M950" s="23"/>
      <c r="P950" s="149"/>
      <c r="Y950" s="23"/>
    </row>
    <row r="951" spans="5:25" ht="13">
      <c r="E951" s="23"/>
      <c r="M951" s="23"/>
      <c r="P951" s="149"/>
      <c r="Y951" s="23"/>
    </row>
    <row r="952" spans="5:25" ht="13">
      <c r="E952" s="23"/>
      <c r="M952" s="23"/>
      <c r="P952" s="149"/>
      <c r="Y952" s="23"/>
    </row>
    <row r="953" spans="5:25" ht="13">
      <c r="E953" s="23"/>
      <c r="M953" s="23"/>
      <c r="P953" s="149"/>
      <c r="Y953" s="23"/>
    </row>
    <row r="954" spans="5:25" ht="13">
      <c r="E954" s="23"/>
      <c r="M954" s="23"/>
      <c r="P954" s="149"/>
      <c r="Y954" s="23"/>
    </row>
    <row r="955" spans="5:25" ht="13">
      <c r="E955" s="23"/>
      <c r="M955" s="23"/>
      <c r="P955" s="149"/>
      <c r="Y955" s="23"/>
    </row>
    <row r="956" spans="5:25" ht="13">
      <c r="E956" s="23"/>
      <c r="M956" s="23"/>
      <c r="P956" s="149"/>
      <c r="Y956" s="23"/>
    </row>
    <row r="957" spans="5:25" ht="13">
      <c r="E957" s="23"/>
      <c r="M957" s="23"/>
      <c r="P957" s="149"/>
      <c r="Y957" s="23"/>
    </row>
    <row r="958" spans="5:25" ht="13">
      <c r="E958" s="23"/>
      <c r="M958" s="23"/>
      <c r="P958" s="149"/>
      <c r="Y958" s="23"/>
    </row>
    <row r="959" spans="5:25" ht="13">
      <c r="E959" s="23"/>
      <c r="M959" s="23"/>
      <c r="P959" s="149"/>
      <c r="Y959" s="23"/>
    </row>
    <row r="960" spans="5:25" ht="13">
      <c r="E960" s="23"/>
      <c r="M960" s="23"/>
      <c r="P960" s="149"/>
      <c r="Y960" s="23"/>
    </row>
    <row r="961" spans="5:25" ht="13">
      <c r="E961" s="23"/>
      <c r="M961" s="23"/>
      <c r="P961" s="149"/>
      <c r="Y961" s="23"/>
    </row>
    <row r="962" spans="5:25" ht="13">
      <c r="E962" s="23"/>
      <c r="M962" s="23"/>
      <c r="P962" s="149"/>
      <c r="Y962" s="23"/>
    </row>
    <row r="963" spans="5:25" ht="13">
      <c r="E963" s="23"/>
      <c r="M963" s="23"/>
      <c r="P963" s="149"/>
      <c r="Y963" s="23"/>
    </row>
    <row r="964" spans="5:25" ht="13">
      <c r="E964" s="23"/>
      <c r="M964" s="23"/>
      <c r="P964" s="149"/>
      <c r="Y964" s="23"/>
    </row>
    <row r="965" spans="5:25" ht="13">
      <c r="E965" s="23"/>
      <c r="M965" s="23"/>
      <c r="P965" s="149"/>
      <c r="Y965" s="23"/>
    </row>
    <row r="966" spans="5:25" ht="13">
      <c r="E966" s="23"/>
      <c r="M966" s="23"/>
      <c r="P966" s="149"/>
      <c r="Y966" s="23"/>
    </row>
    <row r="967" spans="5:25" ht="13">
      <c r="E967" s="23"/>
      <c r="M967" s="23"/>
      <c r="P967" s="149"/>
      <c r="Y967" s="23"/>
    </row>
    <row r="968" spans="5:25" ht="13">
      <c r="E968" s="23"/>
      <c r="M968" s="23"/>
      <c r="P968" s="149"/>
      <c r="Y968" s="23"/>
    </row>
    <row r="969" spans="5:25" ht="13">
      <c r="E969" s="23"/>
      <c r="M969" s="23"/>
      <c r="P969" s="149"/>
      <c r="Y969" s="23"/>
    </row>
    <row r="970" spans="5:25" ht="13">
      <c r="E970" s="23"/>
      <c r="M970" s="23"/>
      <c r="P970" s="149"/>
      <c r="Y970" s="23"/>
    </row>
    <row r="971" spans="5:25" ht="13">
      <c r="E971" s="23"/>
      <c r="M971" s="23"/>
      <c r="P971" s="149"/>
      <c r="Y971" s="23"/>
    </row>
    <row r="972" spans="5:25" ht="13">
      <c r="E972" s="23"/>
      <c r="M972" s="23"/>
      <c r="P972" s="149"/>
      <c r="Y972" s="23"/>
    </row>
    <row r="973" spans="5:25" ht="13">
      <c r="E973" s="23"/>
      <c r="M973" s="23"/>
      <c r="P973" s="149"/>
      <c r="Y973" s="23"/>
    </row>
    <row r="974" spans="5:25" ht="13">
      <c r="E974" s="23"/>
      <c r="M974" s="23"/>
      <c r="P974" s="149"/>
      <c r="Y974" s="23"/>
    </row>
    <row r="975" spans="5:25" ht="13">
      <c r="E975" s="23"/>
      <c r="M975" s="23"/>
      <c r="P975" s="149"/>
      <c r="Y975" s="23"/>
    </row>
    <row r="976" spans="5:25" ht="13">
      <c r="E976" s="23"/>
      <c r="M976" s="23"/>
      <c r="P976" s="149"/>
      <c r="Y976" s="23"/>
    </row>
    <row r="977" spans="5:25" ht="13">
      <c r="E977" s="23"/>
      <c r="M977" s="23"/>
      <c r="P977" s="149"/>
      <c r="Y977" s="23"/>
    </row>
    <row r="978" spans="5:25" ht="13">
      <c r="E978" s="23"/>
      <c r="M978" s="23"/>
      <c r="P978" s="149"/>
      <c r="Y978" s="23"/>
    </row>
    <row r="979" spans="5:25" ht="13">
      <c r="E979" s="23"/>
      <c r="M979" s="23"/>
      <c r="P979" s="149"/>
      <c r="Y979" s="23"/>
    </row>
    <row r="980" spans="5:25" ht="13">
      <c r="E980" s="23"/>
      <c r="M980" s="23"/>
      <c r="P980" s="149"/>
      <c r="Y980" s="23"/>
    </row>
    <row r="981" spans="5:25" ht="13">
      <c r="E981" s="23"/>
      <c r="M981" s="23"/>
      <c r="P981" s="149"/>
      <c r="Y981" s="23"/>
    </row>
    <row r="982" spans="5:25" ht="13">
      <c r="E982" s="23"/>
      <c r="M982" s="23"/>
      <c r="P982" s="149"/>
      <c r="Y982" s="23"/>
    </row>
    <row r="983" spans="5:25" ht="13">
      <c r="E983" s="23"/>
      <c r="M983" s="23"/>
      <c r="P983" s="149"/>
      <c r="Y983" s="23"/>
    </row>
    <row r="984" spans="5:25" ht="13">
      <c r="E984" s="23"/>
      <c r="M984" s="23"/>
      <c r="P984" s="149"/>
      <c r="Y984" s="23"/>
    </row>
    <row r="985" spans="5:25" ht="13">
      <c r="E985" s="23"/>
      <c r="M985" s="23"/>
      <c r="P985" s="149"/>
      <c r="Y985" s="23"/>
    </row>
    <row r="986" spans="5:25" ht="13">
      <c r="E986" s="23"/>
      <c r="M986" s="23"/>
      <c r="P986" s="149"/>
      <c r="Y986" s="23"/>
    </row>
    <row r="987" spans="5:25" ht="13">
      <c r="E987" s="23"/>
      <c r="M987" s="23"/>
      <c r="P987" s="149"/>
      <c r="Y987" s="23"/>
    </row>
    <row r="988" spans="5:25" ht="13">
      <c r="E988" s="23"/>
      <c r="M988" s="23"/>
      <c r="P988" s="149"/>
      <c r="Y988" s="23"/>
    </row>
    <row r="989" spans="5:25" ht="13">
      <c r="E989" s="23"/>
      <c r="M989" s="23"/>
      <c r="P989" s="149"/>
      <c r="Y989" s="23"/>
    </row>
    <row r="990" spans="5:25" ht="13">
      <c r="E990" s="23"/>
      <c r="M990" s="23"/>
      <c r="P990" s="149"/>
      <c r="Y990" s="23"/>
    </row>
    <row r="991" spans="5:25" ht="13">
      <c r="E991" s="23"/>
      <c r="M991" s="23"/>
      <c r="P991" s="149"/>
      <c r="Y991" s="23"/>
    </row>
    <row r="992" spans="5:25" ht="13">
      <c r="E992" s="23"/>
      <c r="M992" s="23"/>
      <c r="P992" s="149"/>
      <c r="Y992" s="23"/>
    </row>
    <row r="993" spans="5:25" ht="13">
      <c r="E993" s="23"/>
      <c r="M993" s="23"/>
      <c r="P993" s="149"/>
      <c r="Y993" s="23"/>
    </row>
    <row r="994" spans="5:25" ht="13">
      <c r="E994" s="23"/>
      <c r="M994" s="23"/>
      <c r="P994" s="149"/>
      <c r="Y994" s="23"/>
    </row>
    <row r="995" spans="5:25" ht="13">
      <c r="E995" s="23"/>
      <c r="M995" s="23"/>
      <c r="P995" s="149"/>
      <c r="Y995" s="23"/>
    </row>
    <row r="996" spans="5:25" ht="13">
      <c r="E996" s="23"/>
      <c r="M996" s="23"/>
      <c r="P996" s="149"/>
      <c r="Y996" s="23"/>
    </row>
    <row r="997" spans="5:25" ht="13">
      <c r="E997" s="23"/>
      <c r="M997" s="23"/>
      <c r="P997" s="149"/>
      <c r="Y997" s="23"/>
    </row>
    <row r="998" spans="5:25" ht="13">
      <c r="E998" s="23"/>
      <c r="M998" s="23"/>
      <c r="P998" s="149"/>
      <c r="Y998" s="23"/>
    </row>
    <row r="999" spans="5:25" ht="13">
      <c r="E999" s="23"/>
      <c r="M999" s="23"/>
      <c r="P999" s="149"/>
      <c r="Y999" s="23"/>
    </row>
    <row r="1000" spans="5:25" ht="13">
      <c r="E1000" s="23"/>
      <c r="M1000" s="23"/>
      <c r="P1000" s="149"/>
      <c r="Y1000" s="23"/>
    </row>
    <row r="1001" spans="5:25" ht="13">
      <c r="E1001" s="23"/>
      <c r="M1001" s="23"/>
      <c r="P1001" s="149"/>
      <c r="Y1001" s="23"/>
    </row>
  </sheetData>
  <mergeCells count="22">
    <mergeCell ref="R4:S4"/>
    <mergeCell ref="B5:C5"/>
    <mergeCell ref="V5:W5"/>
    <mergeCell ref="J42:K42"/>
    <mergeCell ref="J43:K43"/>
    <mergeCell ref="J4:K4"/>
    <mergeCell ref="J5:K5"/>
    <mergeCell ref="B42:C42"/>
    <mergeCell ref="D42:E42"/>
    <mergeCell ref="F42:H42"/>
    <mergeCell ref="R42:T42"/>
    <mergeCell ref="B43:C43"/>
    <mergeCell ref="B4:C4"/>
    <mergeCell ref="D4:E4"/>
    <mergeCell ref="F4:H4"/>
    <mergeCell ref="L4:M4"/>
    <mergeCell ref="O4:Q4"/>
    <mergeCell ref="V4:W4"/>
    <mergeCell ref="X4:Y4"/>
    <mergeCell ref="Z4:AA4"/>
    <mergeCell ref="AB4:AD4"/>
    <mergeCell ref="AE4:AF4"/>
  </mergeCells>
  <phoneticPr fontId="6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March S&amp;OP &gt;&gt;</vt:lpstr>
      <vt:lpstr>S&amp;OP March Projection</vt:lpstr>
      <vt:lpstr>Mar Proj with Median</vt:lpstr>
      <vt:lpstr>April S&amp;OP &gt;&gt;</vt:lpstr>
      <vt:lpstr>Apr Proj with Median</vt:lpstr>
      <vt:lpstr>April working</vt:lpstr>
      <vt:lpstr>MayJune S&amp;OP &gt;&gt;</vt:lpstr>
      <vt:lpstr>MayJun Proj</vt:lpstr>
      <vt:lpstr>MayJune working</vt:lpstr>
      <vt:lpstr>July S&amp;OP &gt;&gt;</vt:lpstr>
      <vt:lpstr>July working</vt:lpstr>
      <vt:lpstr>AugSept S&amp;OP</vt:lpstr>
      <vt:lpstr>Mar S&amp;OP_old</vt:lpstr>
      <vt:lpstr>Aug S&amp;OP</vt:lpstr>
      <vt:lpstr>Sep S&amp;OP</vt:lpstr>
      <vt:lpstr>Oct S&amp;OP</vt:lpstr>
      <vt:lpstr>Nov S&amp;OP</vt:lpstr>
      <vt:lpstr>Dec S&amp;OP</vt:lpstr>
      <vt:lpstr>Jan S&amp;OP</vt:lpstr>
      <vt:lpstr>Feb S&amp;OP</vt:lpstr>
      <vt:lpstr>Mar S&amp;OP</vt:lpstr>
      <vt:lpstr>Apr S&amp;OP</vt:lpstr>
      <vt:lpstr>May S&amp;OP</vt:lpstr>
      <vt:lpstr>Jun S&amp;OP</vt:lpstr>
      <vt:lpstr>Jul S&amp;OP</vt:lpstr>
      <vt:lpstr>Mar Proj with Best</vt:lpstr>
      <vt:lpstr>S&amp;OP Weekly tracking(Old)</vt:lpstr>
      <vt:lpstr>S&amp;OP March Projection by 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2022-04-09T18:12:49Z</dcterms:created>
  <dcterms:modified xsi:type="dcterms:W3CDTF">2022-04-09T18:12:49Z</dcterms:modified>
</cp:coreProperties>
</file>