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EC9E31CA-35ED-4F7E-9BEE-A40A90D91E49}" xr6:coauthVersionLast="47" xr6:coauthVersionMax="47" xr10:uidLastSave="{00000000-0000-0000-0000-000000000000}"/>
  <bookViews>
    <workbookView xWindow="0" yWindow="0" windowWidth="28800" windowHeight="16200" activeTab="2" xr2:uid="{899AE2C6-55B7-45FD-A614-13643E5A5D4B}"/>
  </bookViews>
  <sheets>
    <sheet name="DATA SET" sheetId="7" r:id="rId1"/>
    <sheet name="Track Data " sheetId="3" r:id="rId2"/>
    <sheet name="Data visualise" sheetId="6" r:id="rId3"/>
  </sheets>
  <definedNames>
    <definedName name="ACTIVITY">'Track Data '!$I$9:$I$71</definedName>
    <definedName name="hr">'Track Data '!$S$11:$S$15</definedName>
    <definedName name="MOOD">'Track Data '!$K$9:$K$71</definedName>
    <definedName name="WATER">'Track Data '!$L$9:$L$71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4" i="3" l="1"/>
  <c r="V63" i="3"/>
  <c r="V62" i="3"/>
  <c r="V61" i="3"/>
  <c r="U62" i="3"/>
  <c r="U64" i="3"/>
  <c r="U63" i="3"/>
  <c r="U61" i="3"/>
  <c r="T64" i="3"/>
  <c r="T63" i="3"/>
  <c r="T62" i="3"/>
  <c r="T43" i="3"/>
  <c r="T61" i="3"/>
  <c r="T54" i="3"/>
  <c r="T52" i="3"/>
  <c r="T53" i="3"/>
  <c r="T55" i="3"/>
  <c r="T51" i="3"/>
  <c r="B5" i="7"/>
  <c r="E64" i="7"/>
  <c r="B64" i="7"/>
  <c r="E63" i="7"/>
  <c r="B63" i="7"/>
  <c r="E62" i="7"/>
  <c r="B62" i="7"/>
  <c r="E61" i="7"/>
  <c r="B61" i="7"/>
  <c r="E60" i="7"/>
  <c r="B60" i="7"/>
  <c r="E59" i="7"/>
  <c r="B59" i="7"/>
  <c r="E58" i="7"/>
  <c r="B58" i="7"/>
  <c r="E57" i="7"/>
  <c r="B57" i="7"/>
  <c r="E56" i="7"/>
  <c r="B56" i="7"/>
  <c r="E55" i="7"/>
  <c r="B55" i="7"/>
  <c r="E54" i="7"/>
  <c r="B54" i="7"/>
  <c r="E53" i="7"/>
  <c r="B53" i="7"/>
  <c r="E52" i="7"/>
  <c r="B52" i="7"/>
  <c r="E51" i="7"/>
  <c r="B51" i="7"/>
  <c r="E50" i="7"/>
  <c r="B50" i="7"/>
  <c r="E49" i="7"/>
  <c r="B49" i="7"/>
  <c r="E48" i="7"/>
  <c r="B48" i="7"/>
  <c r="E47" i="7"/>
  <c r="B47" i="7"/>
  <c r="E46" i="7"/>
  <c r="B46" i="7"/>
  <c r="E45" i="7"/>
  <c r="B45" i="7"/>
  <c r="E44" i="7"/>
  <c r="B44" i="7"/>
  <c r="E43" i="7"/>
  <c r="B43" i="7"/>
  <c r="E42" i="7"/>
  <c r="B42" i="7"/>
  <c r="E41" i="7"/>
  <c r="B41" i="7"/>
  <c r="E40" i="7"/>
  <c r="B40" i="7"/>
  <c r="E39" i="7"/>
  <c r="B39" i="7"/>
  <c r="E38" i="7"/>
  <c r="B38" i="7"/>
  <c r="E37" i="7"/>
  <c r="B37" i="7"/>
  <c r="E36" i="7"/>
  <c r="B36" i="7"/>
  <c r="E35" i="7"/>
  <c r="B35" i="7"/>
  <c r="E34" i="7"/>
  <c r="B34" i="7"/>
  <c r="E33" i="7"/>
  <c r="B33" i="7"/>
  <c r="E32" i="7"/>
  <c r="B32" i="7"/>
  <c r="E31" i="7"/>
  <c r="B31" i="7"/>
  <c r="E30" i="7"/>
  <c r="B30" i="7"/>
  <c r="E29" i="7"/>
  <c r="B29" i="7"/>
  <c r="E28" i="7"/>
  <c r="B28" i="7"/>
  <c r="E27" i="7"/>
  <c r="B27" i="7"/>
  <c r="E26" i="7"/>
  <c r="B26" i="7"/>
  <c r="E25" i="7"/>
  <c r="B25" i="7"/>
  <c r="E24" i="7"/>
  <c r="B24" i="7"/>
  <c r="E23" i="7"/>
  <c r="B23" i="7"/>
  <c r="E22" i="7"/>
  <c r="B22" i="7"/>
  <c r="E21" i="7"/>
  <c r="B21" i="7"/>
  <c r="E20" i="7"/>
  <c r="B20" i="7"/>
  <c r="E19" i="7"/>
  <c r="B19" i="7"/>
  <c r="E18" i="7"/>
  <c r="B18" i="7"/>
  <c r="E17" i="7"/>
  <c r="B17" i="7"/>
  <c r="E16" i="7"/>
  <c r="B16" i="7"/>
  <c r="E15" i="7"/>
  <c r="B15" i="7"/>
  <c r="E14" i="7"/>
  <c r="B14" i="7"/>
  <c r="E13" i="7"/>
  <c r="B13" i="7"/>
  <c r="E12" i="7"/>
  <c r="B12" i="7"/>
  <c r="E11" i="7"/>
  <c r="B11" i="7"/>
  <c r="E10" i="7"/>
  <c r="B10" i="7"/>
  <c r="E9" i="7"/>
  <c r="B9" i="7"/>
  <c r="E8" i="7"/>
  <c r="B8" i="7"/>
  <c r="E7" i="7"/>
  <c r="B7" i="7"/>
  <c r="E6" i="7"/>
  <c r="B6" i="7"/>
  <c r="E5" i="7"/>
  <c r="E4" i="7"/>
  <c r="B4" i="7"/>
  <c r="E3" i="7"/>
  <c r="B3" i="7"/>
  <c r="E2" i="7"/>
  <c r="B2" i="7"/>
  <c r="V44" i="3"/>
  <c r="R1" i="6"/>
  <c r="J1" i="6"/>
  <c r="V46" i="3" l="1"/>
  <c r="U46" i="3"/>
  <c r="T46" i="3"/>
  <c r="V45" i="3"/>
  <c r="U45" i="3"/>
  <c r="T45" i="3"/>
  <c r="U44" i="3"/>
  <c r="T44" i="3"/>
  <c r="V43" i="3"/>
  <c r="U43" i="3"/>
  <c r="C50" i="3"/>
  <c r="G73" i="3"/>
  <c r="J72" i="3"/>
  <c r="G72" i="3"/>
  <c r="J71" i="3"/>
  <c r="G71" i="3"/>
  <c r="J70" i="3"/>
  <c r="G70" i="3"/>
  <c r="J69" i="3"/>
  <c r="U28" i="3" s="1"/>
  <c r="G69" i="3"/>
  <c r="U38" i="3"/>
  <c r="J68" i="3"/>
  <c r="G68" i="3"/>
  <c r="J67" i="3"/>
  <c r="G67" i="3"/>
  <c r="J66" i="3"/>
  <c r="G66" i="3"/>
  <c r="J65" i="3"/>
  <c r="G65" i="3"/>
  <c r="J64" i="3"/>
  <c r="G64" i="3"/>
  <c r="J63" i="3"/>
  <c r="G63" i="3"/>
  <c r="J62" i="3"/>
  <c r="G62" i="3"/>
  <c r="J61" i="3"/>
  <c r="G61" i="3"/>
  <c r="J60" i="3"/>
  <c r="G60" i="3"/>
  <c r="J59" i="3"/>
  <c r="G59" i="3"/>
  <c r="J58" i="3"/>
  <c r="U36" i="3" s="1"/>
  <c r="G58" i="3"/>
  <c r="J57" i="3"/>
  <c r="G57" i="3"/>
  <c r="J56" i="3"/>
  <c r="U33" i="3" s="1"/>
  <c r="G56" i="3"/>
  <c r="J55" i="3"/>
  <c r="U29" i="3" s="1"/>
  <c r="G55" i="3"/>
  <c r="J54" i="3"/>
  <c r="G54" i="3"/>
  <c r="J53" i="3"/>
  <c r="G53" i="3"/>
  <c r="C38" i="3"/>
  <c r="J52" i="3"/>
  <c r="G52" i="3"/>
  <c r="J51" i="3"/>
  <c r="G51" i="3"/>
  <c r="J50" i="3"/>
  <c r="G50" i="3"/>
  <c r="J49" i="3"/>
  <c r="G49" i="3"/>
  <c r="J48" i="3"/>
  <c r="G48" i="3"/>
  <c r="J47" i="3"/>
  <c r="G47" i="3"/>
  <c r="J46" i="3"/>
  <c r="G46" i="3"/>
  <c r="J45" i="3"/>
  <c r="G45" i="3"/>
  <c r="J44" i="3"/>
  <c r="G44" i="3"/>
  <c r="J43" i="3"/>
  <c r="G43" i="3"/>
  <c r="C28" i="3"/>
  <c r="J42" i="3"/>
  <c r="G42" i="3"/>
  <c r="J41" i="3"/>
  <c r="G41" i="3"/>
  <c r="J40" i="3"/>
  <c r="C31" i="3" s="1"/>
  <c r="G40" i="3"/>
  <c r="J39" i="3"/>
  <c r="C27" i="3" s="1"/>
  <c r="G39" i="3"/>
  <c r="J38" i="3"/>
  <c r="G38" i="3"/>
  <c r="J37" i="3"/>
  <c r="C29" i="3" s="1"/>
  <c r="G37" i="3"/>
  <c r="C22" i="3"/>
  <c r="J36" i="3"/>
  <c r="G36" i="3"/>
  <c r="J35" i="3"/>
  <c r="G35" i="3"/>
  <c r="J34" i="3"/>
  <c r="G34" i="3"/>
  <c r="J33" i="3"/>
  <c r="G33" i="3"/>
  <c r="J32" i="3"/>
  <c r="G32" i="3"/>
  <c r="J31" i="3"/>
  <c r="G31" i="3"/>
  <c r="J30" i="3"/>
  <c r="G30" i="3"/>
  <c r="J29" i="3"/>
  <c r="G29" i="3"/>
  <c r="J28" i="3"/>
  <c r="G28" i="3"/>
  <c r="J27" i="3"/>
  <c r="G27" i="3"/>
  <c r="J26" i="3"/>
  <c r="G26" i="3"/>
  <c r="J25" i="3"/>
  <c r="C19" i="3" s="1"/>
  <c r="G25" i="3"/>
  <c r="J24" i="3"/>
  <c r="G24" i="3"/>
  <c r="J23" i="3"/>
  <c r="G23" i="3"/>
  <c r="J22" i="3"/>
  <c r="C15" i="3" s="1"/>
  <c r="G22" i="3"/>
  <c r="J21" i="3"/>
  <c r="G21" i="3"/>
  <c r="U22" i="3"/>
  <c r="J20" i="3"/>
  <c r="C14" i="3" s="1"/>
  <c r="G20" i="3"/>
  <c r="J19" i="3"/>
  <c r="G19" i="3"/>
  <c r="J18" i="3"/>
  <c r="G18" i="3"/>
  <c r="J17" i="3"/>
  <c r="G17" i="3"/>
  <c r="J16" i="3"/>
  <c r="U20" i="3" s="1"/>
  <c r="G16" i="3"/>
  <c r="J15" i="3"/>
  <c r="G15" i="3"/>
  <c r="J14" i="3"/>
  <c r="G14" i="3"/>
  <c r="J13" i="3"/>
  <c r="G13" i="3"/>
  <c r="U14" i="3"/>
  <c r="J12" i="3"/>
  <c r="U19" i="3" s="1"/>
  <c r="G12" i="3"/>
  <c r="J11" i="3"/>
  <c r="U13" i="3" s="1"/>
  <c r="G11" i="3"/>
  <c r="U12" i="3"/>
  <c r="J10" i="3"/>
  <c r="G10" i="3"/>
  <c r="J9" i="3"/>
  <c r="G9" i="3"/>
  <c r="P2" i="3"/>
  <c r="B2" i="3"/>
  <c r="U18" i="3" l="1"/>
  <c r="C13" i="3"/>
  <c r="C46" i="3" s="1"/>
  <c r="C34" i="3"/>
  <c r="C18" i="3"/>
  <c r="C33" i="3"/>
  <c r="U27" i="3"/>
  <c r="C20" i="3"/>
  <c r="U11" i="3"/>
  <c r="C17" i="3"/>
  <c r="U34" i="3"/>
  <c r="U35" i="3"/>
  <c r="U17" i="3"/>
  <c r="C12" i="3"/>
  <c r="C45" i="3" s="1"/>
  <c r="C30" i="3"/>
  <c r="C11" i="3"/>
  <c r="C36" i="3"/>
  <c r="U31" i="3"/>
  <c r="C48" i="3" s="1"/>
  <c r="C35" i="3"/>
  <c r="U30" i="3"/>
  <c r="U15" i="3"/>
  <c r="C44" i="3" l="1"/>
  <c r="C47" i="3"/>
</calcChain>
</file>

<file path=xl/sharedStrings.xml><?xml version="1.0" encoding="utf-8"?>
<sst xmlns="http://schemas.openxmlformats.org/spreadsheetml/2006/main" count="516" uniqueCount="46">
  <si>
    <t>Time</t>
  </si>
  <si>
    <t>Day</t>
  </si>
  <si>
    <t>no</t>
  </si>
  <si>
    <t>Work</t>
  </si>
  <si>
    <t>phy-act</t>
  </si>
  <si>
    <t>with family</t>
  </si>
  <si>
    <t>Mood</t>
  </si>
  <si>
    <t>Income</t>
  </si>
  <si>
    <t>Shopping</t>
  </si>
  <si>
    <t>Expenditure</t>
  </si>
  <si>
    <t>water-track(ml)</t>
  </si>
  <si>
    <t>Travel</t>
  </si>
  <si>
    <t>SL:NO</t>
  </si>
  <si>
    <t>Study+Computer</t>
  </si>
  <si>
    <t>Sleep</t>
  </si>
  <si>
    <t>Mobile</t>
  </si>
  <si>
    <t>Active</t>
  </si>
  <si>
    <t>Happy</t>
  </si>
  <si>
    <t>Tired</t>
  </si>
  <si>
    <t>Fresh</t>
  </si>
  <si>
    <t>Neutral</t>
  </si>
  <si>
    <t>Times</t>
  </si>
  <si>
    <t>Phy-act</t>
  </si>
  <si>
    <t>Track Report</t>
  </si>
  <si>
    <t>Study+computer</t>
  </si>
  <si>
    <t>Total=</t>
  </si>
  <si>
    <t>Total(ml)</t>
  </si>
  <si>
    <t>Other</t>
  </si>
  <si>
    <t>Water-Track</t>
  </si>
  <si>
    <t>water-Track</t>
  </si>
  <si>
    <t>water</t>
  </si>
  <si>
    <t>ACTIVITY</t>
  </si>
  <si>
    <t>TIME</t>
  </si>
  <si>
    <t>TOTAL WATER (L)</t>
  </si>
  <si>
    <t>ACTIVITY &amp; time TOTAL</t>
  </si>
  <si>
    <t>track report data</t>
  </si>
  <si>
    <t>Relatiom</t>
  </si>
  <si>
    <t xml:space="preserve"> </t>
  </si>
  <si>
    <t>WITH INSIGHTS</t>
  </si>
  <si>
    <t>RELATION BETWEEN STUDY  ACTIVITY AND MOOD</t>
  </si>
  <si>
    <t>WATER AND ACTIVITY</t>
  </si>
  <si>
    <t>WATER(ML)</t>
  </si>
  <si>
    <t>EVERY DAY ACTIVITY AND MOOD</t>
  </si>
  <si>
    <t>MOOD , WATER &amp; ACTIVITY</t>
  </si>
  <si>
    <t>UNIT</t>
  </si>
  <si>
    <t>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</si>
</sst>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10409]hh:mm\ AM/PM;@"/>
    <numFmt numFmtId="165" formatCode="[$-F800]dddd\,\ mmmm\ dd\,\ yyyy"/>
    <numFmt numFmtId="166" formatCode="0.0"/>
    <numFmt numFmtId="167" formatCode="[$-F400]h:mm:ss\ AM/PM"/>
    <numFmt numFmtId="168" formatCode="[hh]:mm:ss"/>
  </numFmts>
  <fonts count="3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10"/>
      <color theme="7"/>
      <name val="Calibri Light"/>
      <family val="2"/>
      <scheme val="major"/>
    </font>
    <font>
      <b/>
      <sz val="11"/>
      <color theme="7"/>
      <name val="Calibri"/>
      <family val="2"/>
      <scheme val="minor"/>
    </font>
    <font>
      <b/>
      <i/>
      <sz val="11"/>
      <color theme="7"/>
      <name val="Calibri"/>
      <family val="2"/>
      <scheme val="minor"/>
    </font>
    <font>
      <sz val="10"/>
      <color theme="7" tint="0.39997558519241921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6"/>
      <color theme="1"/>
      <name val="Algerian"/>
      <family val="5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Aharoni"/>
    </font>
    <font>
      <sz val="14"/>
      <color theme="1"/>
      <name val="Calibri"/>
      <family val="2"/>
      <scheme val="minor"/>
    </font>
    <font>
      <b/>
      <sz val="11"/>
      <color theme="1"/>
      <name val="Algerian"/>
      <family val="5"/>
    </font>
    <font>
      <sz val="24"/>
      <color theme="4"/>
      <name val="Calibri"/>
      <family val="2"/>
      <scheme val="minor"/>
    </font>
    <font>
      <sz val="36"/>
      <color theme="4"/>
      <name val="Algerian"/>
      <family val="5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b/>
      <i/>
      <sz val="26"/>
      <color rgb="FF0099CC"/>
      <name val="Algerian"/>
      <family val="5"/>
    </font>
    <font>
      <sz val="12"/>
      <color rgb="FFCC0099"/>
      <name val="Algerian"/>
      <family val="5"/>
    </font>
    <font>
      <sz val="12"/>
      <color rgb="FF009999"/>
      <name val="Algerian"/>
      <family val="5"/>
    </font>
    <font>
      <u/>
      <sz val="48"/>
      <color theme="5" tint="-0.249977111117893"/>
      <name val="Algerian"/>
      <family val="5"/>
    </font>
    <font>
      <sz val="9"/>
      <color theme="1"/>
      <name val="Calibri"/>
      <family val="2"/>
      <scheme val="minor"/>
    </font>
    <font>
      <sz val="14"/>
      <color rgb="FFFFFF00"/>
      <name val="Calibri"/>
      <family val="2"/>
      <scheme val="minor"/>
    </font>
    <font>
      <sz val="24"/>
      <color rgb="FFAF8D11"/>
      <name val="Algerian"/>
      <family val="5"/>
    </font>
    <font>
      <sz val="24"/>
      <color theme="7" tint="0.39997558519241921"/>
      <name val="Algerian"/>
      <family val="5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4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006666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117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EE701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/>
        <bgColor indexed="64"/>
      </patternFill>
    </fill>
    <fill>
      <gradientFill type="path">
        <stop position="0">
          <color rgb="FF00CC99"/>
        </stop>
        <stop position="1">
          <color rgb="FF009999"/>
        </stop>
      </gradientFill>
    </fill>
    <fill>
      <patternFill patternType="solid">
        <fgColor rgb="FFFF6600"/>
        <bgColor indexed="64"/>
      </patternFill>
    </fill>
    <fill>
      <patternFill patternType="solid">
        <fgColor theme="9"/>
        <bgColor indexed="64"/>
      </patternFill>
    </fill>
  </fills>
  <borders count="2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theme="7"/>
      </bottom>
      <diagonal/>
    </border>
    <border>
      <left/>
      <right/>
      <top style="medium">
        <color theme="7" tint="0.39997558519241921"/>
      </top>
      <bottom/>
      <diagonal/>
    </border>
    <border>
      <left style="medium">
        <color theme="7" tint="0.39997558519241921"/>
      </left>
      <right/>
      <top/>
      <bottom/>
      <diagonal/>
    </border>
    <border>
      <left/>
      <right/>
      <top/>
      <bottom style="medium">
        <color theme="7" tint="0.39997558519241921"/>
      </bottom>
      <diagonal/>
    </border>
    <border>
      <left/>
      <right/>
      <top/>
      <bottom style="medium">
        <color theme="5" tint="-0.249977111117893"/>
      </bottom>
      <diagonal/>
    </border>
    <border>
      <left style="medium">
        <color theme="5" tint="-0.249977111117893"/>
      </left>
      <right/>
      <top style="medium">
        <color theme="5" tint="-0.249977111117893"/>
      </top>
      <bottom/>
      <diagonal/>
    </border>
    <border>
      <left/>
      <right/>
      <top style="medium">
        <color theme="5" tint="-0.249977111117893"/>
      </top>
      <bottom/>
      <diagonal/>
    </border>
    <border>
      <left/>
      <right style="thin">
        <color theme="7"/>
      </right>
      <top/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/>
      <right style="thin">
        <color theme="7"/>
      </right>
      <top/>
      <bottom style="thin">
        <color theme="7"/>
      </bottom>
      <diagonal/>
    </border>
    <border>
      <left/>
      <right/>
      <top/>
      <bottom style="thin">
        <color rgb="FFFF0066"/>
      </bottom>
      <diagonal/>
    </border>
    <border>
      <left/>
      <right style="thin">
        <color rgb="FFFF0066"/>
      </right>
      <top/>
      <bottom style="thin">
        <color rgb="FFFF0066"/>
      </bottom>
      <diagonal/>
    </border>
    <border>
      <left/>
      <right style="thin">
        <color rgb="FFFF0066"/>
      </right>
      <top/>
      <bottom/>
      <diagonal/>
    </border>
    <border>
      <left style="thin">
        <color rgb="FFFF0066"/>
      </left>
      <right/>
      <top/>
      <bottom/>
      <diagonal/>
    </border>
    <border>
      <left style="thin">
        <color rgb="FFFF0066"/>
      </left>
      <right/>
      <top/>
      <bottom style="thin">
        <color rgb="FFFF0066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15" fillId="0" borderId="0" applyNumberFormat="0" applyFill="0" applyBorder="0" applyAlignment="0" applyProtection="0"/>
  </cellStyleXfs>
  <cellXfs count="153">
    <xf numFmtId="0" fontId="0" fillId="0" borderId="0" xfId="0"/>
    <xf numFmtId="0" fontId="1" fillId="8" borderId="0" xfId="1" applyFill="1" applyBorder="1" applyAlignment="1">
      <alignment horizontal="center" vertical="center"/>
    </xf>
    <xf numFmtId="0" fontId="7" fillId="3" borderId="7" xfId="0" applyFont="1" applyFill="1" applyBorder="1" applyAlignment="1">
      <alignment vertical="center"/>
    </xf>
    <xf numFmtId="0" fontId="7" fillId="3" borderId="8" xfId="0" applyFont="1" applyFill="1" applyBorder="1" applyAlignment="1">
      <alignment vertical="center"/>
    </xf>
    <xf numFmtId="165" fontId="2" fillId="8" borderId="0" xfId="0" applyNumberFormat="1" applyFont="1" applyFill="1" applyAlignment="1">
      <alignment vertical="center"/>
    </xf>
    <xf numFmtId="165" fontId="2" fillId="8" borderId="0" xfId="0" applyNumberFormat="1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4" fontId="3" fillId="3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14" fontId="3" fillId="10" borderId="0" xfId="0" applyNumberFormat="1" applyFont="1" applyFill="1" applyAlignment="1">
      <alignment horizontal="center" vertical="center"/>
    </xf>
    <xf numFmtId="14" fontId="10" fillId="10" borderId="0" xfId="0" applyNumberFormat="1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0" fillId="11" borderId="0" xfId="0" applyFill="1"/>
    <xf numFmtId="0" fontId="2" fillId="8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1" fontId="10" fillId="1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49" fontId="0" fillId="8" borderId="0" xfId="0" applyNumberFormat="1" applyFill="1" applyAlignment="1">
      <alignment horizontal="center" vertical="center"/>
    </xf>
    <xf numFmtId="21" fontId="11" fillId="3" borderId="0" xfId="0" applyNumberFormat="1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0" fillId="8" borderId="0" xfId="0" applyFill="1"/>
    <xf numFmtId="164" fontId="3" fillId="10" borderId="0" xfId="0" applyNumberFormat="1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21" fontId="10" fillId="10" borderId="0" xfId="0" applyNumberFormat="1" applyFont="1" applyFill="1" applyAlignment="1">
      <alignment horizontal="center" vertical="center"/>
    </xf>
    <xf numFmtId="1" fontId="3" fillId="10" borderId="0" xfId="0" applyNumberFormat="1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164" fontId="10" fillId="10" borderId="0" xfId="0" applyNumberFormat="1" applyFont="1" applyFill="1" applyAlignment="1">
      <alignment horizontal="center" vertical="center"/>
    </xf>
    <xf numFmtId="49" fontId="10" fillId="10" borderId="0" xfId="0" applyNumberFormat="1" applyFont="1" applyFill="1" applyAlignment="1">
      <alignment horizontal="center" vertical="center"/>
    </xf>
    <xf numFmtId="0" fontId="0" fillId="3" borderId="0" xfId="0" applyFill="1"/>
    <xf numFmtId="0" fontId="14" fillId="0" borderId="0" xfId="0" applyFont="1"/>
    <xf numFmtId="165" fontId="2" fillId="8" borderId="0" xfId="2" applyNumberFormat="1" applyFont="1" applyFill="1" applyAlignment="1">
      <alignment vertical="center"/>
    </xf>
    <xf numFmtId="0" fontId="13" fillId="8" borderId="0" xfId="2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167" fontId="10" fillId="13" borderId="0" xfId="0" applyNumberFormat="1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165" fontId="13" fillId="8" borderId="0" xfId="2" applyNumberFormat="1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167" fontId="10" fillId="12" borderId="0" xfId="0" applyNumberFormat="1" applyFont="1" applyFill="1" applyAlignment="1">
      <alignment horizontal="center" vertical="center"/>
    </xf>
    <xf numFmtId="2" fontId="0" fillId="11" borderId="0" xfId="0" applyNumberFormat="1" applyFill="1"/>
    <xf numFmtId="168" fontId="10" fillId="10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168" fontId="0" fillId="3" borderId="0" xfId="0" applyNumberFormat="1" applyFill="1" applyAlignment="1">
      <alignment horizontal="center"/>
    </xf>
    <xf numFmtId="168" fontId="10" fillId="10" borderId="0" xfId="0" applyNumberFormat="1" applyFont="1" applyFill="1" applyAlignment="1">
      <alignment horizontal="center"/>
    </xf>
    <xf numFmtId="15" fontId="6" fillId="3" borderId="0" xfId="0" applyNumberFormat="1" applyFont="1" applyFill="1" applyAlignment="1">
      <alignment vertical="center" textRotation="255" wrapText="1"/>
    </xf>
    <xf numFmtId="0" fontId="0" fillId="7" borderId="0" xfId="0" applyFill="1"/>
    <xf numFmtId="0" fontId="2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 vertical="center"/>
    </xf>
    <xf numFmtId="15" fontId="6" fillId="7" borderId="0" xfId="0" applyNumberFormat="1" applyFont="1" applyFill="1" applyAlignment="1">
      <alignment vertical="center" textRotation="255" wrapText="1"/>
    </xf>
    <xf numFmtId="168" fontId="10" fillId="16" borderId="0" xfId="0" applyNumberFormat="1" applyFont="1" applyFill="1"/>
    <xf numFmtId="167" fontId="10" fillId="16" borderId="0" xfId="0" applyNumberFormat="1" applyFont="1" applyFill="1"/>
    <xf numFmtId="1" fontId="10" fillId="17" borderId="0" xfId="0" applyNumberFormat="1" applyFont="1" applyFill="1"/>
    <xf numFmtId="168" fontId="10" fillId="12" borderId="0" xfId="0" applyNumberFormat="1" applyFont="1" applyFill="1" applyAlignment="1">
      <alignment horizontal="center" vertical="center"/>
    </xf>
    <xf numFmtId="15" fontId="6" fillId="3" borderId="0" xfId="0" applyNumberFormat="1" applyFont="1" applyFill="1" applyAlignment="1">
      <alignment horizontal="center" vertical="center" textRotation="255" wrapText="1"/>
    </xf>
    <xf numFmtId="0" fontId="17" fillId="11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18" fillId="11" borderId="0" xfId="0" applyFont="1" applyFill="1" applyAlignment="1">
      <alignment horizontal="center" vertical="center"/>
    </xf>
    <xf numFmtId="15" fontId="6" fillId="11" borderId="0" xfId="0" applyNumberFormat="1" applyFont="1" applyFill="1" applyAlignment="1">
      <alignment vertical="center" textRotation="255" wrapText="1"/>
    </xf>
    <xf numFmtId="0" fontId="16" fillId="11" borderId="0" xfId="0" applyFont="1" applyFill="1" applyAlignment="1">
      <alignment horizontal="center" vertical="center"/>
    </xf>
    <xf numFmtId="2" fontId="10" fillId="11" borderId="0" xfId="0" applyNumberFormat="1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6" fillId="11" borderId="0" xfId="0" applyFont="1" applyFill="1" applyAlignment="1">
      <alignment vertical="center"/>
    </xf>
    <xf numFmtId="10" fontId="10" fillId="11" borderId="0" xfId="0" applyNumberFormat="1" applyFont="1" applyFill="1" applyAlignment="1">
      <alignment horizontal="center" vertical="center"/>
    </xf>
    <xf numFmtId="166" fontId="10" fillId="11" borderId="0" xfId="0" applyNumberFormat="1" applyFont="1" applyFill="1" applyAlignment="1">
      <alignment horizontal="center" vertical="center"/>
    </xf>
    <xf numFmtId="165" fontId="9" fillId="11" borderId="0" xfId="0" applyNumberFormat="1" applyFont="1" applyFill="1" applyAlignment="1">
      <alignment vertical="center"/>
    </xf>
    <xf numFmtId="0" fontId="7" fillId="11" borderId="0" xfId="0" applyFont="1" applyFill="1" applyAlignment="1">
      <alignment vertical="center"/>
    </xf>
    <xf numFmtId="0" fontId="7" fillId="11" borderId="0" xfId="0" applyFont="1" applyFill="1" applyAlignment="1">
      <alignment horizontal="center" vertical="center"/>
    </xf>
    <xf numFmtId="0" fontId="19" fillId="11" borderId="0" xfId="0" applyFont="1" applyFill="1" applyAlignment="1">
      <alignment vertical="center"/>
    </xf>
    <xf numFmtId="0" fontId="0" fillId="15" borderId="0" xfId="0" applyFill="1"/>
    <xf numFmtId="0" fontId="0" fillId="18" borderId="0" xfId="0" applyFill="1"/>
    <xf numFmtId="0" fontId="22" fillId="18" borderId="0" xfId="0" applyFont="1" applyFill="1"/>
    <xf numFmtId="14" fontId="20" fillId="18" borderId="0" xfId="0" applyNumberFormat="1" applyFont="1" applyFill="1" applyAlignment="1">
      <alignment vertical="center"/>
    </xf>
    <xf numFmtId="0" fontId="20" fillId="18" borderId="0" xfId="0" applyFont="1" applyFill="1" applyAlignment="1">
      <alignment vertical="center"/>
    </xf>
    <xf numFmtId="0" fontId="21" fillId="18" borderId="0" xfId="0" applyFont="1" applyFill="1" applyAlignment="1">
      <alignment vertical="center"/>
    </xf>
    <xf numFmtId="167" fontId="20" fillId="18" borderId="0" xfId="0" applyNumberFormat="1" applyFont="1" applyFill="1" applyAlignment="1">
      <alignment vertical="center"/>
    </xf>
    <xf numFmtId="0" fontId="19" fillId="3" borderId="0" xfId="0" applyFont="1" applyFill="1" applyAlignment="1">
      <alignment vertical="center"/>
    </xf>
    <xf numFmtId="0" fontId="0" fillId="11" borderId="0" xfId="0" applyFill="1" applyProtection="1">
      <protection hidden="1"/>
    </xf>
    <xf numFmtId="0" fontId="0" fillId="15" borderId="18" xfId="0" applyFill="1" applyBorder="1" applyAlignment="1" applyProtection="1">
      <alignment horizontal="center" vertical="center"/>
      <protection hidden="1"/>
    </xf>
    <xf numFmtId="0" fontId="0" fillId="15" borderId="19" xfId="0" applyFill="1" applyBorder="1" applyAlignment="1" applyProtection="1">
      <alignment horizontal="center" vertical="center"/>
      <protection hidden="1"/>
    </xf>
    <xf numFmtId="0" fontId="0" fillId="15" borderId="20" xfId="0" applyFill="1" applyBorder="1" applyAlignment="1" applyProtection="1">
      <alignment horizontal="center" vertical="center"/>
      <protection hidden="1"/>
    </xf>
    <xf numFmtId="0" fontId="18" fillId="20" borderId="21" xfId="0" applyFont="1" applyFill="1" applyBorder="1" applyAlignment="1" applyProtection="1">
      <alignment horizontal="center" vertical="center"/>
      <protection hidden="1"/>
    </xf>
    <xf numFmtId="0" fontId="18" fillId="20" borderId="23" xfId="0" applyFont="1" applyFill="1" applyBorder="1" applyAlignment="1" applyProtection="1">
      <alignment horizontal="center" vertical="center"/>
      <protection hidden="1"/>
    </xf>
    <xf numFmtId="0" fontId="28" fillId="15" borderId="19" xfId="0" applyFont="1" applyFill="1" applyBorder="1" applyAlignment="1" applyProtection="1">
      <alignment horizontal="center" vertical="center"/>
      <protection hidden="1"/>
    </xf>
    <xf numFmtId="0" fontId="24" fillId="18" borderId="0" xfId="0" applyFont="1" applyFill="1"/>
    <xf numFmtId="0" fontId="29" fillId="10" borderId="0" xfId="0" applyFont="1" applyFill="1" applyAlignment="1" applyProtection="1">
      <alignment horizontal="center" vertical="center"/>
      <protection hidden="1"/>
    </xf>
    <xf numFmtId="0" fontId="29" fillId="10" borderId="24" xfId="0" applyFont="1" applyFill="1" applyBorder="1" applyAlignment="1" applyProtection="1">
      <alignment horizontal="center" vertical="center"/>
      <protection hidden="1"/>
    </xf>
    <xf numFmtId="0" fontId="18" fillId="6" borderId="0" xfId="0" applyFont="1" applyFill="1" applyAlignment="1" applyProtection="1">
      <alignment horizontal="center" vertical="center"/>
      <protection hidden="1"/>
    </xf>
    <xf numFmtId="0" fontId="18" fillId="6" borderId="24" xfId="0" applyFont="1" applyFill="1" applyBorder="1" applyAlignment="1" applyProtection="1">
      <alignment horizontal="center" vertical="center"/>
      <protection hidden="1"/>
    </xf>
    <xf numFmtId="0" fontId="18" fillId="13" borderId="22" xfId="0" applyFont="1" applyFill="1" applyBorder="1" applyAlignment="1" applyProtection="1">
      <alignment horizontal="center" vertical="center"/>
      <protection hidden="1"/>
    </xf>
    <xf numFmtId="0" fontId="18" fillId="13" borderId="25" xfId="0" applyFont="1" applyFill="1" applyBorder="1" applyAlignment="1" applyProtection="1">
      <alignment horizontal="center" vertical="center"/>
      <protection hidden="1"/>
    </xf>
    <xf numFmtId="49" fontId="18" fillId="0" borderId="0" xfId="0" applyNumberFormat="1" applyFont="1" applyAlignment="1">
      <alignment horizontal="center" vertical="center"/>
    </xf>
    <xf numFmtId="168" fontId="18" fillId="0" borderId="0" xfId="0" applyNumberFormat="1" applyFont="1" applyAlignment="1">
      <alignment horizontal="center"/>
    </xf>
    <xf numFmtId="0" fontId="18" fillId="0" borderId="0" xfId="0" applyFont="1"/>
    <xf numFmtId="0" fontId="32" fillId="0" borderId="0" xfId="0" applyFont="1" applyAlignment="1">
      <alignment horizontal="center" vertical="center"/>
    </xf>
    <xf numFmtId="0" fontId="32" fillId="0" borderId="0" xfId="1" applyFont="1" applyFill="1" applyBorder="1" applyAlignment="1">
      <alignment horizontal="center" vertical="center"/>
    </xf>
    <xf numFmtId="21" fontId="32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8" fontId="18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4" fontId="18" fillId="0" borderId="0" xfId="0" applyNumberFormat="1" applyFont="1"/>
    <xf numFmtId="18" fontId="18" fillId="0" borderId="0" xfId="0" applyNumberFormat="1" applyFont="1"/>
    <xf numFmtId="0" fontId="23" fillId="11" borderId="0" xfId="0" applyFont="1" applyFill="1"/>
    <xf numFmtId="0" fontId="2" fillId="15" borderId="0" xfId="0" applyFont="1" applyFill="1" applyAlignment="1">
      <alignment horizontal="center" vertical="center"/>
    </xf>
    <xf numFmtId="0" fontId="34" fillId="11" borderId="0" xfId="0" applyFont="1" applyFill="1"/>
    <xf numFmtId="0" fontId="2" fillId="11" borderId="0" xfId="0" applyFont="1" applyFill="1" applyAlignment="1">
      <alignment vertical="center" wrapText="1"/>
    </xf>
    <xf numFmtId="0" fontId="10" fillId="13" borderId="0" xfId="0" applyFont="1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1" borderId="26" xfId="0" applyFill="1" applyBorder="1" applyAlignment="1">
      <alignment horizontal="center" vertical="center"/>
    </xf>
    <xf numFmtId="0" fontId="0" fillId="21" borderId="27" xfId="0" applyFill="1" applyBorder="1" applyAlignment="1">
      <alignment horizontal="center" vertical="center"/>
    </xf>
    <xf numFmtId="0" fontId="0" fillId="21" borderId="28" xfId="0" applyFill="1" applyBorder="1" applyAlignment="1">
      <alignment horizontal="center" vertical="center"/>
    </xf>
    <xf numFmtId="14" fontId="31" fillId="4" borderId="10" xfId="0" applyNumberFormat="1" applyFont="1" applyFill="1" applyBorder="1" applyAlignment="1">
      <alignment horizontal="center" vertical="center"/>
    </xf>
    <xf numFmtId="14" fontId="31" fillId="4" borderId="11" xfId="0" applyNumberFormat="1" applyFont="1" applyFill="1" applyBorder="1" applyAlignment="1">
      <alignment horizontal="center" vertical="center"/>
    </xf>
    <xf numFmtId="14" fontId="31" fillId="4" borderId="0" xfId="0" applyNumberFormat="1" applyFont="1" applyFill="1" applyAlignment="1">
      <alignment horizontal="center" vertical="center"/>
    </xf>
    <xf numFmtId="14" fontId="31" fillId="4" borderId="9" xfId="0" applyNumberFormat="1" applyFont="1" applyFill="1" applyBorder="1" applyAlignment="1">
      <alignment horizontal="center" vertical="center"/>
    </xf>
    <xf numFmtId="14" fontId="31" fillId="4" borderId="2" xfId="0" applyNumberFormat="1" applyFont="1" applyFill="1" applyBorder="1" applyAlignment="1">
      <alignment horizontal="center" vertical="center"/>
    </xf>
    <xf numFmtId="14" fontId="31" fillId="4" borderId="12" xfId="0" applyNumberFormat="1" applyFont="1" applyFill="1" applyBorder="1" applyAlignment="1">
      <alignment horizontal="center" vertical="center"/>
    </xf>
    <xf numFmtId="0" fontId="27" fillId="19" borderId="3" xfId="0" applyFont="1" applyFill="1" applyBorder="1" applyAlignment="1">
      <alignment horizontal="center" vertical="center"/>
    </xf>
    <xf numFmtId="0" fontId="27" fillId="19" borderId="0" xfId="0" applyFont="1" applyFill="1" applyAlignment="1">
      <alignment horizontal="center" vertical="center"/>
    </xf>
    <xf numFmtId="0" fontId="27" fillId="19" borderId="5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0" borderId="0" xfId="0" applyFill="1" applyAlignment="1">
      <alignment horizontal="center"/>
    </xf>
    <xf numFmtId="19" fontId="30" fillId="5" borderId="4" xfId="0" applyNumberFormat="1" applyFont="1" applyFill="1" applyBorder="1" applyAlignment="1">
      <alignment horizontal="center" vertical="center"/>
    </xf>
    <xf numFmtId="19" fontId="30" fillId="5" borderId="0" xfId="0" applyNumberFormat="1" applyFont="1" applyFill="1" applyAlignment="1">
      <alignment horizontal="center" vertical="center"/>
    </xf>
    <xf numFmtId="15" fontId="4" fillId="3" borderId="0" xfId="0" applyNumberFormat="1" applyFont="1" applyFill="1" applyAlignment="1">
      <alignment horizontal="center" vertical="center" textRotation="255" wrapText="1"/>
    </xf>
    <xf numFmtId="15" fontId="6" fillId="10" borderId="0" xfId="0" applyNumberFormat="1" applyFont="1" applyFill="1" applyAlignment="1">
      <alignment horizontal="center" vertical="center" textRotation="255" wrapText="1"/>
    </xf>
    <xf numFmtId="15" fontId="6" fillId="3" borderId="0" xfId="0" applyNumberFormat="1" applyFont="1" applyFill="1" applyAlignment="1">
      <alignment horizontal="center" vertical="center" textRotation="255" wrapText="1"/>
    </xf>
    <xf numFmtId="165" fontId="9" fillId="8" borderId="6" xfId="0" applyNumberFormat="1" applyFont="1" applyFill="1" applyBorder="1" applyAlignment="1">
      <alignment horizontal="center" vertical="center"/>
    </xf>
    <xf numFmtId="0" fontId="33" fillId="14" borderId="3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10" fillId="13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20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26" fillId="18" borderId="16" xfId="0" applyNumberFormat="1" applyFont="1" applyFill="1" applyBorder="1" applyAlignment="1">
      <alignment horizontal="center" vertical="center"/>
    </xf>
    <xf numFmtId="0" fontId="26" fillId="18" borderId="0" xfId="0" applyFont="1" applyFill="1" applyAlignment="1">
      <alignment horizontal="center" vertical="center"/>
    </xf>
    <xf numFmtId="0" fontId="26" fillId="18" borderId="17" xfId="0" applyFont="1" applyFill="1" applyBorder="1" applyAlignment="1">
      <alignment horizontal="center" vertical="center"/>
    </xf>
    <xf numFmtId="0" fontId="26" fillId="18" borderId="13" xfId="0" applyFont="1" applyFill="1" applyBorder="1" applyAlignment="1">
      <alignment horizontal="center" vertical="center"/>
    </xf>
    <xf numFmtId="167" fontId="25" fillId="18" borderId="0" xfId="0" applyNumberFormat="1" applyFont="1" applyFill="1" applyAlignment="1">
      <alignment horizontal="center" vertical="center"/>
    </xf>
    <xf numFmtId="167" fontId="25" fillId="18" borderId="15" xfId="0" applyNumberFormat="1" applyFont="1" applyFill="1" applyBorder="1" applyAlignment="1">
      <alignment horizontal="center" vertical="center"/>
    </xf>
    <xf numFmtId="167" fontId="25" fillId="18" borderId="13" xfId="0" applyNumberFormat="1" applyFont="1" applyFill="1" applyBorder="1" applyAlignment="1">
      <alignment horizontal="center" vertical="center"/>
    </xf>
    <xf numFmtId="167" fontId="25" fillId="18" borderId="14" xfId="0" applyNumberFormat="1" applyFont="1" applyFill="1" applyBorder="1" applyAlignment="1">
      <alignment horizontal="center" vertical="center"/>
    </xf>
  </cellXfs>
  <cellStyles count="3">
    <cellStyle name="Check Cell" xfId="1" builtinId="2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33CC"/>
      <color rgb="FFCC0099"/>
      <color rgb="FF009999"/>
      <color rgb="FFFF0066"/>
      <color rgb="FF00CC99"/>
      <color rgb="FFFF6600"/>
      <color rgb="FF0099CC"/>
      <color rgb="FFFF3300"/>
      <color rgb="FF000066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gradFill>
                  <a:gsLst>
                    <a:gs pos="22000">
                      <a:srgbClr val="CC0099"/>
                    </a:gs>
                    <a:gs pos="94000">
                      <a:srgbClr val="0099CC"/>
                    </a:gs>
                    <a:gs pos="51000">
                      <a:srgbClr val="00B0F0"/>
                    </a:gs>
                  </a:gsLst>
                  <a:lin ang="0" scaled="0"/>
                </a:gradFill>
                <a:latin typeface="Algerian" panose="04020705040A02060702" pitchFamily="82" charset="0"/>
                <a:ea typeface="+mn-ea"/>
                <a:cs typeface="+mn-cs"/>
              </a:defRPr>
            </a:pPr>
            <a:r>
              <a:rPr lang="en-US">
                <a:gradFill>
                  <a:gsLst>
                    <a:gs pos="22000">
                      <a:srgbClr val="CC0099"/>
                    </a:gs>
                    <a:gs pos="94000">
                      <a:srgbClr val="0099CC"/>
                    </a:gs>
                    <a:gs pos="51000">
                      <a:srgbClr val="00B0F0"/>
                    </a:gs>
                  </a:gsLst>
                  <a:lin ang="0" scaled="0"/>
                </a:gradFill>
              </a:rPr>
              <a:t> TOTAL TIME &amp; ACTIVITY</a:t>
            </a:r>
          </a:p>
        </c:rich>
      </c:tx>
      <c:layout>
        <c:manualLayout>
          <c:xMode val="edge"/>
          <c:yMode val="edge"/>
          <c:x val="1.3049098262243021E-2"/>
          <c:y val="2.8359123118259548E-2"/>
        </c:manualLayout>
      </c:layout>
      <c:overlay val="1"/>
      <c:spPr>
        <a:noFill/>
        <a:ln>
          <a:noFill/>
        </a:ln>
        <a:effectLst>
          <a:outerShdw blurRad="50800" dist="38100" algn="l" rotWithShape="0">
            <a:schemeClr val="bg2">
              <a:lumMod val="25000"/>
              <a:alpha val="40000"/>
            </a:scheme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gradFill>
                <a:gsLst>
                  <a:gs pos="22000">
                    <a:srgbClr val="CC0099"/>
                  </a:gs>
                  <a:gs pos="94000">
                    <a:srgbClr val="0099CC"/>
                  </a:gs>
                  <a:gs pos="51000">
                    <a:srgbClr val="00B0F0"/>
                  </a:gs>
                </a:gsLst>
                <a:lin ang="0" scaled="0"/>
              </a:gradFill>
              <a:latin typeface="Algerian" panose="04020705040A02060702" pitchFamily="8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45236595909703"/>
          <c:y val="0.1438434531398195"/>
          <c:w val="0.4396930638859517"/>
          <c:h val="0.8561565468601805"/>
        </c:manualLayout>
      </c:layout>
      <c:doughnutChart>
        <c:varyColors val="1"/>
        <c:ser>
          <c:idx val="0"/>
          <c:order val="0"/>
          <c:tx>
            <c:v>TOTAL SPEND TIME</c:v>
          </c:tx>
          <c:spPr>
            <a:ln>
              <a:noFill/>
            </a:ln>
            <a:scene3d>
              <a:camera prst="orthographicFront"/>
              <a:lightRig rig="chilly" dir="t"/>
            </a:scene3d>
            <a:sp3d prstMaterial="softEdge"/>
          </c:spPr>
          <c:dPt>
            <c:idx val="0"/>
            <c:bubble3D val="0"/>
            <c:spPr>
              <a:gradFill flip="none" rotWithShape="1">
                <a:gsLst>
                  <a:gs pos="92000">
                    <a:srgbClr val="0099CC"/>
                  </a:gs>
                  <a:gs pos="41000">
                    <a:srgbClr val="FF0066"/>
                  </a:gs>
                </a:gsLst>
                <a:path path="circle">
                  <a:fillToRect l="100000" t="100000"/>
                </a:path>
                <a:tileRect r="-100000" b="-100000"/>
              </a:gradFill>
              <a:ln w="19050">
                <a:noFill/>
              </a:ln>
              <a:effectLst/>
              <a:scene3d>
                <a:camera prst="orthographicFront"/>
                <a:lightRig rig="chilly" dir="t"/>
              </a:scene3d>
              <a:sp3d prstMaterial="softEdge"/>
            </c:spPr>
            <c:extLst>
              <c:ext xmlns:c16="http://schemas.microsoft.com/office/drawing/2014/chart" uri="{C3380CC4-5D6E-409C-BE32-E72D297353CC}">
                <c16:uniqueId val="{00000001-8EE0-4E73-8F41-48B31D659671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100000">
                    <a:srgbClr val="0099CC"/>
                  </a:gs>
                  <a:gs pos="26000">
                    <a:srgbClr val="FF0066"/>
                  </a:gs>
                </a:gsLst>
                <a:path path="circle">
                  <a:fillToRect l="100000" t="100000"/>
                </a:path>
                <a:tileRect r="-100000" b="-100000"/>
              </a:gradFill>
              <a:ln w="19050">
                <a:noFill/>
              </a:ln>
              <a:effectLst/>
              <a:scene3d>
                <a:camera prst="orthographicFront"/>
                <a:lightRig rig="chilly" dir="t"/>
              </a:scene3d>
              <a:sp3d prstMaterial="softEdge"/>
            </c:spPr>
            <c:extLst>
              <c:ext xmlns:c16="http://schemas.microsoft.com/office/drawing/2014/chart" uri="{C3380CC4-5D6E-409C-BE32-E72D297353CC}">
                <c16:uniqueId val="{00000003-8EE0-4E73-8F41-48B31D659671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70000">
                    <a:srgbClr val="CC0099"/>
                  </a:gs>
                  <a:gs pos="17000">
                    <a:srgbClr val="0099CC"/>
                  </a:gs>
                </a:gsLst>
                <a:path path="circle">
                  <a:fillToRect l="100000" t="100000"/>
                </a:path>
                <a:tileRect r="-100000" b="-100000"/>
              </a:gradFill>
              <a:ln w="19050">
                <a:noFill/>
              </a:ln>
              <a:effectLst>
                <a:outerShdw blurRad="50800" dist="38100" dir="5400000" algn="t" rotWithShape="0">
                  <a:prstClr val="black">
                    <a:alpha val="46000"/>
                  </a:prstClr>
                </a:outerShdw>
              </a:effectLst>
              <a:scene3d>
                <a:camera prst="orthographicFront"/>
                <a:lightRig rig="chilly" dir="t"/>
              </a:scene3d>
              <a:sp3d prstMaterial="softEdge"/>
            </c:spPr>
            <c:extLst>
              <c:ext xmlns:c16="http://schemas.microsoft.com/office/drawing/2014/chart" uri="{C3380CC4-5D6E-409C-BE32-E72D297353CC}">
                <c16:uniqueId val="{00000005-8EE0-4E73-8F41-48B31D659671}"/>
              </c:ext>
            </c:extLst>
          </c:dPt>
          <c:dPt>
            <c:idx val="3"/>
            <c:bubble3D val="0"/>
            <c:spPr>
              <a:gradFill flip="none" rotWithShape="1">
                <a:gsLst>
                  <a:gs pos="93000">
                    <a:srgbClr val="FFFF00"/>
                  </a:gs>
                  <a:gs pos="42000">
                    <a:srgbClr val="0099CC"/>
                  </a:gs>
                </a:gsLst>
                <a:lin ang="0" scaled="0"/>
                <a:tileRect/>
              </a:gradFill>
              <a:ln w="19050">
                <a:noFill/>
              </a:ln>
              <a:effectLst/>
              <a:scene3d>
                <a:camera prst="orthographicFront"/>
                <a:lightRig rig="chilly" dir="t"/>
              </a:scene3d>
              <a:sp3d prstMaterial="softEdge"/>
            </c:spPr>
            <c:extLst>
              <c:ext xmlns:c16="http://schemas.microsoft.com/office/drawing/2014/chart" uri="{C3380CC4-5D6E-409C-BE32-E72D297353CC}">
                <c16:uniqueId val="{00000007-8EE0-4E73-8F41-48B31D659671}"/>
              </c:ext>
            </c:extLst>
          </c:dPt>
          <c:dPt>
            <c:idx val="4"/>
            <c:bubble3D val="0"/>
            <c:spPr>
              <a:gradFill flip="none" rotWithShape="1">
                <a:gsLst>
                  <a:gs pos="55000">
                    <a:srgbClr val="FF33CC"/>
                  </a:gs>
                  <a:gs pos="11000">
                    <a:srgbClr val="FFFF00"/>
                  </a:gs>
                </a:gsLst>
                <a:path path="circle">
                  <a:fillToRect l="100000" t="100000"/>
                </a:path>
                <a:tileRect r="-100000" b="-100000"/>
              </a:gradFill>
              <a:ln w="19050">
                <a:noFill/>
              </a:ln>
              <a:effectLst/>
              <a:scene3d>
                <a:camera prst="orthographicFront"/>
                <a:lightRig rig="chilly" dir="t"/>
              </a:scene3d>
              <a:sp3d prstMaterial="softEdge"/>
            </c:spPr>
            <c:extLst>
              <c:ext xmlns:c16="http://schemas.microsoft.com/office/drawing/2014/chart" uri="{C3380CC4-5D6E-409C-BE32-E72D297353CC}">
                <c16:uniqueId val="{00000009-8EE0-4E73-8F41-48B31D659671}"/>
              </c:ext>
            </c:extLst>
          </c:dPt>
          <c:dLbls>
            <c:dLbl>
              <c:idx val="0"/>
              <c:layout>
                <c:manualLayout>
                  <c:x val="-0.19013690856210541"/>
                  <c:y val="7.5273645443724058E-2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E0-4E73-8F41-48B31D659671}"/>
                </c:ext>
              </c:extLst>
            </c:dLbl>
            <c:dLbl>
              <c:idx val="1"/>
              <c:layout>
                <c:manualLayout>
                  <c:x val="-0.13877663940656065"/>
                  <c:y val="-9.8521800999413892E-2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EE0-4E73-8F41-48B31D659671}"/>
                </c:ext>
              </c:extLst>
            </c:dLbl>
            <c:dLbl>
              <c:idx val="2"/>
              <c:layout>
                <c:manualLayout>
                  <c:x val="0.11811469512256914"/>
                  <c:y val="-0.20967071910669074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EE0-4E73-8F41-48B31D659671}"/>
                </c:ext>
              </c:extLst>
            </c:dLbl>
            <c:dLbl>
              <c:idx val="3"/>
              <c:layout>
                <c:manualLayout>
                  <c:x val="0.23388502112911561"/>
                  <c:y val="-0.21186826649425675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EE0-4E73-8F41-48B31D659671}"/>
                </c:ext>
              </c:extLst>
            </c:dLbl>
            <c:dLbl>
              <c:idx val="4"/>
              <c:layout>
                <c:manualLayout>
                  <c:x val="1.4662431058450297E-2"/>
                  <c:y val="0.19780636755913764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EE0-4E73-8F41-48B31D659671}"/>
                </c:ext>
              </c:extLst>
            </c:dLbl>
            <c:spPr>
              <a:noFill/>
              <a:ln>
                <a:gradFill>
                  <a:gsLst>
                    <a:gs pos="29000">
                      <a:srgbClr val="CC0099"/>
                    </a:gs>
                    <a:gs pos="54000">
                      <a:srgbClr val="0099CC"/>
                    </a:gs>
                    <a:gs pos="77000">
                      <a:srgbClr val="00B050"/>
                    </a:gs>
                    <a:gs pos="94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99CC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'Track Data '!$A$44:$A$48</c:f>
              <c:strCache>
                <c:ptCount val="5"/>
                <c:pt idx="0">
                  <c:v>Study+computer</c:v>
                </c:pt>
                <c:pt idx="1">
                  <c:v>Mobile</c:v>
                </c:pt>
                <c:pt idx="2">
                  <c:v>Sleep</c:v>
                </c:pt>
                <c:pt idx="3">
                  <c:v>Phy-act</c:v>
                </c:pt>
                <c:pt idx="4">
                  <c:v>Other</c:v>
                </c:pt>
              </c:strCache>
            </c:strRef>
          </c:cat>
          <c:val>
            <c:numRef>
              <c:f>'Track Data '!$C$44:$C$48</c:f>
              <c:numCache>
                <c:formatCode>[hh]:mm:ss</c:formatCode>
                <c:ptCount val="5"/>
                <c:pt idx="0">
                  <c:v>1.6666666666666661</c:v>
                </c:pt>
                <c:pt idx="1">
                  <c:v>0.30902777777777835</c:v>
                </c:pt>
                <c:pt idx="2">
                  <c:v>1.0555555555555558</c:v>
                </c:pt>
                <c:pt idx="3" formatCode="[$-F400]h:mm:ss\ AM/PM">
                  <c:v>0.1909722222222221</c:v>
                </c:pt>
                <c:pt idx="4" formatCode="[$-F400]h:mm:ss\ AM/PM">
                  <c:v>0.21527777777777768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E0-4E73-8F41-48B31D65967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137"/>
        <c:holeSize val="43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4192969173934199E-2"/>
          <c:y val="0.25728707679410617"/>
          <c:w val="0.21353297392276016"/>
          <c:h val="0.626305897566127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rgbClr val="009999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gradFill>
        <a:gsLst>
          <a:gs pos="29000">
            <a:srgbClr val="CC0099"/>
          </a:gs>
          <a:gs pos="51000">
            <a:srgbClr val="00CC99"/>
          </a:gs>
          <a:gs pos="77000">
            <a:srgbClr val="FFFF00"/>
          </a:gs>
          <a:gs pos="100000">
            <a:srgbClr val="00B0F0"/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gradFill>
                  <a:gsLst>
                    <a:gs pos="22000">
                      <a:srgbClr val="CC0099"/>
                    </a:gs>
                    <a:gs pos="94000">
                      <a:srgbClr val="FFFF00"/>
                    </a:gs>
                    <a:gs pos="51000">
                      <a:srgbClr val="00B0F0"/>
                    </a:gs>
                  </a:gsLst>
                  <a:lin ang="0" scaled="0"/>
                </a:gradFill>
                <a:latin typeface="Algerian" panose="04020705040A02060702" pitchFamily="82" charset="0"/>
                <a:ea typeface="+mn-ea"/>
                <a:cs typeface="+mn-cs"/>
              </a:defRPr>
            </a:pPr>
            <a:r>
              <a:rPr lang="en-IN" sz="1400" b="1" baseline="0">
                <a:gradFill>
                  <a:gsLst>
                    <a:gs pos="22000">
                      <a:srgbClr val="CC0099"/>
                    </a:gs>
                    <a:gs pos="94000">
                      <a:srgbClr val="FFFF00"/>
                    </a:gs>
                    <a:gs pos="51000">
                      <a:srgbClr val="00B0F0"/>
                    </a:gs>
                  </a:gsLst>
                  <a:lin ang="0" scaled="0"/>
                </a:gradFill>
                <a:latin typeface="Algerian" panose="04020705040A02060702" pitchFamily="82" charset="0"/>
              </a:rPr>
              <a:t>mOOD VS TIME</a:t>
            </a:r>
          </a:p>
        </c:rich>
      </c:tx>
      <c:overlay val="0"/>
      <c:spPr>
        <a:noFill/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gradFill>
                <a:gsLst>
                  <a:gs pos="22000">
                    <a:srgbClr val="CC0099"/>
                  </a:gs>
                  <a:gs pos="94000">
                    <a:srgbClr val="FFFF00"/>
                  </a:gs>
                  <a:gs pos="51000">
                    <a:srgbClr val="00B0F0"/>
                  </a:gs>
                </a:gsLst>
                <a:lin ang="0" scaled="0"/>
              </a:gradFill>
              <a:latin typeface="Algerian" panose="04020705040A02060702" pitchFamily="8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864616960701392E-2"/>
          <c:y val="0.17945905781408716"/>
          <c:w val="0.88294677991272275"/>
          <c:h val="0.58401742705346271"/>
        </c:manualLayout>
      </c:layout>
      <c:barChart>
        <c:barDir val="col"/>
        <c:grouping val="clustered"/>
        <c:varyColors val="0"/>
        <c:ser>
          <c:idx val="0"/>
          <c:order val="0"/>
          <c:tx>
            <c:v>7 TH FEB</c:v>
          </c:tx>
          <c:spPr>
            <a:gradFill flip="none" rotWithShape="1">
              <a:gsLst>
                <a:gs pos="0">
                  <a:srgbClr val="FFFF00"/>
                </a:gs>
                <a:gs pos="60000">
                  <a:srgbClr val="FF33CC"/>
                </a:gs>
              </a:gsLst>
              <a:lin ang="1200000" scaled="0"/>
              <a:tileRect/>
            </a:gradFill>
            <a:ln w="19050">
              <a:solidFill>
                <a:schemeClr val="lt1"/>
              </a:solidFill>
            </a:ln>
            <a:effectLst>
              <a:outerShdw blurRad="50800" dist="38100" dir="2700000" algn="tl" rotWithShape="0">
                <a:schemeClr val="bg2">
                  <a:alpha val="40000"/>
                </a:schemeClr>
              </a:outerShdw>
              <a:softEdge rad="63500"/>
            </a:effectLst>
            <a:scene3d>
              <a:camera prst="orthographicFront"/>
              <a:lightRig rig="threePt" dir="t"/>
            </a:scene3d>
            <a:sp3d>
              <a:bevelT/>
              <a:bevelB w="139700" prst="cross"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'Track Data '!$S$33:$S$36</c15:sqref>
                  </c15:fullRef>
                </c:ext>
              </c:extLst>
              <c:f>'Track Data '!$S$33:$S$36</c:f>
              <c:strCache>
                <c:ptCount val="4"/>
                <c:pt idx="0">
                  <c:v>Active</c:v>
                </c:pt>
                <c:pt idx="1">
                  <c:v>Happy</c:v>
                </c:pt>
                <c:pt idx="2">
                  <c:v>Tired</c:v>
                </c:pt>
                <c:pt idx="3">
                  <c:v>Fresh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'Track Data '!$U$17:$U$20</c15:sqref>
                  </c15:fullRef>
                </c:ext>
              </c:extLst>
              <c:f>'Track Data '!$U$17:$U$20</c:f>
              <c:numCache>
                <c:formatCode>[$-F400]h:mm:ss\ AM/PM</c:formatCode>
                <c:ptCount val="4"/>
                <c:pt idx="0">
                  <c:v>0.18055555555555547</c:v>
                </c:pt>
                <c:pt idx="1">
                  <c:v>0.12499999999999989</c:v>
                </c:pt>
                <c:pt idx="2">
                  <c:v>0.12500000000000011</c:v>
                </c:pt>
                <c:pt idx="3">
                  <c:v>4.861111111111116E-2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3-4ECD-AB92-5528D5BE484D}"/>
            </c:ext>
          </c:extLst>
        </c:ser>
        <c:ser>
          <c:idx val="1"/>
          <c:order val="1"/>
          <c:tx>
            <c:v>8TH FEB</c:v>
          </c:tx>
          <c:spPr>
            <a:gradFill>
              <a:gsLst>
                <a:gs pos="50000">
                  <a:srgbClr val="CC0099"/>
                </a:gs>
                <a:gs pos="100000">
                  <a:srgbClr val="0099CC"/>
                </a:gs>
              </a:gsLst>
              <a:lin ang="1200000" scaled="0"/>
            </a:gradFill>
            <a:ln w="1905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'Track Data '!$S$33:$S$36</c15:sqref>
                  </c15:fullRef>
                </c:ext>
              </c:extLst>
              <c:f>'Track Data '!$S$33:$S$36</c:f>
              <c:strCache>
                <c:ptCount val="4"/>
                <c:pt idx="0">
                  <c:v>Active</c:v>
                </c:pt>
                <c:pt idx="1">
                  <c:v>Happy</c:v>
                </c:pt>
                <c:pt idx="2">
                  <c:v>Tired</c:v>
                </c:pt>
                <c:pt idx="3">
                  <c:v>Fresh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'Track Data '!$C$11:$C$15</c15:sqref>
                  </c15:fullRef>
                </c:ext>
              </c:extLst>
              <c:f>'Track Data '!$C$11:$C$14</c:f>
              <c:numCache>
                <c:formatCode>[hh]:mm:ss</c:formatCode>
                <c:ptCount val="4"/>
                <c:pt idx="0">
                  <c:v>0.45138888888888867</c:v>
                </c:pt>
                <c:pt idx="1">
                  <c:v>0.10069444444444453</c:v>
                </c:pt>
                <c:pt idx="2">
                  <c:v>0.34027777777777779</c:v>
                </c:pt>
                <c:pt idx="3">
                  <c:v>6.597222222222221E-2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3-4ECD-AB92-5528D5BE484D}"/>
            </c:ext>
          </c:extLst>
        </c:ser>
        <c:ser>
          <c:idx val="2"/>
          <c:order val="2"/>
          <c:tx>
            <c:v>9TH FEB</c:v>
          </c:tx>
          <c:spPr>
            <a:gradFill>
              <a:gsLst>
                <a:gs pos="0">
                  <a:srgbClr val="CC0099"/>
                </a:gs>
                <a:gs pos="100000">
                  <a:srgbClr val="FFFF00"/>
                </a:gs>
                <a:gs pos="36000">
                  <a:srgbClr val="0099CC"/>
                </a:gs>
              </a:gsLst>
              <a:lin ang="1200000" scaled="0"/>
            </a:gradFill>
            <a:ln w="1905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'Track Data '!$S$33:$S$36</c15:sqref>
                  </c15:fullRef>
                </c:ext>
              </c:extLst>
              <c:f>'Track Data '!$S$33:$S$36</c:f>
              <c:strCache>
                <c:ptCount val="4"/>
                <c:pt idx="0">
                  <c:v>Active</c:v>
                </c:pt>
                <c:pt idx="1">
                  <c:v>Happy</c:v>
                </c:pt>
                <c:pt idx="2">
                  <c:v>Tired</c:v>
                </c:pt>
                <c:pt idx="3">
                  <c:v>Fresh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'Track Data '!$C$17:$C$20</c15:sqref>
                  </c15:fullRef>
                </c:ext>
              </c:extLst>
              <c:f>'Track Data '!$C$17:$C$20</c:f>
              <c:numCache>
                <c:formatCode>[hh]:mm:ss</c:formatCode>
                <c:ptCount val="4"/>
                <c:pt idx="0">
                  <c:v>0.31944444444444431</c:v>
                </c:pt>
                <c:pt idx="1">
                  <c:v>9.7222222222222265E-2</c:v>
                </c:pt>
                <c:pt idx="2">
                  <c:v>9.375E-2</c:v>
                </c:pt>
                <c:pt idx="3">
                  <c:v>0.14930555555555558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D3-4ECD-AB92-5528D5BE484D}"/>
            </c:ext>
          </c:extLst>
        </c:ser>
        <c:ser>
          <c:idx val="3"/>
          <c:order val="3"/>
          <c:tx>
            <c:v>10TH FEB</c:v>
          </c:tx>
          <c:spPr>
            <a:gradFill>
              <a:gsLst>
                <a:gs pos="61000">
                  <a:srgbClr val="00CC99"/>
                </a:gs>
                <a:gs pos="34000">
                  <a:srgbClr val="FFFF00"/>
                </a:gs>
              </a:gsLst>
              <a:lin ang="1200000" scaled="0"/>
            </a:gradFill>
            <a:ln w="19050"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'Track Data '!$S$33:$S$36</c15:sqref>
                  </c15:fullRef>
                </c:ext>
              </c:extLst>
              <c:f>'Track Data '!$S$33:$S$36</c:f>
              <c:strCache>
                <c:ptCount val="4"/>
                <c:pt idx="0">
                  <c:v>Active</c:v>
                </c:pt>
                <c:pt idx="1">
                  <c:v>Happy</c:v>
                </c:pt>
                <c:pt idx="2">
                  <c:v>Tired</c:v>
                </c:pt>
                <c:pt idx="3">
                  <c:v>Fresh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'Track Data '!$U$27:$U$31</c15:sqref>
                  </c15:fullRef>
                </c:ext>
              </c:extLst>
              <c:f>'Track Data '!$U$27:$U$30</c:f>
              <c:numCache>
                <c:formatCode>[hh]:mm:ss</c:formatCode>
                <c:ptCount val="4"/>
                <c:pt idx="0">
                  <c:v>0.46180555555555541</c:v>
                </c:pt>
                <c:pt idx="1">
                  <c:v>5.9027777777777901E-2</c:v>
                </c:pt>
                <c:pt idx="2">
                  <c:v>0.32638888888888895</c:v>
                </c:pt>
                <c:pt idx="3">
                  <c:v>6.597222222222221E-2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D3-4ECD-AB92-5528D5BE4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793694928"/>
        <c:axId val="793709488"/>
      </c:barChart>
      <c:catAx>
        <c:axId val="79369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99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09488"/>
        <c:crosses val="autoZero"/>
        <c:auto val="1"/>
        <c:lblAlgn val="ctr"/>
        <c:lblOffset val="100"/>
        <c:noMultiLvlLbl val="0"/>
      </c:catAx>
      <c:valAx>
        <c:axId val="79370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>
              <a:outerShdw blurRad="50800" dist="38100" dir="2700000" sx="103000" sy="103000" algn="tl" rotWithShape="0">
                <a:schemeClr val="bg2"/>
              </a:outerShdw>
              <a:softEdge rad="31750"/>
            </a:effectLst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99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69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rgbClr val="009999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gradFill>
        <a:gsLst>
          <a:gs pos="44000">
            <a:srgbClr val="CC0099"/>
          </a:gs>
          <a:gs pos="79000">
            <a:srgbClr val="FFFF00"/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gradFill>
                  <a:gsLst>
                    <a:gs pos="22000">
                      <a:srgbClr val="CC0099"/>
                    </a:gs>
                    <a:gs pos="94000">
                      <a:srgbClr val="FFFF00"/>
                    </a:gs>
                    <a:gs pos="51000">
                      <a:srgbClr val="00B0F0"/>
                    </a:gs>
                  </a:gsLst>
                  <a:lin ang="0" scaled="0"/>
                </a:gradFill>
                <a:latin typeface="Algerian" panose="04020705040A02060702" pitchFamily="82" charset="0"/>
                <a:ea typeface="+mn-ea"/>
                <a:cs typeface="+mn-cs"/>
              </a:defRPr>
            </a:pPr>
            <a:r>
              <a:rPr lang="en-US">
                <a:gradFill>
                  <a:gsLst>
                    <a:gs pos="22000">
                      <a:srgbClr val="CC0099"/>
                    </a:gs>
                    <a:gs pos="94000">
                      <a:srgbClr val="FFFF00"/>
                    </a:gs>
                    <a:gs pos="51000">
                      <a:srgbClr val="00B0F0"/>
                    </a:gs>
                  </a:gsLst>
                  <a:lin ang="0" scaled="0"/>
                </a:gradFill>
                <a:latin typeface="Algerian" panose="04020705040A02060702" pitchFamily="82" charset="0"/>
              </a:rPr>
              <a:t>Water-Track(ml)</a:t>
            </a:r>
          </a:p>
        </c:rich>
      </c:tx>
      <c:overlay val="0"/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gradFill>
                <a:gsLst>
                  <a:gs pos="22000">
                    <a:srgbClr val="CC0099"/>
                  </a:gs>
                  <a:gs pos="94000">
                    <a:srgbClr val="FFFF00"/>
                  </a:gs>
                  <a:gs pos="51000">
                    <a:srgbClr val="00B0F0"/>
                  </a:gs>
                </a:gsLst>
                <a:lin ang="0" scaled="0"/>
              </a:gradFill>
              <a:latin typeface="Algerian" panose="04020705040A02060702" pitchFamily="8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56932883389582E-2"/>
          <c:y val="0.11261468786989862"/>
          <c:w val="0.89226962234816187"/>
          <c:h val="0.83633577664555103"/>
        </c:manualLayout>
      </c:layout>
      <c:lineChart>
        <c:grouping val="stacked"/>
        <c:varyColors val="0"/>
        <c:ser>
          <c:idx val="0"/>
          <c:order val="0"/>
          <c:tx>
            <c:strRef>
              <c:f>'Track Data '!$L$8</c:f>
              <c:strCache>
                <c:ptCount val="1"/>
                <c:pt idx="0">
                  <c:v>water-track(ml)</c:v>
                </c:pt>
              </c:strCache>
            </c:strRef>
          </c:tx>
          <c:spPr>
            <a:ln w="19050" cap="rnd">
              <a:gradFill>
                <a:gsLst>
                  <a:gs pos="22000">
                    <a:srgbClr val="CC0099"/>
                  </a:gs>
                  <a:gs pos="94000">
                    <a:srgbClr val="0099CC"/>
                  </a:gs>
                  <a:gs pos="72000">
                    <a:srgbClr val="FFFF00"/>
                  </a:gs>
                  <a:gs pos="51000">
                    <a:srgbClr val="00B0F0"/>
                  </a:gs>
                </a:gsLst>
                <a:lin ang="0" scaled="0"/>
              </a:gra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10"/>
            <c:marker>
              <c:symbol val="none"/>
            </c:marker>
            <c:bubble3D val="0"/>
            <c:spPr>
              <a:ln w="19050" cap="rnd">
                <a:gradFill>
                  <a:gsLst>
                    <a:gs pos="22000">
                      <a:srgbClr val="CC0099"/>
                    </a:gs>
                    <a:gs pos="94000">
                      <a:srgbClr val="0099CC"/>
                    </a:gs>
                    <a:gs pos="72000">
                      <a:srgbClr val="FFFF00"/>
                    </a:gs>
                    <a:gs pos="51000">
                      <a:srgbClr val="00B0F0"/>
                    </a:gs>
                  </a:gsLst>
                  <a:lin ang="0" scaled="0"/>
                </a:gra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748-41D0-B3CD-56D9691351E5}"/>
              </c:ext>
            </c:extLst>
          </c:dPt>
          <c:dPt>
            <c:idx val="11"/>
            <c:marker>
              <c:symbol val="none"/>
            </c:marker>
            <c:bubble3D val="0"/>
            <c:spPr>
              <a:ln w="19050" cap="rnd">
                <a:gradFill>
                  <a:gsLst>
                    <a:gs pos="22000">
                      <a:srgbClr val="CC0099"/>
                    </a:gs>
                    <a:gs pos="94000">
                      <a:srgbClr val="0099CC"/>
                    </a:gs>
                    <a:gs pos="72000">
                      <a:srgbClr val="FFFF00"/>
                    </a:gs>
                    <a:gs pos="51000">
                      <a:srgbClr val="00B0F0"/>
                    </a:gs>
                  </a:gsLst>
                  <a:lin ang="0" scaled="0"/>
                </a:gra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3748-41D0-B3CD-56D9691351E5}"/>
              </c:ext>
            </c:extLst>
          </c:dPt>
          <c:dPt>
            <c:idx val="28"/>
            <c:marker>
              <c:symbol val="none"/>
            </c:marker>
            <c:bubble3D val="0"/>
            <c:spPr>
              <a:ln w="19050" cap="rnd">
                <a:gradFill>
                  <a:gsLst>
                    <a:gs pos="22000">
                      <a:srgbClr val="CC0099"/>
                    </a:gs>
                    <a:gs pos="94000">
                      <a:srgbClr val="0099CC"/>
                    </a:gs>
                    <a:gs pos="72000">
                      <a:srgbClr val="FFFF00"/>
                    </a:gs>
                    <a:gs pos="51000">
                      <a:srgbClr val="00B0F0"/>
                    </a:gs>
                  </a:gsLst>
                  <a:lin ang="0" scaled="0"/>
                </a:gra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748-41D0-B3CD-56D9691351E5}"/>
              </c:ext>
            </c:extLst>
          </c:dPt>
          <c:dPt>
            <c:idx val="29"/>
            <c:marker>
              <c:symbol val="none"/>
            </c:marker>
            <c:bubble3D val="0"/>
            <c:spPr>
              <a:ln w="19050" cap="rnd">
                <a:gradFill>
                  <a:gsLst>
                    <a:gs pos="22000">
                      <a:srgbClr val="CC0099"/>
                    </a:gs>
                    <a:gs pos="94000">
                      <a:srgbClr val="0099CC"/>
                    </a:gs>
                    <a:gs pos="72000">
                      <a:srgbClr val="FFFF00"/>
                    </a:gs>
                    <a:gs pos="51000">
                      <a:srgbClr val="00B0F0"/>
                    </a:gs>
                  </a:gsLst>
                  <a:lin ang="0" scaled="0"/>
                </a:gra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748-41D0-B3CD-56D9691351E5}"/>
              </c:ext>
            </c:extLst>
          </c:dPt>
          <c:dPt>
            <c:idx val="4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3748-41D0-B3CD-56D9691351E5}"/>
              </c:ext>
            </c:extLst>
          </c:dPt>
          <c:cat>
            <c:numRef>
              <c:f>'Track Data '!$G$9:$G$71</c:f>
              <c:numCache>
                <c:formatCode>m/d/yyyy</c:formatCode>
                <c:ptCount val="63"/>
                <c:pt idx="0">
                  <c:v>44964</c:v>
                </c:pt>
                <c:pt idx="1">
                  <c:v>44964</c:v>
                </c:pt>
                <c:pt idx="2">
                  <c:v>44964</c:v>
                </c:pt>
                <c:pt idx="3">
                  <c:v>44964</c:v>
                </c:pt>
                <c:pt idx="4">
                  <c:v>44964</c:v>
                </c:pt>
                <c:pt idx="5">
                  <c:v>44964</c:v>
                </c:pt>
                <c:pt idx="6">
                  <c:v>44964</c:v>
                </c:pt>
                <c:pt idx="7">
                  <c:v>44964</c:v>
                </c:pt>
                <c:pt idx="8">
                  <c:v>44964</c:v>
                </c:pt>
                <c:pt idx="9">
                  <c:v>44964</c:v>
                </c:pt>
                <c:pt idx="10">
                  <c:v>44965</c:v>
                </c:pt>
                <c:pt idx="11">
                  <c:v>44965</c:v>
                </c:pt>
                <c:pt idx="12">
                  <c:v>44965</c:v>
                </c:pt>
                <c:pt idx="13">
                  <c:v>44965</c:v>
                </c:pt>
                <c:pt idx="14">
                  <c:v>44965</c:v>
                </c:pt>
                <c:pt idx="15">
                  <c:v>44965</c:v>
                </c:pt>
                <c:pt idx="16">
                  <c:v>44965</c:v>
                </c:pt>
                <c:pt idx="17">
                  <c:v>44965</c:v>
                </c:pt>
                <c:pt idx="18">
                  <c:v>44965</c:v>
                </c:pt>
                <c:pt idx="19">
                  <c:v>44965</c:v>
                </c:pt>
                <c:pt idx="20">
                  <c:v>44965</c:v>
                </c:pt>
                <c:pt idx="21">
                  <c:v>44965</c:v>
                </c:pt>
                <c:pt idx="22">
                  <c:v>44965</c:v>
                </c:pt>
                <c:pt idx="23">
                  <c:v>44965</c:v>
                </c:pt>
                <c:pt idx="24">
                  <c:v>44965</c:v>
                </c:pt>
                <c:pt idx="25">
                  <c:v>44965</c:v>
                </c:pt>
                <c:pt idx="26">
                  <c:v>44965</c:v>
                </c:pt>
                <c:pt idx="27">
                  <c:v>44965</c:v>
                </c:pt>
                <c:pt idx="28">
                  <c:v>44966</c:v>
                </c:pt>
                <c:pt idx="29">
                  <c:v>44966</c:v>
                </c:pt>
                <c:pt idx="30">
                  <c:v>44966</c:v>
                </c:pt>
                <c:pt idx="31">
                  <c:v>44966</c:v>
                </c:pt>
                <c:pt idx="32">
                  <c:v>44966</c:v>
                </c:pt>
                <c:pt idx="33">
                  <c:v>44966</c:v>
                </c:pt>
                <c:pt idx="34">
                  <c:v>44966</c:v>
                </c:pt>
                <c:pt idx="35">
                  <c:v>44966</c:v>
                </c:pt>
                <c:pt idx="36">
                  <c:v>44966</c:v>
                </c:pt>
                <c:pt idx="37">
                  <c:v>44966</c:v>
                </c:pt>
                <c:pt idx="38">
                  <c:v>44966</c:v>
                </c:pt>
                <c:pt idx="39">
                  <c:v>44966</c:v>
                </c:pt>
                <c:pt idx="40">
                  <c:v>44966</c:v>
                </c:pt>
                <c:pt idx="41">
                  <c:v>44966</c:v>
                </c:pt>
                <c:pt idx="42">
                  <c:v>44966</c:v>
                </c:pt>
                <c:pt idx="43">
                  <c:v>44966</c:v>
                </c:pt>
                <c:pt idx="44">
                  <c:v>44966</c:v>
                </c:pt>
                <c:pt idx="45">
                  <c:v>44966</c:v>
                </c:pt>
                <c:pt idx="46">
                  <c:v>44967</c:v>
                </c:pt>
                <c:pt idx="47">
                  <c:v>44967</c:v>
                </c:pt>
                <c:pt idx="48">
                  <c:v>44967</c:v>
                </c:pt>
                <c:pt idx="49">
                  <c:v>44967</c:v>
                </c:pt>
                <c:pt idx="50">
                  <c:v>44967</c:v>
                </c:pt>
                <c:pt idx="51">
                  <c:v>44967</c:v>
                </c:pt>
                <c:pt idx="52">
                  <c:v>44967</c:v>
                </c:pt>
                <c:pt idx="53">
                  <c:v>44967</c:v>
                </c:pt>
                <c:pt idx="54">
                  <c:v>44967</c:v>
                </c:pt>
                <c:pt idx="55">
                  <c:v>44967</c:v>
                </c:pt>
                <c:pt idx="56">
                  <c:v>44967</c:v>
                </c:pt>
                <c:pt idx="57">
                  <c:v>44967</c:v>
                </c:pt>
                <c:pt idx="58">
                  <c:v>44967</c:v>
                </c:pt>
                <c:pt idx="59">
                  <c:v>44967</c:v>
                </c:pt>
                <c:pt idx="60">
                  <c:v>44967</c:v>
                </c:pt>
                <c:pt idx="61">
                  <c:v>44967</c:v>
                </c:pt>
                <c:pt idx="62">
                  <c:v>44967</c:v>
                </c:pt>
              </c:numCache>
            </c:numRef>
          </c:cat>
          <c:val>
            <c:numRef>
              <c:f>'Track Data '!$L$9:$L$71</c:f>
              <c:numCache>
                <c:formatCode>General</c:formatCode>
                <c:ptCount val="63"/>
                <c:pt idx="0" formatCode="0">
                  <c:v>0.2</c:v>
                </c:pt>
                <c:pt idx="1">
                  <c:v>100</c:v>
                </c:pt>
                <c:pt idx="2">
                  <c:v>0</c:v>
                </c:pt>
                <c:pt idx="3">
                  <c:v>300</c:v>
                </c:pt>
                <c:pt idx="4">
                  <c:v>400</c:v>
                </c:pt>
                <c:pt idx="5">
                  <c:v>200</c:v>
                </c:pt>
                <c:pt idx="6">
                  <c:v>200</c:v>
                </c:pt>
                <c:pt idx="7">
                  <c:v>100</c:v>
                </c:pt>
                <c:pt idx="8">
                  <c:v>0</c:v>
                </c:pt>
                <c:pt idx="9">
                  <c:v>500</c:v>
                </c:pt>
                <c:pt idx="10">
                  <c:v>0</c:v>
                </c:pt>
                <c:pt idx="11">
                  <c:v>500</c:v>
                </c:pt>
                <c:pt idx="12">
                  <c:v>200</c:v>
                </c:pt>
                <c:pt idx="13">
                  <c:v>100</c:v>
                </c:pt>
                <c:pt idx="14">
                  <c:v>0</c:v>
                </c:pt>
                <c:pt idx="15">
                  <c:v>300</c:v>
                </c:pt>
                <c:pt idx="16">
                  <c:v>300</c:v>
                </c:pt>
                <c:pt idx="17">
                  <c:v>100</c:v>
                </c:pt>
                <c:pt idx="18">
                  <c:v>200</c:v>
                </c:pt>
                <c:pt idx="19">
                  <c:v>0</c:v>
                </c:pt>
                <c:pt idx="20">
                  <c:v>300</c:v>
                </c:pt>
                <c:pt idx="21">
                  <c:v>100</c:v>
                </c:pt>
                <c:pt idx="22">
                  <c:v>200</c:v>
                </c:pt>
                <c:pt idx="23">
                  <c:v>400</c:v>
                </c:pt>
                <c:pt idx="24">
                  <c:v>100</c:v>
                </c:pt>
                <c:pt idx="25">
                  <c:v>400</c:v>
                </c:pt>
                <c:pt idx="26">
                  <c:v>200</c:v>
                </c:pt>
                <c:pt idx="27">
                  <c:v>500</c:v>
                </c:pt>
                <c:pt idx="28">
                  <c:v>0</c:v>
                </c:pt>
                <c:pt idx="29">
                  <c:v>500</c:v>
                </c:pt>
                <c:pt idx="30">
                  <c:v>200</c:v>
                </c:pt>
                <c:pt idx="31">
                  <c:v>100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100</c:v>
                </c:pt>
                <c:pt idx="36">
                  <c:v>200</c:v>
                </c:pt>
                <c:pt idx="37">
                  <c:v>0</c:v>
                </c:pt>
                <c:pt idx="38">
                  <c:v>300</c:v>
                </c:pt>
                <c:pt idx="39">
                  <c:v>100</c:v>
                </c:pt>
                <c:pt idx="40">
                  <c:v>200</c:v>
                </c:pt>
                <c:pt idx="41">
                  <c:v>400</c:v>
                </c:pt>
                <c:pt idx="42">
                  <c:v>100</c:v>
                </c:pt>
                <c:pt idx="43">
                  <c:v>400</c:v>
                </c:pt>
                <c:pt idx="44">
                  <c:v>200</c:v>
                </c:pt>
                <c:pt idx="45">
                  <c:v>500</c:v>
                </c:pt>
                <c:pt idx="46">
                  <c:v>0</c:v>
                </c:pt>
                <c:pt idx="47">
                  <c:v>600</c:v>
                </c:pt>
                <c:pt idx="48">
                  <c:v>300</c:v>
                </c:pt>
                <c:pt idx="49">
                  <c:v>200</c:v>
                </c:pt>
                <c:pt idx="50">
                  <c:v>250</c:v>
                </c:pt>
                <c:pt idx="51">
                  <c:v>300</c:v>
                </c:pt>
                <c:pt idx="52">
                  <c:v>400</c:v>
                </c:pt>
                <c:pt idx="53">
                  <c:v>150</c:v>
                </c:pt>
                <c:pt idx="54">
                  <c:v>200</c:v>
                </c:pt>
                <c:pt idx="55">
                  <c:v>0</c:v>
                </c:pt>
                <c:pt idx="56">
                  <c:v>250</c:v>
                </c:pt>
                <c:pt idx="57">
                  <c:v>200</c:v>
                </c:pt>
                <c:pt idx="58">
                  <c:v>200</c:v>
                </c:pt>
                <c:pt idx="59">
                  <c:v>400</c:v>
                </c:pt>
                <c:pt idx="60">
                  <c:v>100</c:v>
                </c:pt>
                <c:pt idx="61">
                  <c:v>400</c:v>
                </c:pt>
                <c:pt idx="62">
                  <c:v>200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AF4-474C-A3F4-BDC08BB54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955328"/>
        <c:axId val="835953248"/>
      </c:lineChart>
      <c:dateAx>
        <c:axId val="835955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99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53248"/>
        <c:crosses val="autoZero"/>
        <c:auto val="1"/>
        <c:lblOffset val="100"/>
        <c:baseTimeUnit val="days"/>
      </c:dateAx>
      <c:valAx>
        <c:axId val="8359532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99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5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gradFill>
        <a:gsLst>
          <a:gs pos="0">
            <a:srgbClr val="CC0099"/>
          </a:gs>
          <a:gs pos="37000">
            <a:srgbClr val="0099CC"/>
          </a:gs>
          <a:gs pos="78000">
            <a:srgbClr val="FFFF00"/>
          </a:gs>
          <a:gs pos="100000">
            <a:srgbClr val="00B0F0"/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gradFill>
                  <a:gsLst>
                    <a:gs pos="22000">
                      <a:srgbClr val="CC0099"/>
                    </a:gs>
                    <a:gs pos="94000">
                      <a:srgbClr val="0099CC"/>
                    </a:gs>
                    <a:gs pos="51000">
                      <a:srgbClr val="00B0F0"/>
                    </a:gs>
                  </a:gsLst>
                  <a:lin ang="0" scaled="0"/>
                </a:gra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lgerian" panose="04020705040A02060702" pitchFamily="82" charset="0"/>
                <a:ea typeface="+mn-ea"/>
                <a:cs typeface="+mn-cs"/>
              </a:defRPr>
            </a:pPr>
            <a:r>
              <a:rPr lang="en-IN">
                <a:gradFill>
                  <a:gsLst>
                    <a:gs pos="22000">
                      <a:srgbClr val="CC0099"/>
                    </a:gs>
                    <a:gs pos="94000">
                      <a:srgbClr val="0099CC"/>
                    </a:gs>
                    <a:gs pos="51000">
                      <a:srgbClr val="00B0F0"/>
                    </a:gs>
                  </a:gsLst>
                  <a:lin ang="0" scaled="0"/>
                </a:gradFill>
                <a:latin typeface="Algerian" panose="04020705040A02060702" pitchFamily="82" charset="0"/>
              </a:rPr>
              <a:t>Activity vs Mood</a:t>
            </a:r>
          </a:p>
        </c:rich>
      </c:tx>
      <c:overlay val="0"/>
      <c:spPr>
        <a:noFill/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gradFill>
                <a:gsLst>
                  <a:gs pos="22000">
                    <a:srgbClr val="CC0099"/>
                  </a:gs>
                  <a:gs pos="94000">
                    <a:srgbClr val="0099CC"/>
                  </a:gs>
                  <a:gs pos="51000">
                    <a:srgbClr val="00B0F0"/>
                  </a:gs>
                </a:gsLst>
                <a:lin ang="0" scaled="0"/>
              </a:gra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lgerian" panose="04020705040A02060702" pitchFamily="8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796547034942647E-2"/>
          <c:y val="0.15446254332712228"/>
          <c:w val="0.84150512345826722"/>
          <c:h val="0.76597463485003292"/>
        </c:manualLayout>
      </c:layout>
      <c:lineChart>
        <c:grouping val="standard"/>
        <c:varyColors val="0"/>
        <c:ser>
          <c:idx val="0"/>
          <c:order val="0"/>
          <c:tx>
            <c:strRef>
              <c:f>'Track Data '!$S$43</c:f>
              <c:strCache>
                <c:ptCount val="1"/>
                <c:pt idx="0">
                  <c:v>Active</c:v>
                </c:pt>
              </c:strCache>
            </c:strRef>
          </c:tx>
          <c:spPr>
            <a:ln w="34925" cap="flat" cmpd="dbl">
              <a:solidFill>
                <a:srgbClr val="CC0099"/>
              </a:solidFill>
              <a:round/>
              <a:tailEnd type="stealth"/>
              <a:extLst>
                <a:ext uri="{C807C97D-BFC1-408E-A445-0C87EB9F89A2}">
                  <ask:lineSketchStyleProps xmlns:ask="http://schemas.microsoft.com/office/drawing/2018/sketchyshapes">
                    <ask:type>
                      <ask:lineSketchCurved/>
                    </ask:type>
                  </ask:lineSketchStyleProps>
                </a:ext>
              </a:extLst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'Track Data '!$T$42:$V$42</c:f>
              <c:strCache>
                <c:ptCount val="3"/>
                <c:pt idx="0">
                  <c:v>Study+Computer</c:v>
                </c:pt>
                <c:pt idx="1">
                  <c:v>Mobile</c:v>
                </c:pt>
                <c:pt idx="2">
                  <c:v>Phy-act</c:v>
                </c:pt>
              </c:strCache>
            </c:strRef>
          </c:cat>
          <c:val>
            <c:numRef>
              <c:f>'Track Data '!$T$43:$V$43</c:f>
              <c:numCache>
                <c:formatCode>General</c:formatCode>
                <c:ptCount val="3"/>
                <c:pt idx="0">
                  <c:v>16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727-4D64-A793-BAADDC255592}"/>
            </c:ext>
          </c:extLst>
        </c:ser>
        <c:ser>
          <c:idx val="1"/>
          <c:order val="1"/>
          <c:tx>
            <c:strRef>
              <c:f>'Track Data '!$S$44</c:f>
              <c:strCache>
                <c:ptCount val="1"/>
                <c:pt idx="0">
                  <c:v>Happy</c:v>
                </c:pt>
              </c:strCache>
            </c:strRef>
          </c:tx>
          <c:spPr>
            <a:ln w="34925" cap="rnd">
              <a:solidFill>
                <a:srgbClr val="FF3300"/>
              </a:solidFill>
              <a:round/>
              <a:tailEnd type="stealth"/>
              <a:extLst>
                <a:ext uri="{C807C97D-BFC1-408E-A445-0C87EB9F89A2}">
                  <ask:lineSketchStyleProps xmlns:ask="http://schemas.microsoft.com/office/drawing/2018/sketchyshapes">
                    <ask:type>
                      <ask:lineSketchCurved/>
                    </ask:type>
                  </ask:lineSketchStyleProps>
                </a:ext>
              </a:extLst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4925" cap="rnd" cmpd="dbl">
                <a:solidFill>
                  <a:srgbClr val="FF3300"/>
                </a:solidFill>
                <a:prstDash val="solid"/>
                <a:round/>
                <a:tailEnd type="stealth"/>
                <a:extLst>
                  <a:ext uri="{C807C97D-BFC1-408E-A445-0C87EB9F89A2}">
                    <ask:lineSketchStyleProps xmlns:ask="http://schemas.microsoft.com/office/drawing/2018/sketchyshapes">
                      <ask:type>
                        <ask:lineSketchCurved/>
                      </ask:type>
                    </ask:lineSketchStyleProps>
                  </a:ext>
                </a:extLst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86F2-45FC-92D2-C28FC03851FC}"/>
              </c:ext>
            </c:extLst>
          </c:dPt>
          <c:cat>
            <c:strRef>
              <c:f>'Track Data '!$T$42:$V$42</c:f>
              <c:strCache>
                <c:ptCount val="3"/>
                <c:pt idx="0">
                  <c:v>Study+Computer</c:v>
                </c:pt>
                <c:pt idx="1">
                  <c:v>Mobile</c:v>
                </c:pt>
                <c:pt idx="2">
                  <c:v>Phy-act</c:v>
                </c:pt>
              </c:strCache>
            </c:strRef>
          </c:cat>
          <c:val>
            <c:numRef>
              <c:f>'Track Data '!$T$44:$V$44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7-4D64-A793-BAADDC255592}"/>
            </c:ext>
          </c:extLst>
        </c:ser>
        <c:ser>
          <c:idx val="2"/>
          <c:order val="2"/>
          <c:tx>
            <c:strRef>
              <c:f>'Track Data '!$S$45</c:f>
              <c:strCache>
                <c:ptCount val="1"/>
                <c:pt idx="0">
                  <c:v>Tired</c:v>
                </c:pt>
              </c:strCache>
            </c:strRef>
          </c:tx>
          <c:spPr>
            <a:ln w="34925" cap="rnd">
              <a:gradFill>
                <a:gsLst>
                  <a:gs pos="20000">
                    <a:srgbClr val="0099CC"/>
                  </a:gs>
                  <a:gs pos="33000">
                    <a:srgbClr val="FFFF00"/>
                  </a:gs>
                </a:gsLst>
                <a:lin ang="5400000" scaled="1"/>
              </a:gradFill>
              <a:round/>
              <a:tailEnd type="triangle"/>
              <a:extLst>
                <a:ext uri="{C807C97D-BFC1-408E-A445-0C87EB9F89A2}">
                  <ask:lineSketchStyleProps xmlns:ask="http://schemas.microsoft.com/office/drawing/2018/sketchyshapes">
                    <ask:type>
                      <ask:lineSketchCurved/>
                    </ask:type>
                  </ask:lineSketchStyleProps>
                </a:ext>
              </a:extLst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'Track Data '!$T$42:$V$42</c:f>
              <c:strCache>
                <c:ptCount val="3"/>
                <c:pt idx="0">
                  <c:v>Study+Computer</c:v>
                </c:pt>
                <c:pt idx="1">
                  <c:v>Mobile</c:v>
                </c:pt>
                <c:pt idx="2">
                  <c:v>Phy-act</c:v>
                </c:pt>
              </c:strCache>
            </c:strRef>
          </c:cat>
          <c:val>
            <c:numRef>
              <c:f>'Track Data '!$T$45:$V$45</c:f>
              <c:numCache>
                <c:formatCode>General</c:formatCode>
                <c:ptCount val="3"/>
                <c:pt idx="0">
                  <c:v>4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27-4D64-A793-BAADDC255592}"/>
            </c:ext>
          </c:extLst>
        </c:ser>
        <c:ser>
          <c:idx val="3"/>
          <c:order val="3"/>
          <c:tx>
            <c:strRef>
              <c:f>'Track Data '!$S$46</c:f>
              <c:strCache>
                <c:ptCount val="1"/>
                <c:pt idx="0">
                  <c:v>Fresh</c:v>
                </c:pt>
              </c:strCache>
            </c:strRef>
          </c:tx>
          <c:spPr>
            <a:ln w="34925" cap="rnd">
              <a:solidFill>
                <a:srgbClr val="009999"/>
              </a:solidFill>
              <a:round/>
              <a:tailEnd type="triangle"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'Track Data '!$T$42:$V$42</c:f>
              <c:strCache>
                <c:ptCount val="3"/>
                <c:pt idx="0">
                  <c:v>Study+Computer</c:v>
                </c:pt>
                <c:pt idx="1">
                  <c:v>Mobile</c:v>
                </c:pt>
                <c:pt idx="2">
                  <c:v>Phy-act</c:v>
                </c:pt>
              </c:strCache>
            </c:strRef>
          </c:cat>
          <c:val>
            <c:numRef>
              <c:f>'Track Data '!$T$46:$V$46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1727-4D64-A793-BAADDC255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549647"/>
        <c:axId val="1519548399"/>
      </c:lineChart>
      <c:catAx>
        <c:axId val="151954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99CC"/>
                </a:solidFill>
                <a:latin typeface="Algerian" panose="04020705040A02060702" pitchFamily="82" charset="0"/>
                <a:ea typeface="+mn-ea"/>
                <a:cs typeface="+mn-cs"/>
              </a:defRPr>
            </a:pPr>
            <a:endParaRPr lang="en-US"/>
          </a:p>
        </c:txPr>
        <c:crossAx val="1519548399"/>
        <c:crosses val="autoZero"/>
        <c:auto val="1"/>
        <c:lblAlgn val="ctr"/>
        <c:lblOffset val="100"/>
        <c:noMultiLvlLbl val="0"/>
      </c:catAx>
      <c:valAx>
        <c:axId val="151954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99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54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0099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782192492822003"/>
          <c:y val="0.40524598854485849"/>
          <c:w val="0.11330168483045039"/>
          <c:h val="0.342207581726063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9999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gradFill>
        <a:gsLst>
          <a:gs pos="0">
            <a:srgbClr val="CC0099"/>
          </a:gs>
          <a:gs pos="37000">
            <a:srgbClr val="FFFF00"/>
          </a:gs>
          <a:gs pos="100000">
            <a:srgbClr val="009999"/>
          </a:gs>
          <a:gs pos="72000">
            <a:srgbClr val="00B0F0"/>
          </a:gs>
        </a:gsLst>
        <a:lin ang="5400000" scaled="1"/>
      </a:gradFill>
    </a:ln>
    <a:effectLst>
      <a:glow>
        <a:schemeClr val="accent1"/>
      </a:glow>
      <a:outerShdw dist="38100" sx="1000" sy="1000" algn="tr" rotWithShape="0">
        <a:prstClr val="black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gradFill>
                  <a:gsLst>
                    <a:gs pos="22000">
                      <a:srgbClr val="CC0099"/>
                    </a:gs>
                    <a:gs pos="94000">
                      <a:srgbClr val="FFFF00"/>
                    </a:gs>
                    <a:gs pos="51000">
                      <a:srgbClr val="00B0F0"/>
                    </a:gs>
                  </a:gsLst>
                  <a:lin ang="0" scaled="0"/>
                </a:gradFill>
                <a:latin typeface="Algerian" panose="04020705040A02060702" pitchFamily="82" charset="0"/>
                <a:ea typeface="+mj-ea"/>
                <a:cs typeface="+mj-cs"/>
              </a:defRPr>
            </a:pPr>
            <a:r>
              <a:rPr lang="en-IN" sz="1400">
                <a:gradFill>
                  <a:gsLst>
                    <a:gs pos="22000">
                      <a:srgbClr val="CC0099"/>
                    </a:gs>
                    <a:gs pos="94000">
                      <a:srgbClr val="FFFF00"/>
                    </a:gs>
                    <a:gs pos="51000">
                      <a:srgbClr val="00B0F0"/>
                    </a:gs>
                  </a:gsLst>
                  <a:lin ang="0" scaled="0"/>
                </a:gradFill>
                <a:latin typeface="Algerian" panose="04020705040A02060702" pitchFamily="82" charset="0"/>
              </a:rPr>
              <a:t>TIME VS ACTIVITY</a:t>
            </a:r>
            <a:r>
              <a:rPr lang="en-IN" sz="1400" baseline="0">
                <a:gradFill>
                  <a:gsLst>
                    <a:gs pos="22000">
                      <a:srgbClr val="CC0099"/>
                    </a:gs>
                    <a:gs pos="94000">
                      <a:srgbClr val="FFFF00"/>
                    </a:gs>
                    <a:gs pos="51000">
                      <a:srgbClr val="00B0F0"/>
                    </a:gs>
                  </a:gsLst>
                  <a:lin ang="0" scaled="0"/>
                </a:gradFill>
                <a:latin typeface="Algerian" panose="04020705040A02060702" pitchFamily="82" charset="0"/>
              </a:rPr>
              <a:t> TRACK</a:t>
            </a:r>
            <a:endParaRPr lang="en-IN" sz="1400">
              <a:gradFill>
                <a:gsLst>
                  <a:gs pos="22000">
                    <a:srgbClr val="CC0099"/>
                  </a:gs>
                  <a:gs pos="94000">
                    <a:srgbClr val="FFFF00"/>
                  </a:gs>
                  <a:gs pos="51000">
                    <a:srgbClr val="00B0F0"/>
                  </a:gs>
                </a:gsLst>
                <a:lin ang="0" scaled="0"/>
              </a:gradFill>
              <a:latin typeface="Algerian" panose="04020705040A02060702" pitchFamily="82" charset="0"/>
            </a:endParaRPr>
          </a:p>
        </c:rich>
      </c:tx>
      <c:overlay val="0"/>
      <c:spPr>
        <a:noFill/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gradFill>
                <a:gsLst>
                  <a:gs pos="22000">
                    <a:srgbClr val="CC0099"/>
                  </a:gs>
                  <a:gs pos="94000">
                    <a:srgbClr val="FFFF00"/>
                  </a:gs>
                  <a:gs pos="51000">
                    <a:srgbClr val="00B0F0"/>
                  </a:gs>
                </a:gsLst>
                <a:lin ang="0" scaled="0"/>
              </a:gradFill>
              <a:latin typeface="Algerian" panose="04020705040A02060702" pitchFamily="82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6967341107678"/>
          <c:y val="0.25661841902115179"/>
          <c:w val="0.84986444732383137"/>
          <c:h val="0.64437046472132165"/>
        </c:manualLayout>
      </c:layout>
      <c:barChart>
        <c:barDir val="col"/>
        <c:grouping val="clustered"/>
        <c:varyColors val="0"/>
        <c:ser>
          <c:idx val="0"/>
          <c:order val="0"/>
          <c:tx>
            <c:v>7 TH FEB</c:v>
          </c:tx>
          <c:spPr>
            <a:gradFill flip="none" rotWithShape="1">
              <a:gsLst>
                <a:gs pos="51000">
                  <a:srgbClr val="00CC99"/>
                </a:gs>
                <a:gs pos="0">
                  <a:srgbClr val="FFFF00"/>
                </a:gs>
              </a:gsLst>
              <a:lin ang="2700000" scaled="1"/>
              <a:tileRect/>
            </a:gra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'Track Data '!$A$27:$A$31</c:f>
              <c:strCache>
                <c:ptCount val="5"/>
                <c:pt idx="0">
                  <c:v>Study+computer</c:v>
                </c:pt>
                <c:pt idx="1">
                  <c:v>Mobile</c:v>
                </c:pt>
                <c:pt idx="2">
                  <c:v>Sleep</c:v>
                </c:pt>
                <c:pt idx="3">
                  <c:v>Phy-act</c:v>
                </c:pt>
                <c:pt idx="4">
                  <c:v>Other</c:v>
                </c:pt>
              </c:strCache>
            </c:strRef>
          </c:cat>
          <c:val>
            <c:numRef>
              <c:f>'Track Data '!$U$11:$U$15</c:f>
              <c:numCache>
                <c:formatCode>[$-F400]h:mm:ss\ AM/PM</c:formatCode>
                <c:ptCount val="5"/>
                <c:pt idx="0">
                  <c:v>0.30555555555555547</c:v>
                </c:pt>
                <c:pt idx="1">
                  <c:v>6.9444444444444642E-2</c:v>
                </c:pt>
                <c:pt idx="2">
                  <c:v>6.25E-2</c:v>
                </c:pt>
                <c:pt idx="3">
                  <c:v>0</c:v>
                </c:pt>
                <c:pt idx="4">
                  <c:v>4.1666666666666519E-2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5-47F2-ADF5-F4A2CFB27085}"/>
            </c:ext>
          </c:extLst>
        </c:ser>
        <c:ser>
          <c:idx val="1"/>
          <c:order val="1"/>
          <c:tx>
            <c:v>8 TH FEB</c:v>
          </c:tx>
          <c:spPr>
            <a:gradFill flip="none" rotWithShape="1">
              <a:gsLst>
                <a:gs pos="74000">
                  <a:srgbClr val="FF33CC"/>
                </a:gs>
                <a:gs pos="9000">
                  <a:srgbClr val="00CC99"/>
                </a:gs>
              </a:gsLst>
              <a:lin ang="2700000" scaled="1"/>
              <a:tileRect/>
            </a:gra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'Track Data '!$A$27:$A$31</c:f>
              <c:strCache>
                <c:ptCount val="5"/>
                <c:pt idx="0">
                  <c:v>Study+computer</c:v>
                </c:pt>
                <c:pt idx="1">
                  <c:v>Mobile</c:v>
                </c:pt>
                <c:pt idx="2">
                  <c:v>Sleep</c:v>
                </c:pt>
                <c:pt idx="3">
                  <c:v>Phy-act</c:v>
                </c:pt>
                <c:pt idx="4">
                  <c:v>Other</c:v>
                </c:pt>
              </c:strCache>
            </c:strRef>
          </c:cat>
          <c:val>
            <c:numRef>
              <c:f>'Track Data '!$C$11:$C$15</c:f>
              <c:numCache>
                <c:formatCode>[hh]:mm:ss</c:formatCode>
                <c:ptCount val="5"/>
                <c:pt idx="0">
                  <c:v>0.45138888888888867</c:v>
                </c:pt>
                <c:pt idx="1">
                  <c:v>0.10069444444444453</c:v>
                </c:pt>
                <c:pt idx="2">
                  <c:v>0.34027777777777779</c:v>
                </c:pt>
                <c:pt idx="3">
                  <c:v>6.597222222222221E-2</c:v>
                </c:pt>
                <c:pt idx="4">
                  <c:v>4.1666666666666741E-2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A5-47F2-ADF5-F4A2CFB27085}"/>
            </c:ext>
          </c:extLst>
        </c:ser>
        <c:ser>
          <c:idx val="2"/>
          <c:order val="2"/>
          <c:tx>
            <c:v>9 TH FEB</c:v>
          </c:tx>
          <c:spPr>
            <a:gradFill>
              <a:gsLst>
                <a:gs pos="64000">
                  <a:srgbClr val="CC0099"/>
                </a:gs>
                <a:gs pos="12000">
                  <a:srgbClr val="00B0F0"/>
                </a:gs>
              </a:gsLst>
              <a:lin ang="2400000" scaled="0"/>
            </a:gradFill>
            <a:ln>
              <a:solidFill>
                <a:schemeClr val="accent4"/>
              </a:solidFill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'Track Data '!$A$27:$A$31</c:f>
              <c:strCache>
                <c:ptCount val="5"/>
                <c:pt idx="0">
                  <c:v>Study+computer</c:v>
                </c:pt>
                <c:pt idx="1">
                  <c:v>Mobile</c:v>
                </c:pt>
                <c:pt idx="2">
                  <c:v>Sleep</c:v>
                </c:pt>
                <c:pt idx="3">
                  <c:v>Phy-act</c:v>
                </c:pt>
                <c:pt idx="4">
                  <c:v>Other</c:v>
                </c:pt>
              </c:strCache>
            </c:strRef>
          </c:cat>
          <c:val>
            <c:numRef>
              <c:f>'Track Data '!$C$27:$C$31</c:f>
              <c:numCache>
                <c:formatCode>[hh]:mm:ss</c:formatCode>
                <c:ptCount val="5"/>
                <c:pt idx="0">
                  <c:v>0.44791666666666657</c:v>
                </c:pt>
                <c:pt idx="1">
                  <c:v>7.9861111111111271E-2</c:v>
                </c:pt>
                <c:pt idx="2">
                  <c:v>0.32638888888888895</c:v>
                </c:pt>
                <c:pt idx="3">
                  <c:v>5.9027777777777679E-2</c:v>
                </c:pt>
                <c:pt idx="4">
                  <c:v>6.597222222222221E-2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A5-47F2-ADF5-F4A2CFB27085}"/>
            </c:ext>
          </c:extLst>
        </c:ser>
        <c:ser>
          <c:idx val="3"/>
          <c:order val="3"/>
          <c:tx>
            <c:v>10 TH FEB</c:v>
          </c:tx>
          <c:spPr>
            <a:gradFill>
              <a:gsLst>
                <a:gs pos="52000">
                  <a:srgbClr val="000066"/>
                </a:gs>
                <a:gs pos="22000">
                  <a:srgbClr val="CC0099"/>
                </a:gs>
              </a:gsLst>
              <a:lin ang="2700000" scaled="1"/>
            </a:gra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val>
            <c:numRef>
              <c:f>'Track Data '!$U$27:$U$31</c:f>
              <c:numCache>
                <c:formatCode>[hh]:mm:ss</c:formatCode>
                <c:ptCount val="5"/>
                <c:pt idx="0">
                  <c:v>0.46180555555555541</c:v>
                </c:pt>
                <c:pt idx="1">
                  <c:v>5.9027777777777901E-2</c:v>
                </c:pt>
                <c:pt idx="2">
                  <c:v>0.32638888888888895</c:v>
                </c:pt>
                <c:pt idx="3">
                  <c:v>6.597222222222221E-2</c:v>
                </c:pt>
                <c:pt idx="4">
                  <c:v>6.597222222222221E-2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A5-47F2-ADF5-F4A2CFB27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9"/>
        <c:axId val="1286496495"/>
        <c:axId val="1286496911"/>
      </c:barChart>
      <c:catAx>
        <c:axId val="128649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rgbClr val="0099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496911"/>
        <c:crosses val="autoZero"/>
        <c:auto val="1"/>
        <c:lblAlgn val="ctr"/>
        <c:lblOffset val="100"/>
        <c:noMultiLvlLbl val="0"/>
      </c:catAx>
      <c:valAx>
        <c:axId val="128649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rgbClr val="00999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009999"/>
                    </a:solidFill>
                  </a:rPr>
                  <a:t>TIME</a:t>
                </a:r>
                <a:r>
                  <a:rPr lang="en-IN" baseline="0">
                    <a:solidFill>
                      <a:srgbClr val="009999"/>
                    </a:solidFill>
                  </a:rPr>
                  <a:t> RANGE</a:t>
                </a:r>
                <a:endParaRPr lang="en-IN">
                  <a:solidFill>
                    <a:srgbClr val="009999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rgbClr val="00999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99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49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9999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gradFill>
        <a:gsLst>
          <a:gs pos="20000">
            <a:srgbClr val="FFFF00"/>
          </a:gs>
          <a:gs pos="53000">
            <a:srgbClr val="0099CC"/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gradFill>
                  <a:gsLst>
                    <a:gs pos="26000">
                      <a:srgbClr val="00CC99"/>
                    </a:gs>
                    <a:gs pos="53000">
                      <a:srgbClr val="FF0066"/>
                    </a:gs>
                    <a:gs pos="77000">
                      <a:srgbClr val="0070C0"/>
                    </a:gs>
                    <a:gs pos="100000">
                      <a:srgbClr val="FFFF00"/>
                    </a:gs>
                  </a:gsLst>
                  <a:path path="circle">
                    <a:fillToRect l="100000" t="100000"/>
                  </a:path>
                </a:gradFill>
                <a:latin typeface="Algerian" panose="04020705040A02060702" pitchFamily="82" charset="0"/>
                <a:ea typeface="+mn-ea"/>
                <a:cs typeface="+mn-cs"/>
              </a:defRPr>
            </a:pPr>
            <a:r>
              <a:rPr lang="en-IN">
                <a:gradFill>
                  <a:gsLst>
                    <a:gs pos="26000">
                      <a:srgbClr val="00CC99"/>
                    </a:gs>
                    <a:gs pos="53000">
                      <a:srgbClr val="FF0066"/>
                    </a:gs>
                    <a:gs pos="77000">
                      <a:srgbClr val="0070C0"/>
                    </a:gs>
                    <a:gs pos="100000">
                      <a:srgbClr val="FFFF00"/>
                    </a:gs>
                  </a:gsLst>
                  <a:path path="circle">
                    <a:fillToRect l="100000" t="100000"/>
                  </a:path>
                </a:gradFill>
                <a:latin typeface="Algerian" panose="04020705040A02060702" pitchFamily="82" charset="0"/>
              </a:rPr>
              <a:t>WATER</a:t>
            </a:r>
            <a:r>
              <a:rPr lang="en-IN" baseline="0">
                <a:gradFill>
                  <a:gsLst>
                    <a:gs pos="26000">
                      <a:srgbClr val="00CC99"/>
                    </a:gs>
                    <a:gs pos="53000">
                      <a:srgbClr val="FF0066"/>
                    </a:gs>
                    <a:gs pos="77000">
                      <a:srgbClr val="0070C0"/>
                    </a:gs>
                    <a:gs pos="100000">
                      <a:srgbClr val="FFFF00"/>
                    </a:gs>
                  </a:gsLst>
                  <a:path path="circle">
                    <a:fillToRect l="100000" t="100000"/>
                  </a:path>
                </a:gradFill>
                <a:latin typeface="Algerian" panose="04020705040A02060702" pitchFamily="82" charset="0"/>
              </a:rPr>
              <a:t> AND ACTIVITY</a:t>
            </a:r>
            <a:endParaRPr lang="en-IN">
              <a:gradFill>
                <a:gsLst>
                  <a:gs pos="26000">
                    <a:srgbClr val="00CC99"/>
                  </a:gs>
                  <a:gs pos="53000">
                    <a:srgbClr val="FF0066"/>
                  </a:gs>
                  <a:gs pos="77000">
                    <a:srgbClr val="0070C0"/>
                  </a:gs>
                  <a:gs pos="100000">
                    <a:srgbClr val="FFFF00"/>
                  </a:gs>
                </a:gsLst>
                <a:path path="circle">
                  <a:fillToRect l="100000" t="100000"/>
                </a:path>
              </a:gradFill>
              <a:latin typeface="Algerian" panose="04020705040A02060702" pitchFamily="8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gradFill>
                <a:gsLst>
                  <a:gs pos="26000">
                    <a:srgbClr val="00CC99"/>
                  </a:gs>
                  <a:gs pos="53000">
                    <a:srgbClr val="FF0066"/>
                  </a:gs>
                  <a:gs pos="77000">
                    <a:srgbClr val="0070C0"/>
                  </a:gs>
                  <a:gs pos="100000">
                    <a:srgbClr val="FFFF00"/>
                  </a:gs>
                </a:gsLst>
                <a:path path="circle">
                  <a:fillToRect l="100000" t="100000"/>
                </a:path>
              </a:gradFill>
              <a:latin typeface="Algerian" panose="04020705040A02060702" pitchFamily="8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flat">
              <a:gradFill flip="none" rotWithShape="1">
                <a:gsLst>
                  <a:gs pos="26000">
                    <a:srgbClr val="00CC99"/>
                  </a:gs>
                  <a:gs pos="53000">
                    <a:srgbClr val="FF0066"/>
                  </a:gs>
                  <a:gs pos="77000">
                    <a:srgbClr val="0070C0"/>
                  </a:gs>
                  <a:gs pos="100000">
                    <a:srgbClr val="FFFF00"/>
                  </a:gs>
                </a:gsLst>
                <a:path path="circle">
                  <a:fillToRect l="100000" t="100000"/>
                </a:path>
                <a:tileRect r="-100000" b="-100000"/>
              </a:gradFill>
              <a:bevel/>
              <a:headEnd type="diamond" w="lg" len="lg"/>
              <a:tailEnd type="triangle"/>
              <a:extLst>
                <a:ext uri="{C807C97D-BFC1-408E-A445-0C87EB9F89A2}">
                  <ask:lineSketchStyleProps xmlns:ask="http://schemas.microsoft.com/office/drawing/2018/sketchyshapes">
                    <ask:type>
                      <ask:lineSketchCurved/>
                    </ask:type>
                  </ask:lineSketchStyleProps>
                </a:ext>
              </a:extLst>
            </a:ln>
            <a:effectLst/>
          </c:spPr>
          <c:marker>
            <c:symbol val="circle"/>
            <c:size val="5"/>
            <c:spPr>
              <a:gradFill>
                <a:gsLst>
                  <a:gs pos="26000">
                    <a:srgbClr val="00CC99"/>
                  </a:gs>
                  <a:gs pos="53000">
                    <a:srgbClr val="FF0066"/>
                  </a:gs>
                  <a:gs pos="77000">
                    <a:srgbClr val="0070C0"/>
                  </a:gs>
                  <a:gs pos="100000">
                    <a:srgbClr val="FFFF00"/>
                  </a:gs>
                </a:gsLst>
                <a:path path="circle">
                  <a:fillToRect l="100000" t="100000"/>
                </a:path>
              </a:gradFill>
              <a:ln w="9525" cmpd="dbl">
                <a:solidFill>
                  <a:schemeClr val="accent1"/>
                </a:solidFill>
                <a:headEnd type="none"/>
                <a:extLst>
                  <a:ext uri="{C807C97D-BFC1-408E-A445-0C87EB9F89A2}">
                    <ask:lineSketchStyleProps xmlns:ask="http://schemas.microsoft.com/office/drawing/2018/sketchyshapes">
                      <ask:type>
                        <ask:lineSketchCurved/>
                      </ask:type>
                    </ask:lineSketchStyleProps>
                  </a:ext>
                </a:extLst>
              </a:ln>
              <a:effectLst/>
            </c:spPr>
          </c:marker>
          <c:cat>
            <c:strRef>
              <c:f>'Track Data '!$S$51:$S$55</c:f>
              <c:strCache>
                <c:ptCount val="5"/>
                <c:pt idx="0">
                  <c:v>Study+computer</c:v>
                </c:pt>
                <c:pt idx="1">
                  <c:v>Mobile</c:v>
                </c:pt>
                <c:pt idx="2">
                  <c:v>Sleep</c:v>
                </c:pt>
                <c:pt idx="3">
                  <c:v>Phy-act</c:v>
                </c:pt>
                <c:pt idx="4">
                  <c:v>Other</c:v>
                </c:pt>
              </c:strCache>
            </c:strRef>
          </c:cat>
          <c:val>
            <c:numRef>
              <c:f>'Track Data '!$T$51:$T$55</c:f>
              <c:numCache>
                <c:formatCode>General</c:formatCode>
                <c:ptCount val="5"/>
                <c:pt idx="0">
                  <c:v>7600.2</c:v>
                </c:pt>
                <c:pt idx="1">
                  <c:v>2300</c:v>
                </c:pt>
                <c:pt idx="2">
                  <c:v>0</c:v>
                </c:pt>
                <c:pt idx="3">
                  <c:v>2000</c:v>
                </c:pt>
                <c:pt idx="4">
                  <c:v>1750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2-4ABC-914E-FEF709897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627088"/>
        <c:axId val="664622096"/>
      </c:lineChart>
      <c:catAx>
        <c:axId val="66462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99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22096"/>
        <c:crosses val="autoZero"/>
        <c:auto val="1"/>
        <c:lblAlgn val="ctr"/>
        <c:lblOffset val="100"/>
        <c:noMultiLvlLbl val="0"/>
      </c:catAx>
      <c:valAx>
        <c:axId val="6646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  <a:alpha val="28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999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009999"/>
                    </a:solidFill>
                  </a:rPr>
                  <a:t>WATER(ML)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999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99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2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gradFill flip="none" rotWithShape="1">
        <a:gsLst>
          <a:gs pos="0">
            <a:srgbClr val="FF0066"/>
          </a:gs>
          <a:gs pos="43000">
            <a:srgbClr val="FFFF00"/>
          </a:gs>
          <a:gs pos="83000">
            <a:srgbClr val="00CC99"/>
          </a:gs>
        </a:gsLst>
        <a:path path="circle">
          <a:fillToRect l="100000" t="100000"/>
        </a:path>
        <a:tileRect r="-100000" b="-100000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9999"/>
                </a:solidFill>
                <a:latin typeface="Algerian" panose="04020705040A02060702" pitchFamily="82" charset="0"/>
                <a:ea typeface="+mn-ea"/>
                <a:cs typeface="+mn-cs"/>
              </a:defRPr>
            </a:pPr>
            <a:r>
              <a:rPr lang="en-IN">
                <a:solidFill>
                  <a:srgbClr val="009999"/>
                </a:solidFill>
                <a:latin typeface="Algerian" panose="04020705040A02060702" pitchFamily="82" charset="0"/>
              </a:rPr>
              <a:t>ACTIVITY</a:t>
            </a:r>
            <a:r>
              <a:rPr lang="en-IN" baseline="0">
                <a:solidFill>
                  <a:srgbClr val="009999"/>
                </a:solidFill>
                <a:latin typeface="Algerian" panose="04020705040A02060702" pitchFamily="82" charset="0"/>
              </a:rPr>
              <a:t> + MOOD+ WATER RELATION</a:t>
            </a:r>
            <a:endParaRPr lang="en-IN">
              <a:solidFill>
                <a:srgbClr val="009999"/>
              </a:solidFill>
              <a:latin typeface="Algerian" panose="04020705040A02060702" pitchFamily="8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9999"/>
              </a:solidFill>
              <a:latin typeface="Algerian" panose="04020705040A02060702" pitchFamily="8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109797448484113E-2"/>
          <c:y val="9.5167133959001393E-2"/>
          <c:w val="0.87085223825113978"/>
          <c:h val="0.7678086507843237"/>
        </c:manualLayout>
      </c:layout>
      <c:lineChart>
        <c:grouping val="standard"/>
        <c:varyColors val="0"/>
        <c:ser>
          <c:idx val="0"/>
          <c:order val="0"/>
          <c:tx>
            <c:strRef>
              <c:f>'Track Data '!$T$60</c:f>
              <c:strCache>
                <c:ptCount val="1"/>
                <c:pt idx="0">
                  <c:v>Study+Computer</c:v>
                </c:pt>
              </c:strCache>
            </c:strRef>
          </c:tx>
          <c:spPr>
            <a:ln w="28575" cap="rnd">
              <a:solidFill>
                <a:srgbClr val="CC0099"/>
              </a:solidFill>
              <a:round/>
              <a:headEnd type="oval"/>
              <a:tailEnd type="triangle"/>
              <a:extLst>
                <a:ext uri="{C807C97D-BFC1-408E-A445-0C87EB9F89A2}">
                  <ask:lineSketchStyleProps xmlns:ask="http://schemas.microsoft.com/office/drawing/2018/sketchyshapes">
                    <ask:type>
                      <ask:lineSketchCurved/>
                    </ask:type>
                  </ask:lineSketchStyleProps>
                </a:ext>
              </a:extLst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 cmpd="dbl">
                <a:solidFill>
                  <a:srgbClr val="CC0099"/>
                </a:solidFill>
                <a:round/>
                <a:headEnd type="oval"/>
                <a:tailEnd type="triangle"/>
                <a:extLst>
                  <a:ext uri="{C807C97D-BFC1-408E-A445-0C87EB9F89A2}">
                    <ask:lineSketchStyleProps xmlns:ask="http://schemas.microsoft.com/office/drawing/2018/sketchyshapes">
                      <ask:type>
                        <ask:lineSketchCurved/>
                      </ask:type>
                    </ask:lineSketchStyleProps>
                  </a:ext>
                </a:extLst>
              </a:ln>
              <a:effectLst/>
            </c:spPr>
            <c:extLst>
              <c:ext xmlns:c16="http://schemas.microsoft.com/office/drawing/2014/chart" uri="{C3380CC4-5D6E-409C-BE32-E72D297353CC}">
                <c16:uniqueId val="{00000003-4DCC-41B6-A395-7E1091FBFD09}"/>
              </c:ext>
            </c:extLst>
          </c:dPt>
          <c:cat>
            <c:strRef>
              <c:f>'Track Data '!$S$61:$S$64</c:f>
              <c:strCache>
                <c:ptCount val="4"/>
                <c:pt idx="0">
                  <c:v>Active</c:v>
                </c:pt>
                <c:pt idx="1">
                  <c:v>Happy</c:v>
                </c:pt>
                <c:pt idx="2">
                  <c:v>Tired</c:v>
                </c:pt>
                <c:pt idx="3">
                  <c:v>Fresh</c:v>
                </c:pt>
              </c:strCache>
            </c:strRef>
          </c:cat>
          <c:val>
            <c:numRef>
              <c:f>'Track Data '!$T$61:$T$64</c:f>
              <c:numCache>
                <c:formatCode>General</c:formatCode>
                <c:ptCount val="4"/>
                <c:pt idx="0">
                  <c:v>4950.2</c:v>
                </c:pt>
                <c:pt idx="1">
                  <c:v>750</c:v>
                </c:pt>
                <c:pt idx="2">
                  <c:v>1500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C-41B6-A395-7E1091FBFD09}"/>
            </c:ext>
          </c:extLst>
        </c:ser>
        <c:ser>
          <c:idx val="1"/>
          <c:order val="1"/>
          <c:tx>
            <c:strRef>
              <c:f>'Track Data '!$U$60</c:f>
              <c:strCache>
                <c:ptCount val="1"/>
                <c:pt idx="0">
                  <c:v>Mobile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  <a:headEnd type="oval"/>
              <a:tailEnd type="stealth"/>
            </a:ln>
            <a:effectLst/>
          </c:spPr>
          <c:marker>
            <c:symbol val="none"/>
          </c:marker>
          <c:cat>
            <c:strRef>
              <c:f>'Track Data '!$S$61:$S$64</c:f>
              <c:strCache>
                <c:ptCount val="4"/>
                <c:pt idx="0">
                  <c:v>Active</c:v>
                </c:pt>
                <c:pt idx="1">
                  <c:v>Happy</c:v>
                </c:pt>
                <c:pt idx="2">
                  <c:v>Tired</c:v>
                </c:pt>
                <c:pt idx="3">
                  <c:v>Fresh</c:v>
                </c:pt>
              </c:strCache>
            </c:strRef>
          </c:cat>
          <c:val>
            <c:numRef>
              <c:f>'Track Data '!$U$61:$U$64</c:f>
              <c:numCache>
                <c:formatCode>General</c:formatCode>
                <c:ptCount val="4"/>
                <c:pt idx="0">
                  <c:v>0</c:v>
                </c:pt>
                <c:pt idx="1">
                  <c:v>800</c:v>
                </c:pt>
                <c:pt idx="2">
                  <c:v>1500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C-41B6-A395-7E1091FBFD09}"/>
            </c:ext>
          </c:extLst>
        </c:ser>
        <c:ser>
          <c:idx val="2"/>
          <c:order val="2"/>
          <c:tx>
            <c:strRef>
              <c:f>'Track Data '!$V$60</c:f>
              <c:strCache>
                <c:ptCount val="1"/>
                <c:pt idx="0">
                  <c:v>Phy-act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'Track Data '!$S$61:$S$64</c:f>
              <c:strCache>
                <c:ptCount val="4"/>
                <c:pt idx="0">
                  <c:v>Active</c:v>
                </c:pt>
                <c:pt idx="1">
                  <c:v>Happy</c:v>
                </c:pt>
                <c:pt idx="2">
                  <c:v>Tired</c:v>
                </c:pt>
                <c:pt idx="3">
                  <c:v>Fresh</c:v>
                </c:pt>
              </c:strCache>
            </c:strRef>
          </c:cat>
          <c:val>
            <c:numRef>
              <c:f>'Track Data '!$V$61:$V$64</c:f>
              <c:numCache>
                <c:formatCode>General</c:formatCode>
                <c:ptCount val="4"/>
                <c:pt idx="0">
                  <c:v>1100</c:v>
                </c:pt>
                <c:pt idx="1">
                  <c:v>0</c:v>
                </c:pt>
                <c:pt idx="2">
                  <c:v>100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CC-41B6-A395-7E1091FBF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625119"/>
        <c:axId val="1506624703"/>
      </c:lineChart>
      <c:catAx>
        <c:axId val="150662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09999"/>
                </a:solidFill>
                <a:latin typeface="Algerian" panose="04020705040A02060702" pitchFamily="82" charset="0"/>
                <a:ea typeface="+mn-ea"/>
                <a:cs typeface="+mn-cs"/>
              </a:defRPr>
            </a:pPr>
            <a:endParaRPr lang="en-US"/>
          </a:p>
        </c:txPr>
        <c:crossAx val="1506624703"/>
        <c:crosses val="autoZero"/>
        <c:auto val="1"/>
        <c:lblAlgn val="ctr"/>
        <c:lblOffset val="100"/>
        <c:noMultiLvlLbl val="0"/>
      </c:catAx>
      <c:valAx>
        <c:axId val="150662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  <a:extLst>
                <a:ext uri="{C807C97D-BFC1-408E-A445-0C87EB9F89A2}">
                  <ask:lineSketchStyleProps xmlns:ask="http://schemas.microsoft.com/office/drawing/2018/sketchyshapes">
                    <ask:type>
                      <ask:lineSketchNone/>
                    </ask:type>
                  </ask:lineSketchStyleProps>
                </a:ext>
              </a:extLst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999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009999"/>
                    </a:solidFill>
                  </a:rPr>
                  <a:t>WATER(ml)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999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99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2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9999"/>
              </a:solidFill>
              <a:latin typeface="Algerian" panose="04020705040A02060702" pitchFamily="8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</xdr:colOff>
      <xdr:row>0</xdr:row>
      <xdr:rowOff>57147</xdr:rowOff>
    </xdr:from>
    <xdr:to>
      <xdr:col>8</xdr:col>
      <xdr:colOff>209549</xdr:colOff>
      <xdr:row>17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18C2BF-F763-43E0-97ED-F7DE35EEA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3</xdr:row>
      <xdr:rowOff>57151</xdr:rowOff>
    </xdr:from>
    <xdr:to>
      <xdr:col>19</xdr:col>
      <xdr:colOff>200025</xdr:colOff>
      <xdr:row>17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50884E-E05D-46D9-BBFC-BA57724CD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266701</xdr:colOff>
      <xdr:row>17</xdr:row>
      <xdr:rowOff>95249</xdr:rowOff>
    </xdr:from>
    <xdr:to>
      <xdr:col>28</xdr:col>
      <xdr:colOff>581025</xdr:colOff>
      <xdr:row>30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4C78696-8959-4620-B66E-4AAF07690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38099</xdr:colOff>
      <xdr:row>17</xdr:row>
      <xdr:rowOff>66675</xdr:rowOff>
    </xdr:from>
    <xdr:to>
      <xdr:col>9</xdr:col>
      <xdr:colOff>57149</xdr:colOff>
      <xdr:row>30</xdr:row>
      <xdr:rowOff>95251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D27D9F4-0D4D-471F-8BB3-FFA257CF4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257175</xdr:colOff>
      <xdr:row>0</xdr:row>
      <xdr:rowOff>114299</xdr:rowOff>
    </xdr:from>
    <xdr:to>
      <xdr:col>28</xdr:col>
      <xdr:colOff>561974</xdr:colOff>
      <xdr:row>17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4AFA15-9CF0-4769-9184-414ACBF0A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28575</xdr:colOff>
      <xdr:row>0</xdr:row>
      <xdr:rowOff>9524</xdr:rowOff>
    </xdr:from>
    <xdr:to>
      <xdr:col>16</xdr:col>
      <xdr:colOff>561975</xdr:colOff>
      <xdr:row>2</xdr:row>
      <xdr:rowOff>190499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4097CBD-DFE9-B36E-4EB6-9D58B92EE987}"/>
            </a:ext>
          </a:extLst>
        </xdr:cNvPr>
        <xdr:cNvSpPr/>
      </xdr:nvSpPr>
      <xdr:spPr>
        <a:xfrm>
          <a:off x="6648450" y="9524"/>
          <a:ext cx="3752850" cy="561975"/>
        </a:xfrm>
        <a:prstGeom prst="rect">
          <a:avLst/>
        </a:prstGeom>
        <a:gradFill>
          <a:gsLst>
            <a:gs pos="30000">
              <a:srgbClr val="CC0099"/>
            </a:gs>
            <a:gs pos="97000">
              <a:srgbClr val="00CC99"/>
            </a:gs>
          </a:gsLst>
          <a:lin ang="3600000" scaled="0"/>
        </a:gradFill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>
              <a:gradFill>
                <a:gsLst>
                  <a:gs pos="79000">
                    <a:schemeClr val="tx1"/>
                  </a:gs>
                  <a:gs pos="89000">
                    <a:srgbClr val="0099CC"/>
                  </a:gs>
                  <a:gs pos="100000">
                    <a:srgbClr val="00B050"/>
                  </a:gs>
                  <a:gs pos="94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outerShdw blurRad="50800" dist="38100" dir="2700000" algn="tl" rotWithShape="0">
                  <a:schemeClr val="tx1">
                    <a:alpha val="40000"/>
                  </a:schemeClr>
                </a:outerShdw>
                <a:reflection blurRad="6350" stA="52000" endPos="45500" dir="5400000" sy="-100000" algn="bl" rotWithShape="0"/>
              </a:effectLst>
              <a:latin typeface="Algerian" panose="04020705040A02060702" pitchFamily="82" charset="0"/>
            </a:rPr>
            <a:t>Track</a:t>
          </a:r>
          <a:r>
            <a:rPr lang="en-IN" sz="1600" baseline="0">
              <a:gradFill>
                <a:gsLst>
                  <a:gs pos="79000">
                    <a:schemeClr val="tx1"/>
                  </a:gs>
                  <a:gs pos="89000">
                    <a:srgbClr val="0099CC"/>
                  </a:gs>
                  <a:gs pos="100000">
                    <a:srgbClr val="00B050"/>
                  </a:gs>
                  <a:gs pos="94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outerShdw blurRad="50800" dist="38100" dir="2700000" algn="tl" rotWithShape="0">
                  <a:schemeClr val="tx1">
                    <a:alpha val="40000"/>
                  </a:schemeClr>
                </a:outerShdw>
                <a:reflection blurRad="6350" stA="52000" endPos="45500" dir="5400000" sy="-100000" algn="bl" rotWithShape="0"/>
              </a:effectLst>
              <a:latin typeface="Algerian" panose="04020705040A02060702" pitchFamily="82" charset="0"/>
            </a:rPr>
            <a:t> Report And It's solution</a:t>
          </a:r>
          <a:endParaRPr lang="en-IN" sz="1600">
            <a:gradFill>
              <a:gsLst>
                <a:gs pos="79000">
                  <a:schemeClr val="tx1"/>
                </a:gs>
                <a:gs pos="89000">
                  <a:srgbClr val="0099CC"/>
                </a:gs>
                <a:gs pos="100000">
                  <a:srgbClr val="00B050"/>
                </a:gs>
                <a:gs pos="94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effectLst>
              <a:outerShdw blurRad="50800" dist="38100" dir="2700000" algn="tl" rotWithShape="0">
                <a:schemeClr val="tx1">
                  <a:alpha val="40000"/>
                </a:schemeClr>
              </a:outerShdw>
              <a:reflection blurRad="6350" stA="52000" endPos="45500" dir="5400000" sy="-100000" algn="bl" rotWithShape="0"/>
            </a:effectLst>
            <a:latin typeface="Algerian" panose="04020705040A02060702" pitchFamily="82" charset="0"/>
          </a:endParaRPr>
        </a:p>
      </xdr:txBody>
    </xdr:sp>
    <xdr:clientData/>
  </xdr:twoCellAnchor>
  <xdr:twoCellAnchor>
    <xdr:from>
      <xdr:col>9</xdr:col>
      <xdr:colOff>161924</xdr:colOff>
      <xdr:row>17</xdr:row>
      <xdr:rowOff>123826</xdr:rowOff>
    </xdr:from>
    <xdr:to>
      <xdr:col>19</xdr:col>
      <xdr:colOff>190499</xdr:colOff>
      <xdr:row>30</xdr:row>
      <xdr:rowOff>85726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8F2B0B-3827-4D4D-B6F0-3386D489E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76201</xdr:colOff>
      <xdr:row>31</xdr:row>
      <xdr:rowOff>19049</xdr:rowOff>
    </xdr:from>
    <xdr:to>
      <xdr:col>28</xdr:col>
      <xdr:colOff>552450</xdr:colOff>
      <xdr:row>54</xdr:row>
      <xdr:rowOff>104774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12250B-E8B8-4EE5-AD0B-8149DE221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8A7A2-FF14-43E0-B940-0E43D9BE6AD9}">
  <dimension ref="A1:L65"/>
  <sheetViews>
    <sheetView workbookViewId="0">
      <selection activeCell="N8" sqref="N8"/>
    </sheetView>
  </sheetViews>
  <sheetFormatPr defaultRowHeight="15" x14ac:dyDescent="0.25"/>
  <cols>
    <col min="2" max="2" width="17.5703125" customWidth="1"/>
    <col min="3" max="3" width="14.85546875" customWidth="1"/>
    <col min="4" max="4" width="20.28515625" customWidth="1"/>
    <col min="5" max="5" width="23.5703125" customWidth="1"/>
    <col min="6" max="6" width="23" customWidth="1"/>
    <col min="7" max="7" width="23.42578125" customWidth="1"/>
    <col min="8" max="8" width="19.140625" customWidth="1"/>
    <col min="9" max="9" width="12.5703125" customWidth="1"/>
    <col min="10" max="10" width="15.5703125" customWidth="1"/>
    <col min="11" max="11" width="11.28515625" customWidth="1"/>
    <col min="12" max="12" width="15.5703125" customWidth="1"/>
  </cols>
  <sheetData>
    <row r="1" spans="1:12" ht="18.75" x14ac:dyDescent="0.25">
      <c r="A1" s="102" t="s">
        <v>12</v>
      </c>
      <c r="B1" s="103" t="s">
        <v>1</v>
      </c>
      <c r="C1" s="102" t="s">
        <v>0</v>
      </c>
      <c r="D1" s="99" t="s">
        <v>3</v>
      </c>
      <c r="E1" s="104" t="s">
        <v>0</v>
      </c>
      <c r="F1" s="102" t="s">
        <v>6</v>
      </c>
      <c r="G1" s="102" t="s">
        <v>10</v>
      </c>
      <c r="H1" s="103" t="s">
        <v>7</v>
      </c>
      <c r="I1" s="102" t="s">
        <v>8</v>
      </c>
      <c r="J1" s="103" t="s">
        <v>9</v>
      </c>
      <c r="K1" s="102" t="s">
        <v>11</v>
      </c>
      <c r="L1" s="102" t="s">
        <v>8</v>
      </c>
    </row>
    <row r="2" spans="1:12" ht="18.75" x14ac:dyDescent="0.25">
      <c r="A2" s="105">
        <v>1</v>
      </c>
      <c r="B2" s="106">
        <f>DATE(2023,2,7)</f>
        <v>44964</v>
      </c>
      <c r="C2" s="107">
        <v>0.54166666666666663</v>
      </c>
      <c r="D2" s="99" t="s">
        <v>13</v>
      </c>
      <c r="E2" s="108">
        <f>IF(D2="X", 0,IF(C3&gt;C2,C3-C2,1+C3-C2))</f>
        <v>4.1666666666666741E-2</v>
      </c>
      <c r="F2" s="105" t="s">
        <v>16</v>
      </c>
      <c r="G2" s="109">
        <v>0.2</v>
      </c>
      <c r="H2" s="105">
        <v>0</v>
      </c>
      <c r="I2" s="105">
        <v>0</v>
      </c>
      <c r="J2" s="105">
        <v>0</v>
      </c>
      <c r="K2" s="105" t="s">
        <v>2</v>
      </c>
      <c r="L2" s="105">
        <v>0</v>
      </c>
    </row>
    <row r="3" spans="1:12" ht="18.75" x14ac:dyDescent="0.25">
      <c r="A3" s="105">
        <v>2</v>
      </c>
      <c r="B3" s="106">
        <f t="shared" ref="B3:B11" si="0">DATE(2023,2,7)</f>
        <v>44964</v>
      </c>
      <c r="C3" s="107">
        <v>0.58333333333333337</v>
      </c>
      <c r="D3" s="99" t="s">
        <v>27</v>
      </c>
      <c r="E3" s="108">
        <f t="shared" ref="E3:E64" si="1">IF(D3="X", 0,IF(C4&gt;C3,C4-C3,1+C4-C3))</f>
        <v>2.0833333333333259E-2</v>
      </c>
      <c r="F3" s="105" t="s">
        <v>17</v>
      </c>
      <c r="G3" s="105">
        <v>100</v>
      </c>
      <c r="H3" s="105">
        <v>0</v>
      </c>
      <c r="I3" s="105">
        <v>0</v>
      </c>
      <c r="J3" s="105">
        <v>0</v>
      </c>
      <c r="K3" s="105" t="s">
        <v>2</v>
      </c>
      <c r="L3" s="105">
        <v>0</v>
      </c>
    </row>
    <row r="4" spans="1:12" ht="18.75" x14ac:dyDescent="0.25">
      <c r="A4" s="105">
        <v>3</v>
      </c>
      <c r="B4" s="106">
        <f t="shared" si="0"/>
        <v>44964</v>
      </c>
      <c r="C4" s="107">
        <v>0.60416666666666663</v>
      </c>
      <c r="D4" s="99" t="s">
        <v>14</v>
      </c>
      <c r="E4" s="108">
        <f t="shared" si="1"/>
        <v>6.25E-2</v>
      </c>
      <c r="F4" s="105" t="s">
        <v>16</v>
      </c>
      <c r="G4" s="105">
        <v>0</v>
      </c>
      <c r="H4" s="105">
        <v>0</v>
      </c>
      <c r="I4" s="105">
        <v>0</v>
      </c>
      <c r="J4" s="105">
        <v>0</v>
      </c>
      <c r="K4" s="105" t="s">
        <v>2</v>
      </c>
      <c r="L4" s="105">
        <v>0</v>
      </c>
    </row>
    <row r="5" spans="1:12" ht="18.75" x14ac:dyDescent="0.25">
      <c r="A5" s="105">
        <v>4</v>
      </c>
      <c r="B5" s="106">
        <f t="shared" si="0"/>
        <v>44964</v>
      </c>
      <c r="C5" s="107">
        <v>0.66666666666666663</v>
      </c>
      <c r="D5" s="99" t="s">
        <v>13</v>
      </c>
      <c r="E5" s="108">
        <f t="shared" si="1"/>
        <v>8.333333333333337E-2</v>
      </c>
      <c r="F5" s="105" t="s">
        <v>18</v>
      </c>
      <c r="G5" s="105">
        <v>300</v>
      </c>
      <c r="H5" s="105">
        <v>0</v>
      </c>
      <c r="I5" s="105">
        <v>0</v>
      </c>
      <c r="J5" s="105">
        <v>0</v>
      </c>
      <c r="K5" s="105" t="s">
        <v>2</v>
      </c>
      <c r="L5" s="105">
        <v>0</v>
      </c>
    </row>
    <row r="6" spans="1:12" ht="18.75" x14ac:dyDescent="0.25">
      <c r="A6" s="105">
        <v>5</v>
      </c>
      <c r="B6" s="106">
        <f t="shared" si="0"/>
        <v>44964</v>
      </c>
      <c r="C6" s="107">
        <v>0.75</v>
      </c>
      <c r="D6" s="99" t="s">
        <v>15</v>
      </c>
      <c r="E6" s="108">
        <f t="shared" si="1"/>
        <v>2.083333333333337E-2</v>
      </c>
      <c r="F6" s="105" t="s">
        <v>18</v>
      </c>
      <c r="G6" s="105">
        <v>400</v>
      </c>
      <c r="H6" s="105">
        <v>0</v>
      </c>
      <c r="I6" s="105">
        <v>0</v>
      </c>
      <c r="J6" s="105">
        <v>0</v>
      </c>
      <c r="K6" s="105" t="s">
        <v>2</v>
      </c>
      <c r="L6" s="105">
        <v>0</v>
      </c>
    </row>
    <row r="7" spans="1:12" ht="18.75" x14ac:dyDescent="0.25">
      <c r="A7" s="105">
        <v>6</v>
      </c>
      <c r="B7" s="106">
        <f t="shared" si="0"/>
        <v>44964</v>
      </c>
      <c r="C7" s="107">
        <v>0.77083333333333337</v>
      </c>
      <c r="D7" s="99" t="s">
        <v>13</v>
      </c>
      <c r="E7" s="108">
        <f t="shared" si="1"/>
        <v>0.10416666666666663</v>
      </c>
      <c r="F7" s="105" t="s">
        <v>17</v>
      </c>
      <c r="G7" s="105">
        <v>200</v>
      </c>
      <c r="H7" s="105">
        <v>0</v>
      </c>
      <c r="I7" s="105">
        <v>0</v>
      </c>
      <c r="J7" s="105">
        <v>0</v>
      </c>
      <c r="K7" s="105" t="s">
        <v>2</v>
      </c>
      <c r="L7" s="105">
        <v>0</v>
      </c>
    </row>
    <row r="8" spans="1:12" ht="18.75" x14ac:dyDescent="0.25">
      <c r="A8" s="105">
        <v>7</v>
      </c>
      <c r="B8" s="106">
        <f t="shared" si="0"/>
        <v>44964</v>
      </c>
      <c r="C8" s="107">
        <v>0.875</v>
      </c>
      <c r="D8" s="99" t="s">
        <v>15</v>
      </c>
      <c r="E8" s="108">
        <f t="shared" si="1"/>
        <v>2.083333333333337E-2</v>
      </c>
      <c r="F8" s="105" t="s">
        <v>18</v>
      </c>
      <c r="G8" s="105">
        <v>200</v>
      </c>
      <c r="H8" s="105">
        <v>0</v>
      </c>
      <c r="I8" s="105">
        <v>0</v>
      </c>
      <c r="J8" s="105">
        <v>0</v>
      </c>
      <c r="K8" s="105" t="s">
        <v>2</v>
      </c>
      <c r="L8" s="105">
        <v>0</v>
      </c>
    </row>
    <row r="9" spans="1:12" ht="18.75" x14ac:dyDescent="0.25">
      <c r="A9" s="105">
        <v>8</v>
      </c>
      <c r="B9" s="106">
        <f t="shared" si="0"/>
        <v>44964</v>
      </c>
      <c r="C9" s="107">
        <v>0.89583333333333337</v>
      </c>
      <c r="D9" s="99" t="s">
        <v>27</v>
      </c>
      <c r="E9" s="108">
        <f t="shared" si="1"/>
        <v>2.0833333333333259E-2</v>
      </c>
      <c r="F9" s="105" t="s">
        <v>19</v>
      </c>
      <c r="G9" s="105">
        <v>100</v>
      </c>
      <c r="H9" s="105">
        <v>0</v>
      </c>
      <c r="I9" s="105">
        <v>0</v>
      </c>
      <c r="J9" s="105">
        <v>0</v>
      </c>
      <c r="K9" s="105" t="s">
        <v>2</v>
      </c>
      <c r="L9" s="105">
        <v>0</v>
      </c>
    </row>
    <row r="10" spans="1:12" ht="18.75" x14ac:dyDescent="0.25">
      <c r="A10" s="105">
        <v>9</v>
      </c>
      <c r="B10" s="106">
        <f t="shared" si="0"/>
        <v>44964</v>
      </c>
      <c r="C10" s="107">
        <v>0.91666666666666663</v>
      </c>
      <c r="D10" s="99" t="s">
        <v>15</v>
      </c>
      <c r="E10" s="108">
        <f t="shared" si="1"/>
        <v>2.7777777777777901E-2</v>
      </c>
      <c r="F10" s="105" t="s">
        <v>19</v>
      </c>
      <c r="G10" s="105">
        <v>0</v>
      </c>
      <c r="H10" s="105">
        <v>0</v>
      </c>
      <c r="I10" s="105">
        <v>0</v>
      </c>
      <c r="J10" s="105">
        <v>0</v>
      </c>
      <c r="K10" s="105" t="s">
        <v>2</v>
      </c>
      <c r="L10" s="105">
        <v>0</v>
      </c>
    </row>
    <row r="11" spans="1:12" ht="18.75" x14ac:dyDescent="0.25">
      <c r="A11" s="105">
        <v>10</v>
      </c>
      <c r="B11" s="106">
        <f t="shared" si="0"/>
        <v>44964</v>
      </c>
      <c r="C11" s="107">
        <v>0.94444444444444453</v>
      </c>
      <c r="D11" s="99" t="s">
        <v>13</v>
      </c>
      <c r="E11" s="108">
        <f t="shared" si="1"/>
        <v>7.6388888888888729E-2</v>
      </c>
      <c r="F11" s="105" t="s">
        <v>16</v>
      </c>
      <c r="G11" s="105">
        <v>500</v>
      </c>
      <c r="H11" s="105">
        <v>0</v>
      </c>
      <c r="I11" s="105">
        <v>0</v>
      </c>
      <c r="J11" s="105">
        <v>0</v>
      </c>
      <c r="K11" s="105" t="s">
        <v>2</v>
      </c>
      <c r="L11" s="105">
        <v>0</v>
      </c>
    </row>
    <row r="12" spans="1:12" ht="18.75" x14ac:dyDescent="0.3">
      <c r="A12" s="105">
        <v>11</v>
      </c>
      <c r="B12" s="106">
        <f>DATE(2023,2,8)</f>
        <v>44965</v>
      </c>
      <c r="C12" s="107">
        <v>2.0833333333333332E-2</v>
      </c>
      <c r="D12" s="99" t="s">
        <v>14</v>
      </c>
      <c r="E12" s="100">
        <f t="shared" si="1"/>
        <v>0.27777777777777779</v>
      </c>
      <c r="F12" s="105" t="s">
        <v>20</v>
      </c>
      <c r="G12" s="105">
        <v>0</v>
      </c>
      <c r="H12" s="105">
        <v>0</v>
      </c>
      <c r="I12" s="105">
        <v>0</v>
      </c>
      <c r="J12" s="105">
        <v>0</v>
      </c>
      <c r="K12" s="105" t="s">
        <v>2</v>
      </c>
      <c r="L12" s="105">
        <v>0</v>
      </c>
    </row>
    <row r="13" spans="1:12" ht="18.75" x14ac:dyDescent="0.3">
      <c r="A13" s="105">
        <v>12</v>
      </c>
      <c r="B13" s="106">
        <f>DATE(2023,2,8)</f>
        <v>44965</v>
      </c>
      <c r="C13" s="107">
        <v>0.2986111111111111</v>
      </c>
      <c r="D13" s="99" t="s">
        <v>4</v>
      </c>
      <c r="E13" s="100">
        <f t="shared" si="1"/>
        <v>2.430555555555558E-2</v>
      </c>
      <c r="F13" s="105" t="s">
        <v>19</v>
      </c>
      <c r="G13" s="105">
        <v>500</v>
      </c>
      <c r="H13" s="105">
        <v>0</v>
      </c>
      <c r="I13" s="105">
        <v>0</v>
      </c>
      <c r="J13" s="105">
        <v>0</v>
      </c>
      <c r="K13" s="105" t="s">
        <v>2</v>
      </c>
      <c r="L13" s="105">
        <v>0</v>
      </c>
    </row>
    <row r="14" spans="1:12" ht="18.75" x14ac:dyDescent="0.3">
      <c r="A14" s="105">
        <v>13</v>
      </c>
      <c r="B14" s="106">
        <f t="shared" ref="B14:B29" si="2">DATE(2023,2,8)</f>
        <v>44965</v>
      </c>
      <c r="C14" s="107">
        <v>0.32291666666666669</v>
      </c>
      <c r="D14" s="99" t="s">
        <v>13</v>
      </c>
      <c r="E14" s="100">
        <f t="shared" si="1"/>
        <v>7.291666666666663E-2</v>
      </c>
      <c r="F14" s="105" t="s">
        <v>19</v>
      </c>
      <c r="G14" s="105">
        <v>200</v>
      </c>
      <c r="H14" s="105">
        <v>0</v>
      </c>
      <c r="I14" s="105">
        <v>0</v>
      </c>
      <c r="J14" s="105">
        <v>0</v>
      </c>
      <c r="K14" s="105" t="s">
        <v>2</v>
      </c>
      <c r="L14" s="105">
        <v>0</v>
      </c>
    </row>
    <row r="15" spans="1:12" ht="18.75" x14ac:dyDescent="0.3">
      <c r="A15" s="105">
        <v>14</v>
      </c>
      <c r="B15" s="106">
        <f t="shared" si="2"/>
        <v>44965</v>
      </c>
      <c r="C15" s="107">
        <v>0.39583333333333331</v>
      </c>
      <c r="D15" s="99" t="s">
        <v>27</v>
      </c>
      <c r="E15" s="100">
        <f t="shared" si="1"/>
        <v>2.083333333333337E-2</v>
      </c>
      <c r="F15" s="105" t="s">
        <v>19</v>
      </c>
      <c r="G15" s="105">
        <v>100</v>
      </c>
      <c r="H15" s="105">
        <v>0</v>
      </c>
      <c r="I15" s="105">
        <v>0</v>
      </c>
      <c r="J15" s="105">
        <v>0</v>
      </c>
      <c r="K15" s="105" t="s">
        <v>2</v>
      </c>
      <c r="L15" s="105">
        <v>0</v>
      </c>
    </row>
    <row r="16" spans="1:12" ht="18.75" x14ac:dyDescent="0.3">
      <c r="A16" s="105">
        <v>15</v>
      </c>
      <c r="B16" s="106">
        <f t="shared" si="2"/>
        <v>44965</v>
      </c>
      <c r="C16" s="107">
        <v>0.41666666666666669</v>
      </c>
      <c r="D16" s="99" t="s">
        <v>13</v>
      </c>
      <c r="E16" s="100">
        <f t="shared" si="1"/>
        <v>2.7777777777777735E-2</v>
      </c>
      <c r="F16" s="105" t="s">
        <v>17</v>
      </c>
      <c r="G16" s="105">
        <v>0</v>
      </c>
      <c r="H16" s="105">
        <v>0</v>
      </c>
      <c r="I16" s="105">
        <v>0</v>
      </c>
      <c r="J16" s="105">
        <v>0</v>
      </c>
      <c r="K16" s="105" t="s">
        <v>2</v>
      </c>
      <c r="L16" s="105">
        <v>0</v>
      </c>
    </row>
    <row r="17" spans="1:12" ht="18.75" x14ac:dyDescent="0.3">
      <c r="A17" s="105">
        <v>16</v>
      </c>
      <c r="B17" s="106">
        <f t="shared" si="2"/>
        <v>44965</v>
      </c>
      <c r="C17" s="107">
        <v>0.44444444444444442</v>
      </c>
      <c r="D17" s="99" t="s">
        <v>13</v>
      </c>
      <c r="E17" s="100">
        <f t="shared" si="1"/>
        <v>9.722222222222221E-2</v>
      </c>
      <c r="F17" s="105" t="s">
        <v>16</v>
      </c>
      <c r="G17" s="105">
        <v>300</v>
      </c>
      <c r="H17" s="105">
        <v>0</v>
      </c>
      <c r="I17" s="105">
        <v>0</v>
      </c>
      <c r="J17" s="105">
        <v>0</v>
      </c>
      <c r="K17" s="105" t="s">
        <v>2</v>
      </c>
      <c r="L17" s="105">
        <v>0</v>
      </c>
    </row>
    <row r="18" spans="1:12" ht="18.75" x14ac:dyDescent="0.3">
      <c r="A18" s="105">
        <v>17</v>
      </c>
      <c r="B18" s="106">
        <f t="shared" si="2"/>
        <v>44965</v>
      </c>
      <c r="C18" s="107">
        <v>0.54166666666666663</v>
      </c>
      <c r="D18" s="99" t="s">
        <v>15</v>
      </c>
      <c r="E18" s="100">
        <f t="shared" si="1"/>
        <v>2.083333333333337E-2</v>
      </c>
      <c r="F18" s="105" t="s">
        <v>18</v>
      </c>
      <c r="G18" s="105">
        <v>300</v>
      </c>
      <c r="H18" s="105">
        <v>0</v>
      </c>
      <c r="I18" s="105">
        <v>0</v>
      </c>
      <c r="J18" s="105">
        <v>0</v>
      </c>
      <c r="K18" s="105" t="s">
        <v>2</v>
      </c>
      <c r="L18" s="105">
        <v>0</v>
      </c>
    </row>
    <row r="19" spans="1:12" ht="18.75" x14ac:dyDescent="0.3">
      <c r="A19" s="105">
        <v>18</v>
      </c>
      <c r="B19" s="106">
        <f t="shared" si="2"/>
        <v>44965</v>
      </c>
      <c r="C19" s="107">
        <v>0.5625</v>
      </c>
      <c r="D19" s="99" t="s">
        <v>27</v>
      </c>
      <c r="E19" s="100">
        <f t="shared" si="1"/>
        <v>2.083333333333337E-2</v>
      </c>
      <c r="F19" s="105" t="s">
        <v>17</v>
      </c>
      <c r="G19" s="105">
        <v>100</v>
      </c>
      <c r="H19" s="105">
        <v>0</v>
      </c>
      <c r="I19" s="105">
        <v>0</v>
      </c>
      <c r="J19" s="105">
        <v>0</v>
      </c>
      <c r="K19" s="105" t="s">
        <v>2</v>
      </c>
      <c r="L19" s="105">
        <v>0</v>
      </c>
    </row>
    <row r="20" spans="1:12" ht="18.75" x14ac:dyDescent="0.3">
      <c r="A20" s="105">
        <v>19</v>
      </c>
      <c r="B20" s="106">
        <f t="shared" si="2"/>
        <v>44965</v>
      </c>
      <c r="C20" s="107">
        <v>0.58333333333333337</v>
      </c>
      <c r="D20" s="99" t="s">
        <v>15</v>
      </c>
      <c r="E20" s="100">
        <f t="shared" si="1"/>
        <v>2.0833333333333259E-2</v>
      </c>
      <c r="F20" s="105" t="s">
        <v>17</v>
      </c>
      <c r="G20" s="105">
        <v>200</v>
      </c>
      <c r="H20" s="105">
        <v>0</v>
      </c>
      <c r="I20" s="105">
        <v>0</v>
      </c>
      <c r="J20" s="105">
        <v>0</v>
      </c>
      <c r="K20" s="105" t="s">
        <v>2</v>
      </c>
      <c r="L20" s="105">
        <v>0</v>
      </c>
    </row>
    <row r="21" spans="1:12" ht="18.75" x14ac:dyDescent="0.3">
      <c r="A21" s="105">
        <v>20</v>
      </c>
      <c r="B21" s="106">
        <f t="shared" si="2"/>
        <v>44965</v>
      </c>
      <c r="C21" s="107">
        <v>0.60416666666666663</v>
      </c>
      <c r="D21" s="99" t="s">
        <v>14</v>
      </c>
      <c r="E21" s="100">
        <f t="shared" si="1"/>
        <v>6.25E-2</v>
      </c>
      <c r="F21" s="105" t="s">
        <v>20</v>
      </c>
      <c r="G21" s="105">
        <v>0</v>
      </c>
      <c r="H21" s="105">
        <v>0</v>
      </c>
      <c r="I21" s="105">
        <v>0</v>
      </c>
      <c r="J21" s="105">
        <v>0</v>
      </c>
      <c r="K21" s="105" t="s">
        <v>2</v>
      </c>
      <c r="L21" s="105">
        <v>0</v>
      </c>
    </row>
    <row r="22" spans="1:12" ht="18.75" x14ac:dyDescent="0.3">
      <c r="A22" s="105">
        <v>21</v>
      </c>
      <c r="B22" s="106">
        <f t="shared" si="2"/>
        <v>44965</v>
      </c>
      <c r="C22" s="107">
        <v>0.66666666666666663</v>
      </c>
      <c r="D22" s="99" t="s">
        <v>13</v>
      </c>
      <c r="E22" s="100">
        <f t="shared" si="1"/>
        <v>8.333333333333337E-2</v>
      </c>
      <c r="F22" s="105" t="s">
        <v>16</v>
      </c>
      <c r="G22" s="105">
        <v>300</v>
      </c>
      <c r="H22" s="105">
        <v>0</v>
      </c>
      <c r="I22" s="105">
        <v>0</v>
      </c>
      <c r="J22" s="105">
        <v>0</v>
      </c>
      <c r="K22" s="105" t="s">
        <v>2</v>
      </c>
      <c r="L22" s="105">
        <v>0</v>
      </c>
    </row>
    <row r="23" spans="1:12" ht="18.75" x14ac:dyDescent="0.3">
      <c r="A23" s="105">
        <v>22</v>
      </c>
      <c r="B23" s="106">
        <f t="shared" si="2"/>
        <v>44965</v>
      </c>
      <c r="C23" s="107">
        <v>0.75</v>
      </c>
      <c r="D23" s="99" t="s">
        <v>4</v>
      </c>
      <c r="E23" s="100">
        <f t="shared" si="1"/>
        <v>4.166666666666663E-2</v>
      </c>
      <c r="F23" s="105" t="s">
        <v>18</v>
      </c>
      <c r="G23" s="105">
        <v>100</v>
      </c>
      <c r="H23" s="105">
        <v>0</v>
      </c>
      <c r="I23" s="105">
        <v>0</v>
      </c>
      <c r="J23" s="105">
        <v>0</v>
      </c>
      <c r="K23" s="105" t="s">
        <v>2</v>
      </c>
      <c r="L23" s="105">
        <v>0</v>
      </c>
    </row>
    <row r="24" spans="1:12" ht="18.75" x14ac:dyDescent="0.3">
      <c r="A24" s="105">
        <v>23</v>
      </c>
      <c r="B24" s="106">
        <f t="shared" si="2"/>
        <v>44965</v>
      </c>
      <c r="C24" s="107">
        <v>0.79166666666666663</v>
      </c>
      <c r="D24" s="99" t="s">
        <v>13</v>
      </c>
      <c r="E24" s="100">
        <f t="shared" si="1"/>
        <v>3.125E-2</v>
      </c>
      <c r="F24" s="105" t="s">
        <v>19</v>
      </c>
      <c r="G24" s="105">
        <v>200</v>
      </c>
      <c r="H24" s="105">
        <v>0</v>
      </c>
      <c r="I24" s="105">
        <v>0</v>
      </c>
      <c r="J24" s="105">
        <v>0</v>
      </c>
      <c r="K24" s="105" t="s">
        <v>2</v>
      </c>
      <c r="L24" s="105">
        <v>0</v>
      </c>
    </row>
    <row r="25" spans="1:12" ht="18.75" x14ac:dyDescent="0.3">
      <c r="A25" s="105">
        <v>24</v>
      </c>
      <c r="B25" s="106">
        <f t="shared" si="2"/>
        <v>44965</v>
      </c>
      <c r="C25" s="107">
        <v>0.82291666666666663</v>
      </c>
      <c r="D25" s="99" t="s">
        <v>13</v>
      </c>
      <c r="E25" s="100">
        <f t="shared" si="1"/>
        <v>5.208333333333337E-2</v>
      </c>
      <c r="F25" s="105" t="s">
        <v>16</v>
      </c>
      <c r="G25" s="105">
        <v>400</v>
      </c>
      <c r="H25" s="105">
        <v>0</v>
      </c>
      <c r="I25" s="105">
        <v>0</v>
      </c>
      <c r="J25" s="105">
        <v>0</v>
      </c>
      <c r="K25" s="105" t="s">
        <v>2</v>
      </c>
      <c r="L25" s="105">
        <v>0</v>
      </c>
    </row>
    <row r="26" spans="1:12" ht="18.75" x14ac:dyDescent="0.3">
      <c r="A26" s="105">
        <v>25</v>
      </c>
      <c r="B26" s="106">
        <f t="shared" si="2"/>
        <v>44965</v>
      </c>
      <c r="C26" s="107">
        <v>0.875</v>
      </c>
      <c r="D26" s="99" t="s">
        <v>15</v>
      </c>
      <c r="E26" s="100">
        <f t="shared" si="1"/>
        <v>3.125E-2</v>
      </c>
      <c r="F26" s="105" t="s">
        <v>18</v>
      </c>
      <c r="G26" s="105">
        <v>100</v>
      </c>
      <c r="H26" s="105">
        <v>0</v>
      </c>
      <c r="I26" s="105">
        <v>0</v>
      </c>
      <c r="J26" s="105">
        <v>0</v>
      </c>
      <c r="K26" s="105" t="s">
        <v>2</v>
      </c>
      <c r="L26" s="105">
        <v>0</v>
      </c>
    </row>
    <row r="27" spans="1:12" ht="18.75" x14ac:dyDescent="0.3">
      <c r="A27" s="105">
        <v>26</v>
      </c>
      <c r="B27" s="106">
        <f t="shared" si="2"/>
        <v>44965</v>
      </c>
      <c r="C27" s="107">
        <v>0.90625</v>
      </c>
      <c r="D27" s="99" t="s">
        <v>13</v>
      </c>
      <c r="E27" s="100">
        <f t="shared" si="1"/>
        <v>2.4305555555555469E-2</v>
      </c>
      <c r="F27" s="105" t="s">
        <v>16</v>
      </c>
      <c r="G27" s="105">
        <v>400</v>
      </c>
      <c r="H27" s="105">
        <v>0</v>
      </c>
      <c r="I27" s="105">
        <v>0</v>
      </c>
      <c r="J27" s="105">
        <v>0</v>
      </c>
      <c r="K27" s="105" t="s">
        <v>2</v>
      </c>
      <c r="L27" s="105">
        <v>0</v>
      </c>
    </row>
    <row r="28" spans="1:12" ht="18.75" x14ac:dyDescent="0.3">
      <c r="A28" s="105">
        <v>27</v>
      </c>
      <c r="B28" s="106">
        <f t="shared" si="2"/>
        <v>44965</v>
      </c>
      <c r="C28" s="107">
        <v>0.93055555555555547</v>
      </c>
      <c r="D28" s="99" t="s">
        <v>15</v>
      </c>
      <c r="E28" s="100">
        <f t="shared" si="1"/>
        <v>2.7777777777777901E-2</v>
      </c>
      <c r="F28" s="105" t="s">
        <v>17</v>
      </c>
      <c r="G28" s="105">
        <v>200</v>
      </c>
      <c r="H28" s="105">
        <v>0</v>
      </c>
      <c r="I28" s="105">
        <v>0</v>
      </c>
      <c r="J28" s="105">
        <v>0</v>
      </c>
      <c r="K28" s="105" t="s">
        <v>2</v>
      </c>
      <c r="L28" s="105">
        <v>0</v>
      </c>
    </row>
    <row r="29" spans="1:12" ht="18.75" x14ac:dyDescent="0.3">
      <c r="A29" s="105">
        <v>28</v>
      </c>
      <c r="B29" s="106">
        <f t="shared" si="2"/>
        <v>44965</v>
      </c>
      <c r="C29" s="107">
        <v>0.95833333333333337</v>
      </c>
      <c r="D29" s="99" t="s">
        <v>13</v>
      </c>
      <c r="E29" s="100">
        <f t="shared" si="1"/>
        <v>6.2499999999999889E-2</v>
      </c>
      <c r="F29" s="105" t="s">
        <v>16</v>
      </c>
      <c r="G29" s="105">
        <v>500</v>
      </c>
      <c r="H29" s="105">
        <v>0</v>
      </c>
      <c r="I29" s="105">
        <v>0</v>
      </c>
      <c r="J29" s="105">
        <v>0</v>
      </c>
      <c r="K29" s="105" t="s">
        <v>2</v>
      </c>
      <c r="L29" s="105">
        <v>0</v>
      </c>
    </row>
    <row r="30" spans="1:12" ht="18.75" x14ac:dyDescent="0.25">
      <c r="A30" s="105">
        <v>29</v>
      </c>
      <c r="B30" s="106">
        <f t="shared" ref="B30:B46" si="3">DATE(2023,2,9)</f>
        <v>44966</v>
      </c>
      <c r="C30" s="107">
        <v>2.0833333333333332E-2</v>
      </c>
      <c r="D30" s="99" t="s">
        <v>14</v>
      </c>
      <c r="E30" s="108">
        <f>IF(D30="X", 0,IF(C31&gt;C30,C31-C30,1+C31-C30))</f>
        <v>0.27777777777777779</v>
      </c>
      <c r="F30" s="105" t="s">
        <v>20</v>
      </c>
      <c r="G30" s="105">
        <v>0</v>
      </c>
      <c r="H30" s="105">
        <v>0</v>
      </c>
      <c r="I30" s="105">
        <v>0</v>
      </c>
      <c r="J30" s="105">
        <v>0</v>
      </c>
      <c r="K30" s="105" t="s">
        <v>2</v>
      </c>
      <c r="L30" s="105">
        <v>0</v>
      </c>
    </row>
    <row r="31" spans="1:12" ht="18.75" x14ac:dyDescent="0.25">
      <c r="A31" s="105">
        <v>30</v>
      </c>
      <c r="B31" s="106">
        <f t="shared" si="3"/>
        <v>44966</v>
      </c>
      <c r="C31" s="107">
        <v>0.2986111111111111</v>
      </c>
      <c r="D31" s="99" t="s">
        <v>4</v>
      </c>
      <c r="E31" s="108">
        <f t="shared" si="1"/>
        <v>2.430555555555558E-2</v>
      </c>
      <c r="F31" s="105" t="s">
        <v>16</v>
      </c>
      <c r="G31" s="105">
        <v>500</v>
      </c>
      <c r="H31" s="105">
        <v>0</v>
      </c>
      <c r="I31" s="105">
        <v>0</v>
      </c>
      <c r="J31" s="105">
        <v>0</v>
      </c>
      <c r="K31" s="105" t="s">
        <v>2</v>
      </c>
      <c r="L31" s="105">
        <v>0</v>
      </c>
    </row>
    <row r="32" spans="1:12" ht="18.75" x14ac:dyDescent="0.25">
      <c r="A32" s="105">
        <v>31</v>
      </c>
      <c r="B32" s="106">
        <f t="shared" si="3"/>
        <v>44966</v>
      </c>
      <c r="C32" s="107">
        <v>0.32291666666666669</v>
      </c>
      <c r="D32" s="99" t="s">
        <v>13</v>
      </c>
      <c r="E32" s="108">
        <f t="shared" si="1"/>
        <v>7.291666666666663E-2</v>
      </c>
      <c r="F32" s="105" t="s">
        <v>16</v>
      </c>
      <c r="G32" s="105">
        <v>200</v>
      </c>
      <c r="H32" s="105">
        <v>0</v>
      </c>
      <c r="I32" s="105">
        <v>0</v>
      </c>
      <c r="J32" s="105">
        <v>0</v>
      </c>
      <c r="K32" s="105" t="s">
        <v>2</v>
      </c>
      <c r="L32" s="105">
        <v>0</v>
      </c>
    </row>
    <row r="33" spans="1:12" ht="18.75" x14ac:dyDescent="0.25">
      <c r="A33" s="105">
        <v>32</v>
      </c>
      <c r="B33" s="106">
        <f t="shared" si="3"/>
        <v>44966</v>
      </c>
      <c r="C33" s="107">
        <v>0.39583333333333331</v>
      </c>
      <c r="D33" s="99" t="s">
        <v>27</v>
      </c>
      <c r="E33" s="108">
        <f t="shared" si="1"/>
        <v>2.083333333333337E-2</v>
      </c>
      <c r="F33" s="105" t="s">
        <v>19</v>
      </c>
      <c r="G33" s="105">
        <v>100</v>
      </c>
      <c r="H33" s="105">
        <v>0</v>
      </c>
      <c r="I33" s="105">
        <v>0</v>
      </c>
      <c r="J33" s="105">
        <v>0</v>
      </c>
      <c r="K33" s="105" t="s">
        <v>2</v>
      </c>
      <c r="L33" s="105">
        <v>0</v>
      </c>
    </row>
    <row r="34" spans="1:12" ht="18.75" x14ac:dyDescent="0.25">
      <c r="A34" s="105">
        <v>33</v>
      </c>
      <c r="B34" s="106">
        <f t="shared" si="3"/>
        <v>44966</v>
      </c>
      <c r="C34" s="107">
        <v>0.41666666666666669</v>
      </c>
      <c r="D34" s="99" t="s">
        <v>13</v>
      </c>
      <c r="E34" s="108">
        <f t="shared" si="1"/>
        <v>2.7777777777777735E-2</v>
      </c>
      <c r="F34" s="105" t="s">
        <v>17</v>
      </c>
      <c r="G34" s="105">
        <v>300</v>
      </c>
      <c r="H34" s="105">
        <v>0</v>
      </c>
      <c r="I34" s="105">
        <v>0</v>
      </c>
      <c r="J34" s="105">
        <v>0</v>
      </c>
      <c r="K34" s="105" t="s">
        <v>2</v>
      </c>
      <c r="L34" s="105">
        <v>0</v>
      </c>
    </row>
    <row r="35" spans="1:12" ht="18.75" x14ac:dyDescent="0.25">
      <c r="A35" s="105">
        <v>34</v>
      </c>
      <c r="B35" s="106">
        <f t="shared" si="3"/>
        <v>44966</v>
      </c>
      <c r="C35" s="107">
        <v>0.44444444444444442</v>
      </c>
      <c r="D35" s="99" t="s">
        <v>13</v>
      </c>
      <c r="E35" s="108">
        <f t="shared" si="1"/>
        <v>9.722222222222221E-2</v>
      </c>
      <c r="F35" s="105" t="s">
        <v>16</v>
      </c>
      <c r="G35" s="105">
        <v>300</v>
      </c>
      <c r="H35" s="105">
        <v>0</v>
      </c>
      <c r="I35" s="105">
        <v>0</v>
      </c>
      <c r="J35" s="105">
        <v>0</v>
      </c>
      <c r="K35" s="105" t="s">
        <v>2</v>
      </c>
      <c r="L35" s="105">
        <v>0</v>
      </c>
    </row>
    <row r="36" spans="1:12" ht="18.75" x14ac:dyDescent="0.25">
      <c r="A36" s="105">
        <v>35</v>
      </c>
      <c r="B36" s="106">
        <f t="shared" si="3"/>
        <v>44966</v>
      </c>
      <c r="C36" s="107">
        <v>0.54166666666666663</v>
      </c>
      <c r="D36" s="99" t="s">
        <v>15</v>
      </c>
      <c r="E36" s="108">
        <f t="shared" si="1"/>
        <v>2.083333333333337E-2</v>
      </c>
      <c r="F36" s="105" t="s">
        <v>18</v>
      </c>
      <c r="G36" s="105">
        <v>300</v>
      </c>
      <c r="H36" s="105">
        <v>0</v>
      </c>
      <c r="I36" s="105">
        <v>0</v>
      </c>
      <c r="J36" s="105">
        <v>0</v>
      </c>
      <c r="K36" s="105" t="s">
        <v>2</v>
      </c>
      <c r="L36" s="105">
        <v>0</v>
      </c>
    </row>
    <row r="37" spans="1:12" ht="18.75" x14ac:dyDescent="0.25">
      <c r="A37" s="105">
        <v>36</v>
      </c>
      <c r="B37" s="106">
        <f t="shared" si="3"/>
        <v>44966</v>
      </c>
      <c r="C37" s="107">
        <v>0.5625</v>
      </c>
      <c r="D37" s="99" t="s">
        <v>27</v>
      </c>
      <c r="E37" s="108">
        <f t="shared" si="1"/>
        <v>2.083333333333337E-2</v>
      </c>
      <c r="F37" s="105" t="s">
        <v>17</v>
      </c>
      <c r="G37" s="105">
        <v>100</v>
      </c>
      <c r="H37" s="105">
        <v>0</v>
      </c>
      <c r="I37" s="105">
        <v>0</v>
      </c>
      <c r="J37" s="105">
        <v>0</v>
      </c>
      <c r="K37" s="105" t="s">
        <v>2</v>
      </c>
      <c r="L37" s="105">
        <v>0</v>
      </c>
    </row>
    <row r="38" spans="1:12" ht="18.75" x14ac:dyDescent="0.25">
      <c r="A38" s="105">
        <v>37</v>
      </c>
      <c r="B38" s="106">
        <f t="shared" si="3"/>
        <v>44966</v>
      </c>
      <c r="C38" s="107">
        <v>0.58333333333333337</v>
      </c>
      <c r="D38" s="99" t="s">
        <v>5</v>
      </c>
      <c r="E38" s="108">
        <f t="shared" si="1"/>
        <v>2.0833333333333259E-2</v>
      </c>
      <c r="F38" s="105" t="s">
        <v>20</v>
      </c>
      <c r="G38" s="105">
        <v>200</v>
      </c>
      <c r="H38" s="105">
        <v>0</v>
      </c>
      <c r="I38" s="105">
        <v>0</v>
      </c>
      <c r="J38" s="105">
        <v>0</v>
      </c>
      <c r="K38" s="105" t="s">
        <v>2</v>
      </c>
      <c r="L38" s="105">
        <v>0</v>
      </c>
    </row>
    <row r="39" spans="1:12" ht="18.75" x14ac:dyDescent="0.25">
      <c r="A39" s="105">
        <v>38</v>
      </c>
      <c r="B39" s="106">
        <f t="shared" si="3"/>
        <v>44966</v>
      </c>
      <c r="C39" s="107">
        <v>0.60416666666666663</v>
      </c>
      <c r="D39" s="99" t="s">
        <v>14</v>
      </c>
      <c r="E39" s="108">
        <f t="shared" si="1"/>
        <v>4.861111111111116E-2</v>
      </c>
      <c r="F39" s="105" t="s">
        <v>20</v>
      </c>
      <c r="G39" s="105">
        <v>0</v>
      </c>
      <c r="H39" s="105">
        <v>0</v>
      </c>
      <c r="I39" s="105">
        <v>0</v>
      </c>
      <c r="J39" s="105">
        <v>0</v>
      </c>
      <c r="K39" s="105" t="s">
        <v>2</v>
      </c>
      <c r="L39" s="105">
        <v>0</v>
      </c>
    </row>
    <row r="40" spans="1:12" ht="18.75" x14ac:dyDescent="0.25">
      <c r="A40" s="105">
        <v>39</v>
      </c>
      <c r="B40" s="106">
        <f t="shared" si="3"/>
        <v>44966</v>
      </c>
      <c r="C40" s="107">
        <v>0.65277777777777779</v>
      </c>
      <c r="D40" s="99" t="s">
        <v>13</v>
      </c>
      <c r="E40" s="108">
        <f t="shared" si="1"/>
        <v>0.10416666666666674</v>
      </c>
      <c r="F40" s="105" t="s">
        <v>16</v>
      </c>
      <c r="G40" s="105">
        <v>300</v>
      </c>
      <c r="H40" s="105">
        <v>0</v>
      </c>
      <c r="I40" s="105">
        <v>0</v>
      </c>
      <c r="J40" s="105">
        <v>0</v>
      </c>
      <c r="K40" s="105" t="s">
        <v>2</v>
      </c>
      <c r="L40" s="105">
        <v>0</v>
      </c>
    </row>
    <row r="41" spans="1:12" ht="18.75" x14ac:dyDescent="0.25">
      <c r="A41" s="105">
        <v>40</v>
      </c>
      <c r="B41" s="106">
        <f t="shared" si="3"/>
        <v>44966</v>
      </c>
      <c r="C41" s="107">
        <v>0.75694444444444453</v>
      </c>
      <c r="D41" s="99" t="s">
        <v>4</v>
      </c>
      <c r="E41" s="108">
        <f t="shared" si="1"/>
        <v>3.4722222222222099E-2</v>
      </c>
      <c r="F41" s="105" t="s">
        <v>19</v>
      </c>
      <c r="G41" s="105">
        <v>100</v>
      </c>
      <c r="H41" s="105">
        <v>0</v>
      </c>
      <c r="I41" s="105">
        <v>0</v>
      </c>
      <c r="J41" s="105">
        <v>0</v>
      </c>
      <c r="K41" s="105" t="s">
        <v>2</v>
      </c>
      <c r="L41" s="105">
        <v>0</v>
      </c>
    </row>
    <row r="42" spans="1:12" ht="18.75" x14ac:dyDescent="0.25">
      <c r="A42" s="105">
        <v>41</v>
      </c>
      <c r="B42" s="106">
        <f t="shared" si="3"/>
        <v>44966</v>
      </c>
      <c r="C42" s="107">
        <v>0.79166666666666663</v>
      </c>
      <c r="D42" s="99" t="s">
        <v>13</v>
      </c>
      <c r="E42" s="108">
        <f t="shared" si="1"/>
        <v>3.125E-2</v>
      </c>
      <c r="F42" s="105" t="s">
        <v>16</v>
      </c>
      <c r="G42" s="105">
        <v>200</v>
      </c>
      <c r="H42" s="105">
        <v>0</v>
      </c>
      <c r="I42" s="105">
        <v>0</v>
      </c>
      <c r="J42" s="105">
        <v>0</v>
      </c>
      <c r="K42" s="105" t="s">
        <v>2</v>
      </c>
      <c r="L42" s="105">
        <v>0</v>
      </c>
    </row>
    <row r="43" spans="1:12" ht="18.75" x14ac:dyDescent="0.25">
      <c r="A43" s="105">
        <v>42</v>
      </c>
      <c r="B43" s="106">
        <f t="shared" si="3"/>
        <v>44966</v>
      </c>
      <c r="C43" s="107">
        <v>0.82291666666666663</v>
      </c>
      <c r="D43" s="99" t="s">
        <v>13</v>
      </c>
      <c r="E43" s="108">
        <f t="shared" si="1"/>
        <v>5.208333333333337E-2</v>
      </c>
      <c r="F43" s="105" t="s">
        <v>18</v>
      </c>
      <c r="G43" s="105">
        <v>400</v>
      </c>
      <c r="H43" s="105">
        <v>0</v>
      </c>
      <c r="I43" s="105">
        <v>0</v>
      </c>
      <c r="J43" s="105">
        <v>0</v>
      </c>
      <c r="K43" s="105" t="s">
        <v>2</v>
      </c>
      <c r="L43" s="105">
        <v>0</v>
      </c>
    </row>
    <row r="44" spans="1:12" ht="18.75" x14ac:dyDescent="0.25">
      <c r="A44" s="105">
        <v>43</v>
      </c>
      <c r="B44" s="106">
        <f t="shared" si="3"/>
        <v>44966</v>
      </c>
      <c r="C44" s="107">
        <v>0.875</v>
      </c>
      <c r="D44" s="99" t="s">
        <v>15</v>
      </c>
      <c r="E44" s="108">
        <f t="shared" si="1"/>
        <v>3.125E-2</v>
      </c>
      <c r="F44" s="105" t="s">
        <v>18</v>
      </c>
      <c r="G44" s="105">
        <v>100</v>
      </c>
      <c r="H44" s="105">
        <v>0</v>
      </c>
      <c r="I44" s="105">
        <v>0</v>
      </c>
      <c r="J44" s="105">
        <v>0</v>
      </c>
      <c r="K44" s="105" t="s">
        <v>2</v>
      </c>
      <c r="L44" s="105">
        <v>0</v>
      </c>
    </row>
    <row r="45" spans="1:12" ht="18.75" x14ac:dyDescent="0.25">
      <c r="A45" s="105">
        <v>44</v>
      </c>
      <c r="B45" s="106">
        <f t="shared" si="3"/>
        <v>44966</v>
      </c>
      <c r="C45" s="107">
        <v>0.90625</v>
      </c>
      <c r="D45" s="99" t="s">
        <v>27</v>
      </c>
      <c r="E45" s="108">
        <f t="shared" si="1"/>
        <v>2.4305555555555469E-2</v>
      </c>
      <c r="F45" s="105" t="s">
        <v>19</v>
      </c>
      <c r="G45" s="105">
        <v>400</v>
      </c>
      <c r="H45" s="105">
        <v>0</v>
      </c>
      <c r="I45" s="105">
        <v>0</v>
      </c>
      <c r="J45" s="105">
        <v>0</v>
      </c>
      <c r="K45" s="105" t="s">
        <v>2</v>
      </c>
      <c r="L45" s="105">
        <v>0</v>
      </c>
    </row>
    <row r="46" spans="1:12" ht="18.75" x14ac:dyDescent="0.25">
      <c r="A46" s="105">
        <v>45</v>
      </c>
      <c r="B46" s="106">
        <f t="shared" si="3"/>
        <v>44966</v>
      </c>
      <c r="C46" s="107">
        <v>0.93055555555555547</v>
      </c>
      <c r="D46" s="99" t="s">
        <v>15</v>
      </c>
      <c r="E46" s="108">
        <f t="shared" si="1"/>
        <v>2.7777777777777901E-2</v>
      </c>
      <c r="F46" s="105" t="s">
        <v>17</v>
      </c>
      <c r="G46" s="105">
        <v>200</v>
      </c>
      <c r="H46" s="105">
        <v>0</v>
      </c>
      <c r="I46" s="105">
        <v>0</v>
      </c>
      <c r="J46" s="105">
        <v>0</v>
      </c>
      <c r="K46" s="105" t="s">
        <v>2</v>
      </c>
      <c r="L46" s="105">
        <v>0</v>
      </c>
    </row>
    <row r="47" spans="1:12" ht="18.75" x14ac:dyDescent="0.25">
      <c r="A47" s="105">
        <v>46</v>
      </c>
      <c r="B47" s="106">
        <f>DATE(2023,2,9)</f>
        <v>44966</v>
      </c>
      <c r="C47" s="107">
        <v>0.95833333333333337</v>
      </c>
      <c r="D47" s="99" t="s">
        <v>13</v>
      </c>
      <c r="E47" s="108">
        <f t="shared" si="1"/>
        <v>6.2499999999999889E-2</v>
      </c>
      <c r="F47" s="105" t="s">
        <v>16</v>
      </c>
      <c r="G47" s="105">
        <v>500</v>
      </c>
      <c r="H47" s="105">
        <v>0</v>
      </c>
      <c r="I47" s="105">
        <v>0</v>
      </c>
      <c r="J47" s="105">
        <v>0</v>
      </c>
      <c r="K47" s="105" t="s">
        <v>2</v>
      </c>
      <c r="L47" s="105">
        <v>0</v>
      </c>
    </row>
    <row r="48" spans="1:12" ht="18.75" x14ac:dyDescent="0.3">
      <c r="A48" s="105">
        <v>47</v>
      </c>
      <c r="B48" s="106">
        <f>DATE(2023,2,10)</f>
        <v>44967</v>
      </c>
      <c r="C48" s="107">
        <v>2.0833333333333332E-2</v>
      </c>
      <c r="D48" s="99" t="s">
        <v>14</v>
      </c>
      <c r="E48" s="100">
        <f>IF(D48="X", 0,IF(C49&gt;C48,C49-C48,1+C49-C48))</f>
        <v>0.27777777777777779</v>
      </c>
      <c r="F48" s="105" t="s">
        <v>20</v>
      </c>
      <c r="G48" s="105">
        <v>0</v>
      </c>
      <c r="H48" s="105">
        <v>0</v>
      </c>
      <c r="I48" s="105">
        <v>0</v>
      </c>
      <c r="J48" s="105">
        <v>0</v>
      </c>
      <c r="K48" s="105" t="s">
        <v>2</v>
      </c>
      <c r="L48" s="105">
        <v>0</v>
      </c>
    </row>
    <row r="49" spans="1:12" ht="18.75" x14ac:dyDescent="0.3">
      <c r="A49" s="105">
        <v>48</v>
      </c>
      <c r="B49" s="106">
        <f>DATE(2023,2,10)</f>
        <v>44967</v>
      </c>
      <c r="C49" s="107">
        <v>0.2986111111111111</v>
      </c>
      <c r="D49" s="99" t="s">
        <v>4</v>
      </c>
      <c r="E49" s="100">
        <f t="shared" si="1"/>
        <v>2.430555555555558E-2</v>
      </c>
      <c r="F49" s="105" t="s">
        <v>16</v>
      </c>
      <c r="G49" s="105">
        <v>600</v>
      </c>
      <c r="H49" s="105">
        <v>0</v>
      </c>
      <c r="I49" s="105">
        <v>0</v>
      </c>
      <c r="J49" s="105">
        <v>0</v>
      </c>
      <c r="K49" s="105" t="s">
        <v>2</v>
      </c>
      <c r="L49" s="105">
        <v>0</v>
      </c>
    </row>
    <row r="50" spans="1:12" ht="18.75" x14ac:dyDescent="0.3">
      <c r="A50" s="105">
        <v>49</v>
      </c>
      <c r="B50" s="106">
        <f t="shared" ref="B50:B64" si="4">DATE(2023,2,10)</f>
        <v>44967</v>
      </c>
      <c r="C50" s="107">
        <v>0.32291666666666669</v>
      </c>
      <c r="D50" s="99" t="s">
        <v>13</v>
      </c>
      <c r="E50" s="100">
        <f t="shared" si="1"/>
        <v>7.291666666666663E-2</v>
      </c>
      <c r="F50" s="105" t="s">
        <v>16</v>
      </c>
      <c r="G50" s="105">
        <v>300</v>
      </c>
      <c r="H50" s="105">
        <v>0</v>
      </c>
      <c r="I50" s="105">
        <v>0</v>
      </c>
      <c r="J50" s="105">
        <v>0</v>
      </c>
      <c r="K50" s="105" t="s">
        <v>2</v>
      </c>
      <c r="L50" s="105">
        <v>0</v>
      </c>
    </row>
    <row r="51" spans="1:12" ht="18.75" x14ac:dyDescent="0.3">
      <c r="A51" s="105">
        <v>50</v>
      </c>
      <c r="B51" s="106">
        <f t="shared" si="4"/>
        <v>44967</v>
      </c>
      <c r="C51" s="107">
        <v>0.39583333333333331</v>
      </c>
      <c r="D51" s="99" t="s">
        <v>27</v>
      </c>
      <c r="E51" s="100">
        <f t="shared" si="1"/>
        <v>2.083333333333337E-2</v>
      </c>
      <c r="F51" s="105" t="s">
        <v>19</v>
      </c>
      <c r="G51" s="105">
        <v>200</v>
      </c>
      <c r="H51" s="105">
        <v>0</v>
      </c>
      <c r="I51" s="105">
        <v>0</v>
      </c>
      <c r="J51" s="105">
        <v>0</v>
      </c>
      <c r="K51" s="105" t="s">
        <v>2</v>
      </c>
      <c r="L51" s="105">
        <v>0</v>
      </c>
    </row>
    <row r="52" spans="1:12" ht="18.75" x14ac:dyDescent="0.3">
      <c r="A52" s="105">
        <v>51</v>
      </c>
      <c r="B52" s="106">
        <f t="shared" si="4"/>
        <v>44967</v>
      </c>
      <c r="C52" s="107">
        <v>0.41666666666666669</v>
      </c>
      <c r="D52" s="99" t="s">
        <v>13</v>
      </c>
      <c r="E52" s="100">
        <f t="shared" si="1"/>
        <v>2.7777777777777735E-2</v>
      </c>
      <c r="F52" s="105" t="s">
        <v>17</v>
      </c>
      <c r="G52" s="105">
        <v>250</v>
      </c>
      <c r="H52" s="105">
        <v>0</v>
      </c>
      <c r="I52" s="105">
        <v>0</v>
      </c>
      <c r="J52" s="105">
        <v>0</v>
      </c>
      <c r="K52" s="105" t="s">
        <v>2</v>
      </c>
      <c r="L52" s="105">
        <v>0</v>
      </c>
    </row>
    <row r="53" spans="1:12" ht="18.75" x14ac:dyDescent="0.3">
      <c r="A53" s="105">
        <v>52</v>
      </c>
      <c r="B53" s="106">
        <f t="shared" si="4"/>
        <v>44967</v>
      </c>
      <c r="C53" s="107">
        <v>0.44444444444444442</v>
      </c>
      <c r="D53" s="99" t="s">
        <v>13</v>
      </c>
      <c r="E53" s="100">
        <f t="shared" si="1"/>
        <v>9.722222222222221E-2</v>
      </c>
      <c r="F53" s="105" t="s">
        <v>16</v>
      </c>
      <c r="G53" s="105">
        <v>300</v>
      </c>
      <c r="H53" s="105">
        <v>0</v>
      </c>
      <c r="I53" s="105">
        <v>0</v>
      </c>
      <c r="J53" s="105">
        <v>0</v>
      </c>
      <c r="K53" s="105" t="s">
        <v>2</v>
      </c>
      <c r="L53" s="105">
        <v>0</v>
      </c>
    </row>
    <row r="54" spans="1:12" ht="18.75" x14ac:dyDescent="0.3">
      <c r="A54" s="105">
        <v>53</v>
      </c>
      <c r="B54" s="106">
        <f t="shared" si="4"/>
        <v>44967</v>
      </c>
      <c r="C54" s="107">
        <v>0.54166666666666663</v>
      </c>
      <c r="D54" s="99" t="s">
        <v>13</v>
      </c>
      <c r="E54" s="100">
        <f t="shared" si="1"/>
        <v>2.083333333333337E-2</v>
      </c>
      <c r="F54" s="105" t="s">
        <v>18</v>
      </c>
      <c r="G54" s="105">
        <v>400</v>
      </c>
      <c r="H54" s="105">
        <v>0</v>
      </c>
      <c r="I54" s="105">
        <v>0</v>
      </c>
      <c r="J54" s="105">
        <v>0</v>
      </c>
      <c r="K54" s="105" t="s">
        <v>2</v>
      </c>
      <c r="L54" s="105">
        <v>0</v>
      </c>
    </row>
    <row r="55" spans="1:12" ht="18.75" x14ac:dyDescent="0.3">
      <c r="A55" s="105">
        <v>54</v>
      </c>
      <c r="B55" s="106">
        <f t="shared" si="4"/>
        <v>44967</v>
      </c>
      <c r="C55" s="107">
        <v>0.5625</v>
      </c>
      <c r="D55" s="99" t="s">
        <v>27</v>
      </c>
      <c r="E55" s="100">
        <f t="shared" si="1"/>
        <v>2.083333333333337E-2</v>
      </c>
      <c r="F55" s="105" t="s">
        <v>17</v>
      </c>
      <c r="G55" s="105">
        <v>150</v>
      </c>
      <c r="H55" s="105">
        <v>0</v>
      </c>
      <c r="I55" s="105">
        <v>0</v>
      </c>
      <c r="J55" s="105">
        <v>0</v>
      </c>
      <c r="K55" s="105" t="s">
        <v>2</v>
      </c>
      <c r="L55" s="105">
        <v>0</v>
      </c>
    </row>
    <row r="56" spans="1:12" ht="18.75" x14ac:dyDescent="0.3">
      <c r="A56" s="105">
        <v>55</v>
      </c>
      <c r="B56" s="106">
        <f t="shared" si="4"/>
        <v>44967</v>
      </c>
      <c r="C56" s="107">
        <v>0.58333333333333337</v>
      </c>
      <c r="D56" s="99" t="s">
        <v>5</v>
      </c>
      <c r="E56" s="100">
        <f t="shared" si="1"/>
        <v>2.0833333333333259E-2</v>
      </c>
      <c r="F56" s="105" t="s">
        <v>20</v>
      </c>
      <c r="G56" s="105">
        <v>200</v>
      </c>
      <c r="H56" s="105">
        <v>0</v>
      </c>
      <c r="I56" s="105">
        <v>0</v>
      </c>
      <c r="J56" s="105">
        <v>0</v>
      </c>
      <c r="K56" s="105" t="s">
        <v>2</v>
      </c>
      <c r="L56" s="105">
        <v>0</v>
      </c>
    </row>
    <row r="57" spans="1:12" ht="18.75" x14ac:dyDescent="0.3">
      <c r="A57" s="105">
        <v>56</v>
      </c>
      <c r="B57" s="106">
        <f t="shared" si="4"/>
        <v>44967</v>
      </c>
      <c r="C57" s="107">
        <v>0.60416666666666663</v>
      </c>
      <c r="D57" s="99" t="s">
        <v>14</v>
      </c>
      <c r="E57" s="100">
        <f t="shared" si="1"/>
        <v>4.861111111111116E-2</v>
      </c>
      <c r="F57" s="105" t="s">
        <v>20</v>
      </c>
      <c r="G57" s="105">
        <v>0</v>
      </c>
      <c r="H57" s="105">
        <v>0</v>
      </c>
      <c r="I57" s="105">
        <v>0</v>
      </c>
      <c r="J57" s="105">
        <v>0</v>
      </c>
      <c r="K57" s="105" t="s">
        <v>2</v>
      </c>
      <c r="L57" s="105">
        <v>0</v>
      </c>
    </row>
    <row r="58" spans="1:12" ht="18.75" x14ac:dyDescent="0.3">
      <c r="A58" s="105">
        <v>57</v>
      </c>
      <c r="B58" s="106">
        <f t="shared" si="4"/>
        <v>44967</v>
      </c>
      <c r="C58" s="107">
        <v>0.65277777777777779</v>
      </c>
      <c r="D58" s="99" t="s">
        <v>13</v>
      </c>
      <c r="E58" s="100">
        <f t="shared" si="1"/>
        <v>9.722222222222221E-2</v>
      </c>
      <c r="F58" s="105" t="s">
        <v>16</v>
      </c>
      <c r="G58" s="105">
        <v>250</v>
      </c>
      <c r="H58" s="105">
        <v>0</v>
      </c>
      <c r="I58" s="105">
        <v>0</v>
      </c>
      <c r="J58" s="105">
        <v>0</v>
      </c>
      <c r="K58" s="105" t="s">
        <v>2</v>
      </c>
      <c r="L58" s="105">
        <v>0</v>
      </c>
    </row>
    <row r="59" spans="1:12" ht="18.75" x14ac:dyDescent="0.3">
      <c r="A59" s="105">
        <v>58</v>
      </c>
      <c r="B59" s="106">
        <f t="shared" si="4"/>
        <v>44967</v>
      </c>
      <c r="C59" s="107">
        <v>0.75</v>
      </c>
      <c r="D59" s="99" t="s">
        <v>4</v>
      </c>
      <c r="E59" s="100">
        <f t="shared" si="1"/>
        <v>4.166666666666663E-2</v>
      </c>
      <c r="F59" s="105" t="s">
        <v>19</v>
      </c>
      <c r="G59" s="105">
        <v>200</v>
      </c>
      <c r="H59" s="105">
        <v>0</v>
      </c>
      <c r="I59" s="105">
        <v>0</v>
      </c>
      <c r="J59" s="105">
        <v>0</v>
      </c>
      <c r="K59" s="105" t="s">
        <v>2</v>
      </c>
      <c r="L59" s="105">
        <v>0</v>
      </c>
    </row>
    <row r="60" spans="1:12" ht="18.75" x14ac:dyDescent="0.3">
      <c r="A60" s="105">
        <v>59</v>
      </c>
      <c r="B60" s="106">
        <f t="shared" si="4"/>
        <v>44967</v>
      </c>
      <c r="C60" s="107">
        <v>0.79166666666666663</v>
      </c>
      <c r="D60" s="99" t="s">
        <v>13</v>
      </c>
      <c r="E60" s="100">
        <f t="shared" si="1"/>
        <v>3.125E-2</v>
      </c>
      <c r="F60" s="105" t="s">
        <v>16</v>
      </c>
      <c r="G60" s="105">
        <v>200</v>
      </c>
      <c r="H60" s="105">
        <v>0</v>
      </c>
      <c r="I60" s="105">
        <v>0</v>
      </c>
      <c r="J60" s="105">
        <v>0</v>
      </c>
      <c r="K60" s="105" t="s">
        <v>2</v>
      </c>
      <c r="L60" s="105">
        <v>0</v>
      </c>
    </row>
    <row r="61" spans="1:12" ht="18.75" x14ac:dyDescent="0.3">
      <c r="A61" s="105">
        <v>60</v>
      </c>
      <c r="B61" s="106">
        <f t="shared" si="4"/>
        <v>44967</v>
      </c>
      <c r="C61" s="107">
        <v>0.82291666666666663</v>
      </c>
      <c r="D61" s="99" t="s">
        <v>13</v>
      </c>
      <c r="E61" s="100">
        <f t="shared" si="1"/>
        <v>5.208333333333337E-2</v>
      </c>
      <c r="F61" s="105" t="s">
        <v>18</v>
      </c>
      <c r="G61" s="105">
        <v>400</v>
      </c>
      <c r="H61" s="105">
        <v>0</v>
      </c>
      <c r="I61" s="105">
        <v>0</v>
      </c>
      <c r="J61" s="105">
        <v>0</v>
      </c>
      <c r="K61" s="105" t="s">
        <v>2</v>
      </c>
      <c r="L61" s="105">
        <v>0</v>
      </c>
    </row>
    <row r="62" spans="1:12" ht="18.75" x14ac:dyDescent="0.3">
      <c r="A62" s="105">
        <v>61</v>
      </c>
      <c r="B62" s="106">
        <f t="shared" si="4"/>
        <v>44967</v>
      </c>
      <c r="C62" s="107">
        <v>0.875</v>
      </c>
      <c r="D62" s="99" t="s">
        <v>15</v>
      </c>
      <c r="E62" s="100">
        <f t="shared" si="1"/>
        <v>3.125E-2</v>
      </c>
      <c r="F62" s="105" t="s">
        <v>18</v>
      </c>
      <c r="G62" s="105">
        <v>100</v>
      </c>
      <c r="H62" s="105">
        <v>0</v>
      </c>
      <c r="I62" s="105">
        <v>0</v>
      </c>
      <c r="J62" s="105">
        <v>0</v>
      </c>
      <c r="K62" s="105" t="s">
        <v>2</v>
      </c>
      <c r="L62" s="105">
        <v>0</v>
      </c>
    </row>
    <row r="63" spans="1:12" ht="18.75" x14ac:dyDescent="0.3">
      <c r="A63" s="105">
        <v>62</v>
      </c>
      <c r="B63" s="106">
        <f t="shared" si="4"/>
        <v>44967</v>
      </c>
      <c r="C63" s="107">
        <v>0.90625</v>
      </c>
      <c r="D63" s="99" t="s">
        <v>27</v>
      </c>
      <c r="E63" s="100">
        <f t="shared" si="1"/>
        <v>2.4305555555555469E-2</v>
      </c>
      <c r="F63" s="105" t="s">
        <v>19</v>
      </c>
      <c r="G63" s="105">
        <v>400</v>
      </c>
      <c r="H63" s="105">
        <v>0</v>
      </c>
      <c r="I63" s="105">
        <v>0</v>
      </c>
      <c r="J63" s="105">
        <v>0</v>
      </c>
      <c r="K63" s="105" t="s">
        <v>2</v>
      </c>
      <c r="L63" s="105">
        <v>0</v>
      </c>
    </row>
    <row r="64" spans="1:12" ht="18.75" x14ac:dyDescent="0.3">
      <c r="A64" s="105">
        <v>63</v>
      </c>
      <c r="B64" s="106">
        <f t="shared" si="4"/>
        <v>44967</v>
      </c>
      <c r="C64" s="107">
        <v>0.93055555555555547</v>
      </c>
      <c r="D64" s="99" t="s">
        <v>15</v>
      </c>
      <c r="E64" s="100">
        <f t="shared" si="1"/>
        <v>9.027777777777779E-2</v>
      </c>
      <c r="F64" s="105" t="s">
        <v>17</v>
      </c>
      <c r="G64" s="105">
        <v>200</v>
      </c>
      <c r="H64" s="105">
        <v>0</v>
      </c>
      <c r="I64" s="105">
        <v>0</v>
      </c>
      <c r="J64" s="105">
        <v>0</v>
      </c>
      <c r="K64" s="105" t="s">
        <v>2</v>
      </c>
      <c r="L64" s="105">
        <v>0</v>
      </c>
    </row>
    <row r="65" spans="1:11" ht="18.75" hidden="1" x14ac:dyDescent="0.3">
      <c r="A65" s="101"/>
      <c r="B65" s="110">
        <v>44968</v>
      </c>
      <c r="C65" s="111">
        <v>2.0833333333333332E-2</v>
      </c>
      <c r="D65" s="101" t="s">
        <v>13</v>
      </c>
      <c r="E65" s="101"/>
      <c r="F65" s="101"/>
      <c r="G65" s="101"/>
      <c r="H65" s="101"/>
      <c r="I65" s="101"/>
      <c r="J65" s="101"/>
      <c r="K65" s="10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267D-56DE-499A-AA78-13AE09A7847D}">
  <sheetPr codeName="Sheet2"/>
  <dimension ref="A1:AO128"/>
  <sheetViews>
    <sheetView topLeftCell="A37" zoomScale="90" zoomScaleNormal="90" workbookViewId="0">
      <selection activeCell="S60" sqref="S60:V64"/>
    </sheetView>
  </sheetViews>
  <sheetFormatPr defaultRowHeight="15" x14ac:dyDescent="0.25"/>
  <cols>
    <col min="1" max="1" width="15.5703125" customWidth="1"/>
    <col min="2" max="2" width="10" customWidth="1"/>
    <col min="3" max="3" width="10.140625" customWidth="1"/>
    <col min="4" max="4" width="2" customWidth="1"/>
    <col min="5" max="5" width="3.5703125" customWidth="1"/>
    <col min="6" max="6" width="6.42578125" customWidth="1"/>
    <col min="7" max="7" width="13.42578125" customWidth="1"/>
    <col min="8" max="8" width="17.28515625" customWidth="1"/>
    <col min="9" max="9" width="17.42578125" customWidth="1"/>
    <col min="10" max="10" width="17" customWidth="1"/>
    <col min="11" max="11" width="14.85546875" customWidth="1"/>
    <col min="12" max="12" width="14.5703125" customWidth="1"/>
    <col min="13" max="13" width="20.85546875" customWidth="1"/>
    <col min="14" max="14" width="13.85546875" customWidth="1"/>
    <col min="15" max="15" width="12" customWidth="1"/>
    <col min="16" max="16" width="17.28515625" customWidth="1"/>
    <col min="17" max="17" width="4" customWidth="1"/>
    <col min="18" max="18" width="5.42578125" customWidth="1"/>
    <col min="19" max="19" width="15.5703125" customWidth="1"/>
    <col min="20" max="20" width="14.140625" customWidth="1"/>
    <col min="21" max="21" width="15.85546875" customWidth="1"/>
    <col min="22" max="22" width="12.7109375" customWidth="1"/>
    <col min="23" max="23" width="10.42578125" customWidth="1"/>
    <col min="24" max="24" width="9" bestFit="1" customWidth="1"/>
    <col min="25" max="25" width="16.140625" bestFit="1" customWidth="1"/>
    <col min="26" max="26" width="11.140625" bestFit="1" customWidth="1"/>
    <col min="27" max="27" width="11.42578125" bestFit="1" customWidth="1"/>
  </cols>
  <sheetData>
    <row r="1" spans="1:41" ht="15" customHeight="1" x14ac:dyDescent="0.25">
      <c r="A1" s="13"/>
      <c r="B1" s="13"/>
      <c r="C1" s="13"/>
      <c r="D1" s="13"/>
      <c r="E1" s="13"/>
      <c r="F1" s="13"/>
      <c r="G1" s="127" t="s">
        <v>35</v>
      </c>
      <c r="H1" s="127"/>
      <c r="I1" s="127"/>
      <c r="J1" s="127"/>
      <c r="K1" s="127"/>
      <c r="L1" s="127"/>
      <c r="M1" s="127"/>
      <c r="N1" s="127"/>
      <c r="O1" s="127"/>
      <c r="P1" s="13"/>
      <c r="Q1" s="13"/>
      <c r="R1" s="13"/>
      <c r="S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</row>
    <row r="2" spans="1:41" ht="15" customHeight="1" x14ac:dyDescent="0.25">
      <c r="A2" s="13"/>
      <c r="B2" s="121">
        <f ca="1">TODAY()</f>
        <v>44970</v>
      </c>
      <c r="C2" s="121"/>
      <c r="D2" s="121"/>
      <c r="E2" s="121"/>
      <c r="F2" s="122"/>
      <c r="G2" s="128"/>
      <c r="H2" s="128"/>
      <c r="I2" s="128"/>
      <c r="J2" s="128"/>
      <c r="K2" s="128"/>
      <c r="L2" s="128"/>
      <c r="M2" s="128"/>
      <c r="N2" s="128"/>
      <c r="O2" s="128"/>
      <c r="P2" s="133">
        <f ca="1">NOW()</f>
        <v>44970.839737152775</v>
      </c>
      <c r="Q2" s="134"/>
      <c r="R2" s="134"/>
      <c r="S2" s="134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</row>
    <row r="3" spans="1:41" ht="15" customHeight="1" x14ac:dyDescent="0.25">
      <c r="A3" s="13"/>
      <c r="B3" s="123"/>
      <c r="C3" s="123"/>
      <c r="D3" s="123"/>
      <c r="E3" s="123"/>
      <c r="F3" s="124"/>
      <c r="G3" s="128"/>
      <c r="H3" s="128"/>
      <c r="I3" s="128"/>
      <c r="J3" s="128"/>
      <c r="K3" s="128"/>
      <c r="L3" s="128"/>
      <c r="M3" s="128"/>
      <c r="N3" s="128"/>
      <c r="O3" s="128"/>
      <c r="P3" s="133"/>
      <c r="Q3" s="134"/>
      <c r="R3" s="134"/>
      <c r="S3" s="134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</row>
    <row r="4" spans="1:41" ht="15" customHeight="1" x14ac:dyDescent="0.25">
      <c r="A4" s="13"/>
      <c r="B4" s="123"/>
      <c r="C4" s="123"/>
      <c r="D4" s="123"/>
      <c r="E4" s="123"/>
      <c r="F4" s="124"/>
      <c r="G4" s="128"/>
      <c r="H4" s="128"/>
      <c r="I4" s="128"/>
      <c r="J4" s="128"/>
      <c r="K4" s="128"/>
      <c r="L4" s="128"/>
      <c r="M4" s="128"/>
      <c r="N4" s="128"/>
      <c r="O4" s="128"/>
      <c r="P4" s="133"/>
      <c r="Q4" s="134"/>
      <c r="R4" s="134"/>
      <c r="S4" s="134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</row>
    <row r="5" spans="1:41" ht="15" customHeight="1" x14ac:dyDescent="0.25">
      <c r="A5" s="47"/>
      <c r="B5" s="125"/>
      <c r="C5" s="125"/>
      <c r="D5" s="125"/>
      <c r="E5" s="125"/>
      <c r="F5" s="126"/>
      <c r="G5" s="128"/>
      <c r="H5" s="128"/>
      <c r="I5" s="128"/>
      <c r="J5" s="128"/>
      <c r="K5" s="128"/>
      <c r="L5" s="128"/>
      <c r="M5" s="128"/>
      <c r="N5" s="128"/>
      <c r="O5" s="128"/>
      <c r="P5" s="133"/>
      <c r="Q5" s="134"/>
      <c r="R5" s="134"/>
      <c r="S5" s="134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</row>
    <row r="6" spans="1:41" ht="21" customHeight="1" thickBot="1" x14ac:dyDescent="0.3">
      <c r="A6" s="13"/>
      <c r="B6" s="13"/>
      <c r="C6" s="13"/>
      <c r="D6" s="13"/>
      <c r="E6" s="13"/>
      <c r="F6" s="13"/>
      <c r="G6" s="129"/>
      <c r="H6" s="129"/>
      <c r="I6" s="129"/>
      <c r="J6" s="129"/>
      <c r="K6" s="129"/>
      <c r="L6" s="129"/>
      <c r="M6" s="129"/>
      <c r="N6" s="129"/>
      <c r="O6" s="129"/>
      <c r="P6" s="13"/>
      <c r="Q6" s="13"/>
      <c r="R6" s="13"/>
      <c r="S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</row>
    <row r="7" spans="1:41" ht="24" customHeight="1" x14ac:dyDescent="0.45">
      <c r="A7" s="142" t="s">
        <v>42</v>
      </c>
      <c r="B7" s="142"/>
      <c r="C7" s="142"/>
      <c r="D7" s="73"/>
      <c r="E7" s="13"/>
      <c r="F7" s="13"/>
      <c r="G7" s="139" t="s">
        <v>38</v>
      </c>
      <c r="H7" s="139"/>
      <c r="I7" s="139"/>
      <c r="J7" s="139"/>
      <c r="K7" s="139"/>
      <c r="L7" s="139"/>
      <c r="M7" s="139"/>
      <c r="N7" s="139"/>
      <c r="O7" s="139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</row>
    <row r="8" spans="1:41" ht="19.5" customHeight="1" thickBot="1" x14ac:dyDescent="0.3">
      <c r="A8" s="138">
        <v>44965</v>
      </c>
      <c r="B8" s="138"/>
      <c r="C8" s="138"/>
      <c r="D8" s="74"/>
      <c r="E8" s="20"/>
      <c r="F8" s="19" t="s">
        <v>12</v>
      </c>
      <c r="G8" s="1" t="s">
        <v>1</v>
      </c>
      <c r="H8" s="19" t="s">
        <v>0</v>
      </c>
      <c r="I8" s="21" t="s">
        <v>3</v>
      </c>
      <c r="J8" s="22" t="s">
        <v>0</v>
      </c>
      <c r="K8" s="23" t="s">
        <v>6</v>
      </c>
      <c r="L8" s="19" t="s">
        <v>10</v>
      </c>
      <c r="M8" s="1" t="s">
        <v>7</v>
      </c>
      <c r="N8" s="19" t="s">
        <v>8</v>
      </c>
      <c r="O8" s="1" t="s">
        <v>9</v>
      </c>
      <c r="P8" s="19" t="s">
        <v>11</v>
      </c>
      <c r="Q8" s="24"/>
      <c r="R8" s="13"/>
      <c r="S8" s="138">
        <v>44964</v>
      </c>
      <c r="T8" s="138"/>
      <c r="U8" s="138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r="9" spans="1:41" ht="15" customHeight="1" x14ac:dyDescent="0.25">
      <c r="A9" s="42"/>
      <c r="B9" s="43"/>
      <c r="C9" s="43"/>
      <c r="D9" s="70"/>
      <c r="E9" s="135">
        <v>44964</v>
      </c>
      <c r="F9" s="9">
        <v>1</v>
      </c>
      <c r="G9" s="10">
        <f>DATE(2023,2,7)</f>
        <v>44964</v>
      </c>
      <c r="H9" s="25">
        <v>0.54166666666666663</v>
      </c>
      <c r="I9" s="26" t="s">
        <v>13</v>
      </c>
      <c r="J9" s="48">
        <f>IF(I9="X", 0,IF(H10&gt;H9,H10-H9,1+H10-H9))</f>
        <v>4.1666666666666741E-2</v>
      </c>
      <c r="K9" s="9" t="s">
        <v>16</v>
      </c>
      <c r="L9" s="28">
        <v>0.2</v>
      </c>
      <c r="M9" s="9">
        <v>0</v>
      </c>
      <c r="N9" s="9">
        <v>0</v>
      </c>
      <c r="O9" s="9">
        <v>0</v>
      </c>
      <c r="P9" s="9" t="s">
        <v>2</v>
      </c>
      <c r="Q9" s="131"/>
      <c r="R9" s="13"/>
      <c r="S9" s="2"/>
      <c r="T9" s="3"/>
      <c r="U9" s="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 spans="1:41" x14ac:dyDescent="0.25">
      <c r="A10" s="44" t="s">
        <v>23</v>
      </c>
      <c r="B10" s="5"/>
      <c r="C10" s="16" t="s">
        <v>21</v>
      </c>
      <c r="D10" s="71"/>
      <c r="E10" s="135"/>
      <c r="F10" s="9">
        <v>2</v>
      </c>
      <c r="G10" s="10">
        <f t="shared" ref="G10:G18" si="0">DATE(2023,2,7)</f>
        <v>44964</v>
      </c>
      <c r="H10" s="25">
        <v>0.58333333333333337</v>
      </c>
      <c r="I10" s="26" t="s">
        <v>27</v>
      </c>
      <c r="J10" s="48">
        <f t="shared" ref="J10:J72" si="1">IF(I10="X", 0,IF(H11&gt;H10,H11-H10,1+H11-H10))</f>
        <v>2.0833333333333259E-2</v>
      </c>
      <c r="K10" s="9" t="s">
        <v>17</v>
      </c>
      <c r="L10" s="9">
        <v>100</v>
      </c>
      <c r="M10" s="9">
        <v>0</v>
      </c>
      <c r="N10" s="9">
        <v>0</v>
      </c>
      <c r="O10" s="9">
        <v>0</v>
      </c>
      <c r="P10" s="9" t="s">
        <v>2</v>
      </c>
      <c r="Q10" s="131"/>
      <c r="R10" s="13"/>
      <c r="S10" s="35" t="s">
        <v>23</v>
      </c>
      <c r="T10" s="4"/>
      <c r="U10" s="16" t="s">
        <v>21</v>
      </c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 spans="1:41" x14ac:dyDescent="0.25">
      <c r="A11" s="37" t="s">
        <v>24</v>
      </c>
      <c r="B11" s="38"/>
      <c r="C11" s="60">
        <f>SUMIFS(J19:J36,I19:I36,A11)</f>
        <v>0.45138888888888867</v>
      </c>
      <c r="D11" s="71"/>
      <c r="E11" s="135"/>
      <c r="F11" s="9">
        <v>3</v>
      </c>
      <c r="G11" s="10">
        <f t="shared" si="0"/>
        <v>44964</v>
      </c>
      <c r="H11" s="25">
        <v>0.60416666666666663</v>
      </c>
      <c r="I11" s="26" t="s">
        <v>14</v>
      </c>
      <c r="J11" s="48">
        <f t="shared" si="1"/>
        <v>6.25E-2</v>
      </c>
      <c r="K11" s="9" t="s">
        <v>16</v>
      </c>
      <c r="L11" s="9">
        <v>0</v>
      </c>
      <c r="M11" s="9">
        <v>0</v>
      </c>
      <c r="N11" s="9">
        <v>0</v>
      </c>
      <c r="O11" s="9">
        <v>0</v>
      </c>
      <c r="P11" s="9" t="s">
        <v>2</v>
      </c>
      <c r="Q11" s="131"/>
      <c r="R11" s="13"/>
      <c r="S11" s="37" t="s">
        <v>24</v>
      </c>
      <c r="T11" s="38"/>
      <c r="U11" s="39">
        <f>SUMIFS(J9:J18,I9:I18,S11)</f>
        <v>0.30555555555555547</v>
      </c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 spans="1:41" x14ac:dyDescent="0.25">
      <c r="A12" s="37" t="s">
        <v>15</v>
      </c>
      <c r="B12" s="38"/>
      <c r="C12" s="60">
        <f>SUMIFS(J19:J36,I19:I36,A12)</f>
        <v>0.10069444444444453</v>
      </c>
      <c r="D12" s="71"/>
      <c r="E12" s="135"/>
      <c r="F12" s="9">
        <v>4</v>
      </c>
      <c r="G12" s="10">
        <f t="shared" si="0"/>
        <v>44964</v>
      </c>
      <c r="H12" s="25">
        <v>0.66666666666666663</v>
      </c>
      <c r="I12" s="26" t="s">
        <v>13</v>
      </c>
      <c r="J12" s="48">
        <f t="shared" si="1"/>
        <v>8.333333333333337E-2</v>
      </c>
      <c r="K12" s="9" t="s">
        <v>18</v>
      </c>
      <c r="L12" s="9">
        <v>300</v>
      </c>
      <c r="M12" s="9">
        <v>0</v>
      </c>
      <c r="N12" s="9">
        <v>0</v>
      </c>
      <c r="O12" s="9">
        <v>0</v>
      </c>
      <c r="P12" s="9" t="s">
        <v>2</v>
      </c>
      <c r="Q12" s="131"/>
      <c r="R12" s="13"/>
      <c r="S12" s="37" t="s">
        <v>15</v>
      </c>
      <c r="T12" s="38"/>
      <c r="U12" s="39">
        <f>SUMIFS(J9:J18,I9:I18,S12)</f>
        <v>6.9444444444444642E-2</v>
      </c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 spans="1:41" x14ac:dyDescent="0.25">
      <c r="A13" s="37" t="s">
        <v>14</v>
      </c>
      <c r="B13" s="38"/>
      <c r="C13" s="60">
        <f>SUMIFS(J19:J36,I19:I36,A13)</f>
        <v>0.34027777777777779</v>
      </c>
      <c r="D13" s="71"/>
      <c r="E13" s="135"/>
      <c r="F13" s="9">
        <v>5</v>
      </c>
      <c r="G13" s="10">
        <f t="shared" si="0"/>
        <v>44964</v>
      </c>
      <c r="H13" s="25">
        <v>0.75</v>
      </c>
      <c r="I13" s="26" t="s">
        <v>15</v>
      </c>
      <c r="J13" s="48">
        <f t="shared" si="1"/>
        <v>2.083333333333337E-2</v>
      </c>
      <c r="K13" s="9" t="s">
        <v>18</v>
      </c>
      <c r="L13" s="9">
        <v>400</v>
      </c>
      <c r="M13" s="9">
        <v>0</v>
      </c>
      <c r="N13" s="9">
        <v>0</v>
      </c>
      <c r="O13" s="9">
        <v>0</v>
      </c>
      <c r="P13" s="9" t="s">
        <v>2</v>
      </c>
      <c r="Q13" s="131"/>
      <c r="R13" s="13"/>
      <c r="S13" s="37" t="s">
        <v>14</v>
      </c>
      <c r="T13" s="38"/>
      <c r="U13" s="39">
        <f>SUMIFS(J9:J18,I9:I18,S13)</f>
        <v>6.25E-2</v>
      </c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 spans="1:41" ht="18.75" x14ac:dyDescent="0.25">
      <c r="A14" s="37" t="s">
        <v>22</v>
      </c>
      <c r="B14" s="38"/>
      <c r="C14" s="60">
        <f>SUMIFS(J19:J36,I19:I36,A14)</f>
        <v>6.597222222222221E-2</v>
      </c>
      <c r="D14" s="71"/>
      <c r="E14" s="135"/>
      <c r="F14" s="9">
        <v>6</v>
      </c>
      <c r="G14" s="10">
        <f t="shared" si="0"/>
        <v>44964</v>
      </c>
      <c r="H14" s="25">
        <v>0.77083333333333337</v>
      </c>
      <c r="I14" s="26" t="s">
        <v>13</v>
      </c>
      <c r="J14" s="48">
        <f t="shared" si="1"/>
        <v>0.10416666666666663</v>
      </c>
      <c r="K14" s="9" t="s">
        <v>17</v>
      </c>
      <c r="L14" s="9">
        <v>200</v>
      </c>
      <c r="M14" s="9">
        <v>0</v>
      </c>
      <c r="N14" s="9">
        <v>0</v>
      </c>
      <c r="O14" s="9">
        <v>0</v>
      </c>
      <c r="P14" s="9" t="s">
        <v>2</v>
      </c>
      <c r="Q14" s="131"/>
      <c r="R14" s="13"/>
      <c r="S14" s="37" t="s">
        <v>22</v>
      </c>
      <c r="T14" s="38"/>
      <c r="U14" s="39">
        <f>SUMIFS(J9:J18,I9:I18,S14)</f>
        <v>0</v>
      </c>
      <c r="V14" s="64"/>
      <c r="W14" s="64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r="15" spans="1:41" x14ac:dyDescent="0.25">
      <c r="A15" s="37" t="s">
        <v>27</v>
      </c>
      <c r="B15" s="38"/>
      <c r="C15" s="60">
        <f>SUMIFS(J19:J36,I19:I36,A15)</f>
        <v>4.1666666666666741E-2</v>
      </c>
      <c r="D15" s="66"/>
      <c r="E15" s="135"/>
      <c r="F15" s="9">
        <v>7</v>
      </c>
      <c r="G15" s="10">
        <f t="shared" si="0"/>
        <v>44964</v>
      </c>
      <c r="H15" s="25">
        <v>0.875</v>
      </c>
      <c r="I15" s="26" t="s">
        <v>15</v>
      </c>
      <c r="J15" s="48">
        <f t="shared" si="1"/>
        <v>2.083333333333337E-2</v>
      </c>
      <c r="K15" s="9" t="s">
        <v>18</v>
      </c>
      <c r="L15" s="9">
        <v>200</v>
      </c>
      <c r="M15" s="9">
        <v>0</v>
      </c>
      <c r="N15" s="9">
        <v>0</v>
      </c>
      <c r="O15" s="9">
        <v>0</v>
      </c>
      <c r="P15" s="9" t="s">
        <v>2</v>
      </c>
      <c r="Q15" s="131"/>
      <c r="R15" s="13"/>
      <c r="S15" s="37" t="s">
        <v>27</v>
      </c>
      <c r="T15" s="38"/>
      <c r="U15" s="39">
        <f>SUMIFS(J9:J18,I9:I18,S15)</f>
        <v>4.1666666666666519E-2</v>
      </c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 spans="1:41" x14ac:dyDescent="0.25">
      <c r="A16" s="6" t="s">
        <v>6</v>
      </c>
      <c r="B16" s="40"/>
      <c r="C16" s="16" t="s">
        <v>21</v>
      </c>
      <c r="D16" s="67"/>
      <c r="E16" s="135"/>
      <c r="F16" s="9">
        <v>8</v>
      </c>
      <c r="G16" s="10">
        <f t="shared" si="0"/>
        <v>44964</v>
      </c>
      <c r="H16" s="25">
        <v>0.89583333333333337</v>
      </c>
      <c r="I16" s="26" t="s">
        <v>27</v>
      </c>
      <c r="J16" s="48">
        <f t="shared" si="1"/>
        <v>2.0833333333333259E-2</v>
      </c>
      <c r="K16" s="9" t="s">
        <v>19</v>
      </c>
      <c r="L16" s="9">
        <v>100</v>
      </c>
      <c r="M16" s="9">
        <v>0</v>
      </c>
      <c r="N16" s="9">
        <v>0</v>
      </c>
      <c r="O16" s="9">
        <v>0</v>
      </c>
      <c r="P16" s="9" t="s">
        <v>2</v>
      </c>
      <c r="Q16" s="131"/>
      <c r="R16" s="13"/>
      <c r="S16" s="6" t="s">
        <v>6</v>
      </c>
      <c r="T16" s="40"/>
      <c r="U16" s="16" t="s">
        <v>21</v>
      </c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 spans="1:36" x14ac:dyDescent="0.25">
      <c r="A17" s="37" t="s">
        <v>16</v>
      </c>
      <c r="B17" s="38"/>
      <c r="C17" s="60">
        <f>SUMIFS(J19:J36,K19:K36,A17)</f>
        <v>0.31944444444444431</v>
      </c>
      <c r="D17" s="67"/>
      <c r="E17" s="135"/>
      <c r="F17" s="9">
        <v>9</v>
      </c>
      <c r="G17" s="10">
        <f t="shared" si="0"/>
        <v>44964</v>
      </c>
      <c r="H17" s="25">
        <v>0.91666666666666663</v>
      </c>
      <c r="I17" s="26" t="s">
        <v>15</v>
      </c>
      <c r="J17" s="48">
        <f t="shared" si="1"/>
        <v>2.7777777777777901E-2</v>
      </c>
      <c r="K17" s="9" t="s">
        <v>19</v>
      </c>
      <c r="L17" s="9">
        <v>0</v>
      </c>
      <c r="M17" s="9">
        <v>0</v>
      </c>
      <c r="N17" s="9">
        <v>0</v>
      </c>
      <c r="O17" s="9">
        <v>0</v>
      </c>
      <c r="P17" s="9" t="s">
        <v>2</v>
      </c>
      <c r="Q17" s="131"/>
      <c r="R17" s="13"/>
      <c r="S17" s="37" t="s">
        <v>16</v>
      </c>
      <c r="T17" s="38"/>
      <c r="U17" s="39">
        <f>SUMIFS(J9:J18,K9:K18,S17)</f>
        <v>0.18055555555555547</v>
      </c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 spans="1:36" x14ac:dyDescent="0.25">
      <c r="A18" s="37" t="s">
        <v>17</v>
      </c>
      <c r="B18" s="38"/>
      <c r="C18" s="60">
        <f>SUMIFS(J19:J36,K19:K36,A18)</f>
        <v>9.7222222222222265E-2</v>
      </c>
      <c r="D18" s="67"/>
      <c r="E18" s="135"/>
      <c r="F18" s="9">
        <v>10</v>
      </c>
      <c r="G18" s="10">
        <f t="shared" si="0"/>
        <v>44964</v>
      </c>
      <c r="H18" s="25">
        <v>0.94444444444444453</v>
      </c>
      <c r="I18" s="26" t="s">
        <v>13</v>
      </c>
      <c r="J18" s="48">
        <f t="shared" si="1"/>
        <v>7.6388888888888729E-2</v>
      </c>
      <c r="K18" s="9" t="s">
        <v>16</v>
      </c>
      <c r="L18" s="9">
        <v>500</v>
      </c>
      <c r="M18" s="9">
        <v>0</v>
      </c>
      <c r="N18" s="9">
        <v>0</v>
      </c>
      <c r="O18" s="9">
        <v>0</v>
      </c>
      <c r="P18" s="9" t="s">
        <v>2</v>
      </c>
      <c r="Q18" s="131"/>
      <c r="R18" s="13"/>
      <c r="S18" s="37" t="s">
        <v>17</v>
      </c>
      <c r="T18" s="38"/>
      <c r="U18" s="39">
        <f>SUMIFS(J9:J18,K9:K18,S18)</f>
        <v>0.12499999999999989</v>
      </c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 spans="1:36" ht="15" customHeight="1" x14ac:dyDescent="0.25">
      <c r="A19" s="37" t="s">
        <v>18</v>
      </c>
      <c r="B19" s="38"/>
      <c r="C19" s="60">
        <f>SUMIFS(J19:J36,K19:K36,A19)</f>
        <v>9.375E-2</v>
      </c>
      <c r="D19" s="67"/>
      <c r="E19" s="136">
        <v>44965</v>
      </c>
      <c r="F19" s="7">
        <v>11</v>
      </c>
      <c r="G19" s="8">
        <f>DATE(2023,2,8)</f>
        <v>44965</v>
      </c>
      <c r="H19" s="29">
        <v>2.0833333333333332E-2</v>
      </c>
      <c r="I19" s="30" t="s">
        <v>14</v>
      </c>
      <c r="J19" s="50">
        <f t="shared" si="1"/>
        <v>0.27777777777777779</v>
      </c>
      <c r="K19" s="7" t="s">
        <v>20</v>
      </c>
      <c r="L19" s="7">
        <v>0</v>
      </c>
      <c r="M19" s="7">
        <v>0</v>
      </c>
      <c r="N19" s="7">
        <v>0</v>
      </c>
      <c r="O19" s="7">
        <v>0</v>
      </c>
      <c r="P19" s="7" t="s">
        <v>2</v>
      </c>
      <c r="Q19" s="132"/>
      <c r="R19" s="13"/>
      <c r="S19" s="37" t="s">
        <v>18</v>
      </c>
      <c r="T19" s="38"/>
      <c r="U19" s="39">
        <f>SUMIFS(J9:J18,K9:K18,S19)</f>
        <v>0.12500000000000011</v>
      </c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r="20" spans="1:36" ht="15" customHeight="1" x14ac:dyDescent="0.25">
      <c r="A20" s="37" t="s">
        <v>19</v>
      </c>
      <c r="B20" s="38"/>
      <c r="C20" s="60">
        <f>SUMIFS(J19:J36,K19:K36,A20)</f>
        <v>0.14930555555555558</v>
      </c>
      <c r="D20" s="68"/>
      <c r="E20" s="136"/>
      <c r="F20" s="7">
        <v>12</v>
      </c>
      <c r="G20" s="8">
        <f>DATE(2023,2,8)</f>
        <v>44965</v>
      </c>
      <c r="H20" s="29">
        <v>0.2986111111111111</v>
      </c>
      <c r="I20" s="30" t="s">
        <v>4</v>
      </c>
      <c r="J20" s="50">
        <f t="shared" si="1"/>
        <v>2.430555555555558E-2</v>
      </c>
      <c r="K20" s="7" t="s">
        <v>19</v>
      </c>
      <c r="L20" s="7">
        <v>500</v>
      </c>
      <c r="M20" s="7">
        <v>0</v>
      </c>
      <c r="N20" s="7">
        <v>0</v>
      </c>
      <c r="O20" s="7">
        <v>0</v>
      </c>
      <c r="P20" s="7" t="s">
        <v>2</v>
      </c>
      <c r="Q20" s="132"/>
      <c r="R20" s="13"/>
      <c r="S20" s="37" t="s">
        <v>19</v>
      </c>
      <c r="T20" s="38"/>
      <c r="U20" s="39">
        <f>SUMIFS(J9:J18,K9:K18,S20)</f>
        <v>4.861111111111116E-2</v>
      </c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</row>
    <row r="21" spans="1:36" ht="15.75" customHeight="1" x14ac:dyDescent="0.25">
      <c r="A21" s="41" t="s">
        <v>28</v>
      </c>
      <c r="B21" s="41"/>
      <c r="C21" s="16" t="s">
        <v>26</v>
      </c>
      <c r="D21" s="72"/>
      <c r="E21" s="136"/>
      <c r="F21" s="7">
        <v>13</v>
      </c>
      <c r="G21" s="8">
        <f t="shared" ref="G21:G36" si="2">DATE(2023,2,8)</f>
        <v>44965</v>
      </c>
      <c r="H21" s="29">
        <v>0.32291666666666669</v>
      </c>
      <c r="I21" s="30" t="s">
        <v>13</v>
      </c>
      <c r="J21" s="50">
        <f t="shared" si="1"/>
        <v>7.291666666666663E-2</v>
      </c>
      <c r="K21" s="7" t="s">
        <v>19</v>
      </c>
      <c r="L21" s="7">
        <v>200</v>
      </c>
      <c r="M21" s="7">
        <v>0</v>
      </c>
      <c r="N21" s="7">
        <v>0</v>
      </c>
      <c r="O21" s="7">
        <v>0</v>
      </c>
      <c r="P21" s="7" t="s">
        <v>2</v>
      </c>
      <c r="Q21" s="132"/>
      <c r="R21" s="13"/>
      <c r="S21" s="41" t="s">
        <v>29</v>
      </c>
      <c r="T21" s="41"/>
      <c r="U21" s="16" t="s">
        <v>26</v>
      </c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</row>
    <row r="22" spans="1:36" ht="24.75" customHeight="1" x14ac:dyDescent="0.25">
      <c r="A22" s="37" t="s">
        <v>30</v>
      </c>
      <c r="B22" s="38"/>
      <c r="C22" s="17">
        <f>SUM(L19:L26,L27:L36)</f>
        <v>3900</v>
      </c>
      <c r="E22" s="136"/>
      <c r="F22" s="7">
        <v>14</v>
      </c>
      <c r="G22" s="8">
        <f t="shared" si="2"/>
        <v>44965</v>
      </c>
      <c r="H22" s="29">
        <v>0.39583333333333331</v>
      </c>
      <c r="I22" s="30" t="s">
        <v>27</v>
      </c>
      <c r="J22" s="50">
        <f t="shared" si="1"/>
        <v>2.083333333333337E-2</v>
      </c>
      <c r="K22" s="7" t="s">
        <v>19</v>
      </c>
      <c r="L22" s="7">
        <v>100</v>
      </c>
      <c r="M22" s="7">
        <v>0</v>
      </c>
      <c r="N22" s="7">
        <v>0</v>
      </c>
      <c r="O22" s="7">
        <v>0</v>
      </c>
      <c r="P22" s="7" t="s">
        <v>2</v>
      </c>
      <c r="Q22" s="132"/>
      <c r="R22" s="13"/>
      <c r="S22" s="37" t="s">
        <v>30</v>
      </c>
      <c r="T22" s="38" t="s">
        <v>25</v>
      </c>
      <c r="U22" s="18">
        <f>SUM(L9:L17,L18)</f>
        <v>1800.2</v>
      </c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</row>
    <row r="23" spans="1:36" ht="12.75" customHeight="1" x14ac:dyDescent="0.25">
      <c r="D23" s="73"/>
      <c r="E23" s="136"/>
      <c r="F23" s="7">
        <v>15</v>
      </c>
      <c r="G23" s="8">
        <f t="shared" si="2"/>
        <v>44965</v>
      </c>
      <c r="H23" s="29">
        <v>0.41666666666666669</v>
      </c>
      <c r="I23" s="30" t="s">
        <v>13</v>
      </c>
      <c r="J23" s="50">
        <f t="shared" si="1"/>
        <v>2.7777777777777735E-2</v>
      </c>
      <c r="K23" s="7" t="s">
        <v>17</v>
      </c>
      <c r="L23" s="7">
        <v>0</v>
      </c>
      <c r="M23" s="7">
        <v>0</v>
      </c>
      <c r="N23" s="7">
        <v>0</v>
      </c>
      <c r="O23" s="7">
        <v>0</v>
      </c>
      <c r="P23" s="7" t="s">
        <v>2</v>
      </c>
      <c r="Q23" s="132"/>
      <c r="R23" s="13"/>
      <c r="S23" s="13"/>
      <c r="T23" s="13"/>
      <c r="U23" s="13"/>
      <c r="V23" s="13"/>
      <c r="W23" s="13"/>
      <c r="X23" s="13"/>
      <c r="Y23" s="13"/>
      <c r="Z23" s="13"/>
      <c r="AA23" s="13"/>
      <c r="AC23" s="13"/>
      <c r="AD23" s="13"/>
      <c r="AE23" s="13"/>
      <c r="AF23" s="13"/>
      <c r="AG23" s="13"/>
      <c r="AH23" s="13"/>
      <c r="AI23" s="13"/>
      <c r="AJ23" s="13"/>
    </row>
    <row r="24" spans="1:36" ht="15.75" customHeight="1" thickBot="1" x14ac:dyDescent="0.3">
      <c r="A24" s="138">
        <v>44966</v>
      </c>
      <c r="B24" s="138"/>
      <c r="C24" s="138"/>
      <c r="D24" s="75"/>
      <c r="E24" s="136"/>
      <c r="F24" s="7">
        <v>16</v>
      </c>
      <c r="G24" s="8">
        <f t="shared" si="2"/>
        <v>44965</v>
      </c>
      <c r="H24" s="29">
        <v>0.44444444444444442</v>
      </c>
      <c r="I24" s="30" t="s">
        <v>13</v>
      </c>
      <c r="J24" s="50">
        <f t="shared" si="1"/>
        <v>9.722222222222221E-2</v>
      </c>
      <c r="K24" s="7" t="s">
        <v>16</v>
      </c>
      <c r="L24" s="7">
        <v>300</v>
      </c>
      <c r="M24" s="7">
        <v>0</v>
      </c>
      <c r="N24" s="7">
        <v>0</v>
      </c>
      <c r="O24" s="7">
        <v>0</v>
      </c>
      <c r="P24" s="7" t="s">
        <v>2</v>
      </c>
      <c r="Q24" s="132"/>
      <c r="R24" s="13"/>
      <c r="S24" s="138">
        <v>44967</v>
      </c>
      <c r="T24" s="138"/>
      <c r="U24" s="138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 x14ac:dyDescent="0.25">
      <c r="A25" s="42"/>
      <c r="B25" s="43"/>
      <c r="C25" s="43"/>
      <c r="D25" s="66"/>
      <c r="E25" s="136"/>
      <c r="F25" s="7">
        <v>17</v>
      </c>
      <c r="G25" s="8">
        <f t="shared" si="2"/>
        <v>44965</v>
      </c>
      <c r="H25" s="29">
        <v>0.54166666666666663</v>
      </c>
      <c r="I25" s="30" t="s">
        <v>15</v>
      </c>
      <c r="J25" s="50">
        <f t="shared" si="1"/>
        <v>2.083333333333337E-2</v>
      </c>
      <c r="K25" s="7" t="s">
        <v>18</v>
      </c>
      <c r="L25" s="7">
        <v>300</v>
      </c>
      <c r="M25" s="7">
        <v>0</v>
      </c>
      <c r="N25" s="7">
        <v>0</v>
      </c>
      <c r="O25" s="7">
        <v>0</v>
      </c>
      <c r="P25" s="7" t="s">
        <v>2</v>
      </c>
      <c r="Q25" s="132"/>
      <c r="R25" s="13"/>
      <c r="S25" s="42"/>
      <c r="T25" s="43"/>
      <c r="U25" s="4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 spans="1:36" x14ac:dyDescent="0.25">
      <c r="A26" s="44" t="s">
        <v>23</v>
      </c>
      <c r="B26" s="6"/>
      <c r="C26" s="16" t="s">
        <v>21</v>
      </c>
      <c r="D26" s="67"/>
      <c r="E26" s="136"/>
      <c r="F26" s="7">
        <v>18</v>
      </c>
      <c r="G26" s="8">
        <f t="shared" si="2"/>
        <v>44965</v>
      </c>
      <c r="H26" s="29">
        <v>0.5625</v>
      </c>
      <c r="I26" s="30" t="s">
        <v>27</v>
      </c>
      <c r="J26" s="50">
        <f t="shared" si="1"/>
        <v>2.083333333333337E-2</v>
      </c>
      <c r="K26" s="7" t="s">
        <v>17</v>
      </c>
      <c r="L26" s="7">
        <v>100</v>
      </c>
      <c r="M26" s="7">
        <v>0</v>
      </c>
      <c r="N26" s="7">
        <v>0</v>
      </c>
      <c r="O26" s="7">
        <v>0</v>
      </c>
      <c r="P26" s="7" t="s">
        <v>2</v>
      </c>
      <c r="Q26" s="132"/>
      <c r="R26" s="13"/>
      <c r="S26" s="36" t="s">
        <v>23</v>
      </c>
      <c r="T26" s="14"/>
      <c r="U26" s="16" t="s">
        <v>21</v>
      </c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</row>
    <row r="27" spans="1:36" x14ac:dyDescent="0.25">
      <c r="A27" s="37" t="s">
        <v>24</v>
      </c>
      <c r="B27" s="45"/>
      <c r="C27" s="60">
        <f>SUMIFS(J37:J54,I37:I54,A27)</f>
        <v>0.44791666666666657</v>
      </c>
      <c r="D27" s="67"/>
      <c r="E27" s="136"/>
      <c r="F27" s="7">
        <v>19</v>
      </c>
      <c r="G27" s="8">
        <f t="shared" si="2"/>
        <v>44965</v>
      </c>
      <c r="H27" s="29">
        <v>0.58333333333333337</v>
      </c>
      <c r="I27" s="30" t="s">
        <v>15</v>
      </c>
      <c r="J27" s="50">
        <f t="shared" si="1"/>
        <v>2.0833333333333259E-2</v>
      </c>
      <c r="K27" s="7" t="s">
        <v>17</v>
      </c>
      <c r="L27" s="7">
        <v>200</v>
      </c>
      <c r="M27" s="7">
        <v>0</v>
      </c>
      <c r="N27" s="7">
        <v>0</v>
      </c>
      <c r="O27" s="7">
        <v>0</v>
      </c>
      <c r="P27" s="7" t="s">
        <v>2</v>
      </c>
      <c r="Q27" s="132"/>
      <c r="R27" s="13"/>
      <c r="S27" s="37" t="s">
        <v>24</v>
      </c>
      <c r="T27" s="45"/>
      <c r="U27" s="60">
        <f>SUMIFS(J55:J72,I55:I72,S27)</f>
        <v>0.46180555555555541</v>
      </c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x14ac:dyDescent="0.25">
      <c r="A28" s="37" t="s">
        <v>15</v>
      </c>
      <c r="B28" s="45"/>
      <c r="C28" s="60">
        <f>SUMIFS(J37:J54,I37:I54,A28)</f>
        <v>7.9861111111111271E-2</v>
      </c>
      <c r="D28" s="67"/>
      <c r="E28" s="136"/>
      <c r="F28" s="49">
        <v>20</v>
      </c>
      <c r="G28" s="8">
        <f t="shared" si="2"/>
        <v>44965</v>
      </c>
      <c r="H28" s="29">
        <v>0.60416666666666663</v>
      </c>
      <c r="I28" s="30" t="s">
        <v>14</v>
      </c>
      <c r="J28" s="50">
        <f t="shared" si="1"/>
        <v>6.25E-2</v>
      </c>
      <c r="K28" s="7" t="s">
        <v>20</v>
      </c>
      <c r="L28" s="7">
        <v>0</v>
      </c>
      <c r="M28" s="7">
        <v>0</v>
      </c>
      <c r="N28" s="7">
        <v>0</v>
      </c>
      <c r="O28" s="7">
        <v>0</v>
      </c>
      <c r="P28" s="7" t="s">
        <v>2</v>
      </c>
      <c r="Q28" s="132"/>
      <c r="R28" s="13"/>
      <c r="S28" s="37" t="s">
        <v>15</v>
      </c>
      <c r="T28" s="45"/>
      <c r="U28" s="60">
        <f>SUMIFS(J55:J72,I55:I72,S28)</f>
        <v>5.9027777777777901E-2</v>
      </c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x14ac:dyDescent="0.25">
      <c r="A29" s="37" t="s">
        <v>14</v>
      </c>
      <c r="B29" s="45"/>
      <c r="C29" s="60">
        <f>SUMIFS(J37:J54,I37:I54,A29)</f>
        <v>0.32638888888888895</v>
      </c>
      <c r="D29" s="67"/>
      <c r="E29" s="136"/>
      <c r="F29" s="7">
        <v>21</v>
      </c>
      <c r="G29" s="8">
        <f t="shared" si="2"/>
        <v>44965</v>
      </c>
      <c r="H29" s="29">
        <v>0.66666666666666663</v>
      </c>
      <c r="I29" s="30" t="s">
        <v>13</v>
      </c>
      <c r="J29" s="50">
        <f t="shared" si="1"/>
        <v>8.333333333333337E-2</v>
      </c>
      <c r="K29" s="7" t="s">
        <v>16</v>
      </c>
      <c r="L29" s="7">
        <v>300</v>
      </c>
      <c r="M29" s="7">
        <v>0</v>
      </c>
      <c r="N29" s="7">
        <v>0</v>
      </c>
      <c r="O29" s="7">
        <v>0</v>
      </c>
      <c r="P29" s="7" t="s">
        <v>2</v>
      </c>
      <c r="Q29" s="132"/>
      <c r="R29" s="13"/>
      <c r="S29" s="37" t="s">
        <v>14</v>
      </c>
      <c r="T29" s="45"/>
      <c r="U29" s="60">
        <f>SUMIFS(J55:J72,I55:I72,S29)</f>
        <v>0.32638888888888895</v>
      </c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r="30" spans="1:36" x14ac:dyDescent="0.25">
      <c r="A30" s="37" t="s">
        <v>22</v>
      </c>
      <c r="B30" s="45"/>
      <c r="C30" s="60">
        <f>SUMIFS(J37:J54,I37:I54,A30)</f>
        <v>5.9027777777777679E-2</v>
      </c>
      <c r="D30" s="67"/>
      <c r="E30" s="136"/>
      <c r="F30" s="7">
        <v>22</v>
      </c>
      <c r="G30" s="8">
        <f t="shared" si="2"/>
        <v>44965</v>
      </c>
      <c r="H30" s="29">
        <v>0.75</v>
      </c>
      <c r="I30" s="30" t="s">
        <v>4</v>
      </c>
      <c r="J30" s="50">
        <f t="shared" si="1"/>
        <v>4.166666666666663E-2</v>
      </c>
      <c r="K30" s="7" t="s">
        <v>18</v>
      </c>
      <c r="L30" s="7">
        <v>100</v>
      </c>
      <c r="M30" s="7">
        <v>0</v>
      </c>
      <c r="N30" s="7">
        <v>0</v>
      </c>
      <c r="O30" s="7">
        <v>0</v>
      </c>
      <c r="P30" s="7" t="s">
        <v>2</v>
      </c>
      <c r="Q30" s="132"/>
      <c r="R30" s="13"/>
      <c r="S30" s="37" t="s">
        <v>22</v>
      </c>
      <c r="T30" s="45"/>
      <c r="U30" s="60">
        <f>SUMIFS(J55:J71,I55:I71,S30)</f>
        <v>6.597222222222221E-2</v>
      </c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</row>
    <row r="31" spans="1:36" x14ac:dyDescent="0.25">
      <c r="A31" s="37" t="s">
        <v>27</v>
      </c>
      <c r="B31" s="45"/>
      <c r="C31" s="60">
        <f>SUMIFS(J37:J54,I37:I54,A31)</f>
        <v>6.597222222222221E-2</v>
      </c>
      <c r="D31" s="66"/>
      <c r="E31" s="136"/>
      <c r="F31" s="7">
        <v>23</v>
      </c>
      <c r="G31" s="8">
        <f t="shared" si="2"/>
        <v>44965</v>
      </c>
      <c r="H31" s="29">
        <v>0.79166666666666663</v>
      </c>
      <c r="I31" s="30" t="s">
        <v>13</v>
      </c>
      <c r="J31" s="50">
        <f t="shared" si="1"/>
        <v>3.125E-2</v>
      </c>
      <c r="K31" s="7" t="s">
        <v>19</v>
      </c>
      <c r="L31" s="7">
        <v>200</v>
      </c>
      <c r="M31" s="7">
        <v>0</v>
      </c>
      <c r="N31" s="7">
        <v>0</v>
      </c>
      <c r="O31" s="7">
        <v>0</v>
      </c>
      <c r="P31" s="7" t="s">
        <v>2</v>
      </c>
      <c r="Q31" s="132"/>
      <c r="R31" s="13"/>
      <c r="S31" s="37" t="s">
        <v>27</v>
      </c>
      <c r="T31" s="45"/>
      <c r="U31" s="60">
        <f>SUMIFS(J55:J72,I55:I72,S31)</f>
        <v>6.597222222222221E-2</v>
      </c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</row>
    <row r="32" spans="1:36" x14ac:dyDescent="0.25">
      <c r="A32" s="6" t="s">
        <v>6</v>
      </c>
      <c r="B32" s="40"/>
      <c r="C32" s="16" t="s">
        <v>21</v>
      </c>
      <c r="D32" s="67"/>
      <c r="E32" s="136"/>
      <c r="F32" s="7">
        <v>24</v>
      </c>
      <c r="G32" s="8">
        <f t="shared" si="2"/>
        <v>44965</v>
      </c>
      <c r="H32" s="29">
        <v>0.82291666666666663</v>
      </c>
      <c r="I32" s="30" t="s">
        <v>13</v>
      </c>
      <c r="J32" s="50">
        <f t="shared" si="1"/>
        <v>5.208333333333337E-2</v>
      </c>
      <c r="K32" s="7" t="s">
        <v>16</v>
      </c>
      <c r="L32" s="7">
        <v>400</v>
      </c>
      <c r="M32" s="7">
        <v>0</v>
      </c>
      <c r="N32" s="7">
        <v>0</v>
      </c>
      <c r="O32" s="7">
        <v>0</v>
      </c>
      <c r="P32" s="7" t="s">
        <v>2</v>
      </c>
      <c r="Q32" s="132"/>
      <c r="R32" s="13"/>
      <c r="S32" s="6" t="s">
        <v>6</v>
      </c>
      <c r="T32" s="40"/>
      <c r="U32" s="16" t="s">
        <v>21</v>
      </c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1:36" x14ac:dyDescent="0.25">
      <c r="A33" s="37" t="s">
        <v>16</v>
      </c>
      <c r="B33" s="38"/>
      <c r="C33" s="46">
        <f>SUMIFS(J37:J54,K37:K54,A33)</f>
        <v>0.39236111111111105</v>
      </c>
      <c r="D33" s="67"/>
      <c r="E33" s="136"/>
      <c r="F33" s="7">
        <v>25</v>
      </c>
      <c r="G33" s="8">
        <f t="shared" si="2"/>
        <v>44965</v>
      </c>
      <c r="H33" s="29">
        <v>0.875</v>
      </c>
      <c r="I33" s="30" t="s">
        <v>15</v>
      </c>
      <c r="J33" s="50">
        <f t="shared" si="1"/>
        <v>3.125E-2</v>
      </c>
      <c r="K33" s="7" t="s">
        <v>18</v>
      </c>
      <c r="L33" s="7">
        <v>100</v>
      </c>
      <c r="M33" s="7">
        <v>0</v>
      </c>
      <c r="N33" s="7">
        <v>0</v>
      </c>
      <c r="O33" s="7">
        <v>0</v>
      </c>
      <c r="P33" s="7" t="s">
        <v>2</v>
      </c>
      <c r="Q33" s="132"/>
      <c r="R33" s="13"/>
      <c r="S33" s="37" t="s">
        <v>16</v>
      </c>
      <c r="T33" s="38"/>
      <c r="U33" s="46">
        <f>SUMIFS(J55:J72,K55:K72,S33)</f>
        <v>0.32291666666666663</v>
      </c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</row>
    <row r="34" spans="1:36" x14ac:dyDescent="0.25">
      <c r="A34" s="37" t="s">
        <v>17</v>
      </c>
      <c r="B34" s="38"/>
      <c r="C34" s="46">
        <f>SUMIFS(J37:J54,K37:K54,A35)</f>
        <v>0.10416666666666674</v>
      </c>
      <c r="D34" s="67"/>
      <c r="E34" s="136"/>
      <c r="F34" s="7">
        <v>26</v>
      </c>
      <c r="G34" s="8">
        <f t="shared" si="2"/>
        <v>44965</v>
      </c>
      <c r="H34" s="29">
        <v>0.90625</v>
      </c>
      <c r="I34" s="30" t="s">
        <v>13</v>
      </c>
      <c r="J34" s="50">
        <f t="shared" si="1"/>
        <v>2.4305555555555469E-2</v>
      </c>
      <c r="K34" s="7" t="s">
        <v>16</v>
      </c>
      <c r="L34" s="7">
        <v>400</v>
      </c>
      <c r="M34" s="7">
        <v>0</v>
      </c>
      <c r="N34" s="7">
        <v>0</v>
      </c>
      <c r="O34" s="7">
        <v>0</v>
      </c>
      <c r="P34" s="7" t="s">
        <v>2</v>
      </c>
      <c r="Q34" s="132"/>
      <c r="R34" s="13"/>
      <c r="S34" s="37" t="s">
        <v>17</v>
      </c>
      <c r="T34" s="38"/>
      <c r="U34" s="46">
        <f>SUMIFS(J55:J72,K55:K72,S34)</f>
        <v>7.6388888888889006E-2</v>
      </c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</row>
    <row r="35" spans="1:36" ht="14.25" customHeight="1" x14ac:dyDescent="0.25">
      <c r="A35" s="37" t="s">
        <v>18</v>
      </c>
      <c r="B35" s="38"/>
      <c r="C35" s="46">
        <f>SUMIFS(J37:J54,K37:K54,A35)</f>
        <v>0.10416666666666674</v>
      </c>
      <c r="D35" s="67"/>
      <c r="E35" s="136"/>
      <c r="F35" s="7">
        <v>27</v>
      </c>
      <c r="G35" s="8">
        <f t="shared" si="2"/>
        <v>44965</v>
      </c>
      <c r="H35" s="29">
        <v>0.93055555555555547</v>
      </c>
      <c r="I35" s="30" t="s">
        <v>15</v>
      </c>
      <c r="J35" s="50">
        <f t="shared" si="1"/>
        <v>2.7777777777777901E-2</v>
      </c>
      <c r="K35" s="7" t="s">
        <v>17</v>
      </c>
      <c r="L35" s="7">
        <v>200</v>
      </c>
      <c r="M35" s="7">
        <v>0</v>
      </c>
      <c r="N35" s="7">
        <v>0</v>
      </c>
      <c r="O35" s="7">
        <v>0</v>
      </c>
      <c r="P35" s="7" t="s">
        <v>2</v>
      </c>
      <c r="Q35" s="132"/>
      <c r="R35" s="13"/>
      <c r="S35" s="37" t="s">
        <v>18</v>
      </c>
      <c r="T35" s="38"/>
      <c r="U35" s="46">
        <f>SUMIFS(J55:J72,K55:K72,S35)</f>
        <v>0.10416666666666674</v>
      </c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r="36" spans="1:36" x14ac:dyDescent="0.25">
      <c r="A36" s="37" t="s">
        <v>19</v>
      </c>
      <c r="B36" s="38"/>
      <c r="C36" s="46">
        <f>SUMIFS(J37:J54,K37:K54,A36)</f>
        <v>7.9861111111110938E-2</v>
      </c>
      <c r="D36" s="68"/>
      <c r="E36" s="136"/>
      <c r="F36" s="7">
        <v>28</v>
      </c>
      <c r="G36" s="8">
        <f t="shared" si="2"/>
        <v>44965</v>
      </c>
      <c r="H36" s="29">
        <v>0.95833333333333337</v>
      </c>
      <c r="I36" s="30" t="s">
        <v>13</v>
      </c>
      <c r="J36" s="50">
        <f t="shared" si="1"/>
        <v>6.2499999999999889E-2</v>
      </c>
      <c r="K36" s="7" t="s">
        <v>16</v>
      </c>
      <c r="L36" s="7">
        <v>500</v>
      </c>
      <c r="M36" s="7">
        <v>0</v>
      </c>
      <c r="N36" s="7">
        <v>0</v>
      </c>
      <c r="O36" s="7">
        <v>0</v>
      </c>
      <c r="P36" s="7" t="s">
        <v>2</v>
      </c>
      <c r="Q36" s="132"/>
      <c r="R36" s="13"/>
      <c r="S36" s="37" t="s">
        <v>19</v>
      </c>
      <c r="T36" s="38"/>
      <c r="U36" s="46">
        <f>SUMIFS(J55:J72,K55:K72,S36)</f>
        <v>0.14930555555555536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</row>
    <row r="37" spans="1:36" ht="15" customHeight="1" x14ac:dyDescent="0.25">
      <c r="A37" s="41" t="s">
        <v>28</v>
      </c>
      <c r="B37" s="41"/>
      <c r="C37" s="16" t="s">
        <v>26</v>
      </c>
      <c r="D37" s="69"/>
      <c r="E37" s="137">
        <v>44966</v>
      </c>
      <c r="F37" s="9">
        <v>29</v>
      </c>
      <c r="G37" s="10">
        <f t="shared" ref="G37:G53" si="3">DATE(2023,2,9)</f>
        <v>44966</v>
      </c>
      <c r="H37" s="25">
        <v>2.0833333333333332E-2</v>
      </c>
      <c r="I37" s="26" t="s">
        <v>14</v>
      </c>
      <c r="J37" s="48">
        <f>IF(I37="X", 0,IF(H38&gt;H37,H38-H37,1+H38-H37))</f>
        <v>0.27777777777777779</v>
      </c>
      <c r="K37" s="9" t="s">
        <v>20</v>
      </c>
      <c r="L37" s="9">
        <v>0</v>
      </c>
      <c r="M37" s="9">
        <v>0</v>
      </c>
      <c r="N37" s="9">
        <v>0</v>
      </c>
      <c r="O37" s="9">
        <v>0</v>
      </c>
      <c r="P37" s="9" t="s">
        <v>2</v>
      </c>
      <c r="Q37" s="77"/>
      <c r="R37" s="13"/>
      <c r="S37" s="41" t="s">
        <v>28</v>
      </c>
      <c r="T37" s="41"/>
      <c r="U37" s="16" t="s">
        <v>26</v>
      </c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</row>
    <row r="38" spans="1:36" ht="15.75" customHeight="1" x14ac:dyDescent="0.25">
      <c r="A38" s="37" t="s">
        <v>30</v>
      </c>
      <c r="B38" s="38"/>
      <c r="C38" s="15">
        <f>SUM(L37:L45,L46:L54)</f>
        <v>4200</v>
      </c>
      <c r="D38" s="13"/>
      <c r="E38" s="137"/>
      <c r="F38" s="9">
        <v>30</v>
      </c>
      <c r="G38" s="10">
        <f t="shared" si="3"/>
        <v>44966</v>
      </c>
      <c r="H38" s="25">
        <v>0.2986111111111111</v>
      </c>
      <c r="I38" s="26" t="s">
        <v>4</v>
      </c>
      <c r="J38" s="48">
        <f t="shared" si="1"/>
        <v>2.430555555555558E-2</v>
      </c>
      <c r="K38" s="9" t="s">
        <v>16</v>
      </c>
      <c r="L38" s="9">
        <v>500</v>
      </c>
      <c r="M38" s="9">
        <v>0</v>
      </c>
      <c r="N38" s="9">
        <v>0</v>
      </c>
      <c r="O38" s="9">
        <v>0</v>
      </c>
      <c r="P38" s="9" t="s">
        <v>2</v>
      </c>
      <c r="Q38" s="77"/>
      <c r="R38" s="13"/>
      <c r="S38" s="37" t="s">
        <v>30</v>
      </c>
      <c r="T38" s="38"/>
      <c r="U38" s="15">
        <f>SUM(L55:L64,L65:L71)</f>
        <v>4150</v>
      </c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</row>
    <row r="39" spans="1:36" ht="15.75" customHeight="1" x14ac:dyDescent="0.25">
      <c r="D39" s="73"/>
      <c r="E39" s="137"/>
      <c r="F39" s="9">
        <v>31</v>
      </c>
      <c r="G39" s="10">
        <f t="shared" si="3"/>
        <v>44966</v>
      </c>
      <c r="H39" s="25">
        <v>0.32291666666666669</v>
      </c>
      <c r="I39" s="26" t="s">
        <v>13</v>
      </c>
      <c r="J39" s="48">
        <f t="shared" si="1"/>
        <v>7.291666666666663E-2</v>
      </c>
      <c r="K39" s="9" t="s">
        <v>16</v>
      </c>
      <c r="L39" s="9">
        <v>200</v>
      </c>
      <c r="M39" s="9">
        <v>0</v>
      </c>
      <c r="N39" s="9">
        <v>0</v>
      </c>
      <c r="O39" s="9">
        <v>0</v>
      </c>
      <c r="P39" s="9" t="s">
        <v>2</v>
      </c>
      <c r="Q39" s="77"/>
      <c r="R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 spans="1:36" ht="15.75" customHeight="1" x14ac:dyDescent="0.25">
      <c r="A40" s="84" t="s">
        <v>34</v>
      </c>
      <c r="B40" s="84"/>
      <c r="C40" s="84"/>
      <c r="D40" s="75"/>
      <c r="E40" s="137"/>
      <c r="F40" s="9">
        <v>32</v>
      </c>
      <c r="G40" s="10">
        <f t="shared" si="3"/>
        <v>44966</v>
      </c>
      <c r="H40" s="25">
        <v>0.39583333333333331</v>
      </c>
      <c r="I40" s="26" t="s">
        <v>27</v>
      </c>
      <c r="J40" s="48">
        <f t="shared" si="1"/>
        <v>2.083333333333337E-2</v>
      </c>
      <c r="K40" s="9" t="s">
        <v>19</v>
      </c>
      <c r="L40" s="9">
        <v>100</v>
      </c>
      <c r="M40" s="9">
        <v>0</v>
      </c>
      <c r="N40" s="9">
        <v>0</v>
      </c>
      <c r="O40" s="9">
        <v>0</v>
      </c>
      <c r="P40" s="9" t="s">
        <v>2</v>
      </c>
      <c r="Q40" s="77"/>
      <c r="R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</row>
    <row r="41" spans="1:36" x14ac:dyDescent="0.25">
      <c r="A41" s="13"/>
      <c r="B41" s="13"/>
      <c r="C41" s="13"/>
      <c r="D41" s="66"/>
      <c r="E41" s="137"/>
      <c r="F41" s="9">
        <v>33</v>
      </c>
      <c r="G41" s="10">
        <f t="shared" si="3"/>
        <v>44966</v>
      </c>
      <c r="H41" s="25">
        <v>0.41666666666666669</v>
      </c>
      <c r="I41" s="26" t="s">
        <v>13</v>
      </c>
      <c r="J41" s="48">
        <f t="shared" si="1"/>
        <v>2.7777777777777735E-2</v>
      </c>
      <c r="K41" s="9" t="s">
        <v>17</v>
      </c>
      <c r="L41" s="9">
        <v>300</v>
      </c>
      <c r="M41" s="9">
        <v>0</v>
      </c>
      <c r="N41" s="9">
        <v>0</v>
      </c>
      <c r="O41" s="9">
        <v>0</v>
      </c>
      <c r="P41" s="9" t="s">
        <v>2</v>
      </c>
      <c r="Q41" s="77"/>
      <c r="R41" s="13"/>
      <c r="S41" s="140" t="s">
        <v>39</v>
      </c>
      <c r="T41" s="140"/>
      <c r="U41" s="140"/>
      <c r="V41" s="140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spans="1:36" x14ac:dyDescent="0.25">
      <c r="A42" s="13"/>
      <c r="B42" s="13"/>
      <c r="C42" s="13"/>
      <c r="D42" s="67"/>
      <c r="E42" s="137"/>
      <c r="F42" s="9">
        <v>34</v>
      </c>
      <c r="G42" s="10">
        <f t="shared" si="3"/>
        <v>44966</v>
      </c>
      <c r="H42" s="25">
        <v>0.44444444444444442</v>
      </c>
      <c r="I42" s="26" t="s">
        <v>13</v>
      </c>
      <c r="J42" s="48">
        <f t="shared" si="1"/>
        <v>9.722222222222221E-2</v>
      </c>
      <c r="K42" s="9" t="s">
        <v>16</v>
      </c>
      <c r="L42" s="9">
        <v>300</v>
      </c>
      <c r="M42" s="9">
        <v>0</v>
      </c>
      <c r="N42" s="9">
        <v>0</v>
      </c>
      <c r="O42" s="9">
        <v>0</v>
      </c>
      <c r="P42" s="9" t="s">
        <v>2</v>
      </c>
      <c r="Q42" s="77"/>
      <c r="R42" s="13"/>
      <c r="S42" s="86" t="s">
        <v>36</v>
      </c>
      <c r="T42" s="91" t="s">
        <v>13</v>
      </c>
      <c r="U42" s="87" t="s">
        <v>15</v>
      </c>
      <c r="V42" s="88" t="s">
        <v>22</v>
      </c>
      <c r="W42" s="13"/>
      <c r="X42" s="115"/>
      <c r="Y42" s="115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spans="1:36" ht="31.5" x14ac:dyDescent="0.5">
      <c r="A43" s="55" t="s">
        <v>31</v>
      </c>
      <c r="B43" s="56"/>
      <c r="C43" s="54" t="s">
        <v>32</v>
      </c>
      <c r="D43" s="67"/>
      <c r="E43" s="137"/>
      <c r="F43" s="9">
        <v>35</v>
      </c>
      <c r="G43" s="10">
        <f t="shared" si="3"/>
        <v>44966</v>
      </c>
      <c r="H43" s="25">
        <v>0.54166666666666663</v>
      </c>
      <c r="I43" s="26" t="s">
        <v>15</v>
      </c>
      <c r="J43" s="48">
        <f t="shared" si="1"/>
        <v>2.083333333333337E-2</v>
      </c>
      <c r="K43" s="9" t="s">
        <v>18</v>
      </c>
      <c r="L43" s="9">
        <v>300</v>
      </c>
      <c r="M43" s="9">
        <v>0</v>
      </c>
      <c r="N43" s="9">
        <v>0</v>
      </c>
      <c r="O43" s="9">
        <v>0</v>
      </c>
      <c r="P43" s="9" t="s">
        <v>2</v>
      </c>
      <c r="Q43" s="77"/>
      <c r="R43" s="13"/>
      <c r="S43" s="89" t="s">
        <v>16</v>
      </c>
      <c r="T43" s="93">
        <f>COUNTIFS(I9:I71,"Study+Computer",K9:K71,"Active")</f>
        <v>16</v>
      </c>
      <c r="U43" s="95">
        <f>COUNTIFS(I9:I71,"Mobile",K9:K71,"Active")</f>
        <v>0</v>
      </c>
      <c r="V43" s="97">
        <f>COUNTIFS(I9:I71,"Phy-act",K9:K71,"Active")</f>
        <v>2</v>
      </c>
      <c r="W43" s="114"/>
      <c r="X43" s="115"/>
      <c r="Y43" s="115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r="44" spans="1:36" ht="18.75" x14ac:dyDescent="0.25">
      <c r="A44" s="37" t="s">
        <v>24</v>
      </c>
      <c r="B44" s="52"/>
      <c r="C44" s="57">
        <f>SUM(U11,C11,C27,U27)</f>
        <v>1.6666666666666661</v>
      </c>
      <c r="D44" s="67"/>
      <c r="E44" s="137"/>
      <c r="F44" s="9">
        <v>36</v>
      </c>
      <c r="G44" s="10">
        <f t="shared" si="3"/>
        <v>44966</v>
      </c>
      <c r="H44" s="25">
        <v>0.5625</v>
      </c>
      <c r="I44" s="26" t="s">
        <v>27</v>
      </c>
      <c r="J44" s="48">
        <f t="shared" si="1"/>
        <v>2.083333333333337E-2</v>
      </c>
      <c r="K44" s="9" t="s">
        <v>17</v>
      </c>
      <c r="L44" s="9">
        <v>100</v>
      </c>
      <c r="M44" s="9">
        <v>0</v>
      </c>
      <c r="N44" s="9">
        <v>0</v>
      </c>
      <c r="O44" s="9">
        <v>0</v>
      </c>
      <c r="P44" s="9" t="s">
        <v>2</v>
      </c>
      <c r="Q44" s="77"/>
      <c r="R44" s="13"/>
      <c r="S44" s="89" t="s">
        <v>17</v>
      </c>
      <c r="T44" s="93">
        <f>COUNTIFS(I9:I71,"Study+Computer",K9:K71,"Happy")</f>
        <v>4</v>
      </c>
      <c r="U44" s="95">
        <f>COUNTIFS(I9:I71,"Mobile",K9:K71,"Happy")</f>
        <v>4</v>
      </c>
      <c r="V44" s="97">
        <f>COUNTIFS(I9:I71,"Phy-act",K9:K71,"Happy")</f>
        <v>0</v>
      </c>
      <c r="W44" s="13"/>
      <c r="X44" s="115"/>
      <c r="Y44" s="115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</row>
    <row r="45" spans="1:36" ht="18.75" x14ac:dyDescent="0.25">
      <c r="A45" s="37" t="s">
        <v>15</v>
      </c>
      <c r="B45" s="52"/>
      <c r="C45" s="57">
        <f>SUM(U12,C12,C28,U28)</f>
        <v>0.30902777777777835</v>
      </c>
      <c r="D45" s="67"/>
      <c r="E45" s="137"/>
      <c r="F45" s="9">
        <v>37</v>
      </c>
      <c r="G45" s="10">
        <f t="shared" si="3"/>
        <v>44966</v>
      </c>
      <c r="H45" s="25">
        <v>0.58333333333333337</v>
      </c>
      <c r="I45" s="26" t="s">
        <v>5</v>
      </c>
      <c r="J45" s="48">
        <f t="shared" si="1"/>
        <v>2.0833333333333259E-2</v>
      </c>
      <c r="K45" s="9" t="s">
        <v>20</v>
      </c>
      <c r="L45" s="9">
        <v>200</v>
      </c>
      <c r="M45" s="9">
        <v>0</v>
      </c>
      <c r="N45" s="9">
        <v>0</v>
      </c>
      <c r="O45" s="9">
        <v>0</v>
      </c>
      <c r="P45" s="9" t="s">
        <v>2</v>
      </c>
      <c r="Q45" s="77"/>
      <c r="R45" s="13"/>
      <c r="S45" s="89" t="s">
        <v>18</v>
      </c>
      <c r="T45" s="93">
        <f>COUNTIFS(I9:I71,"Study+Computer",K9:K71,"Tired")</f>
        <v>4</v>
      </c>
      <c r="U45" s="95">
        <f>COUNTIFS(I9:I71,"Mobile",K9:K71,"Tired")</f>
        <v>7</v>
      </c>
      <c r="V45" s="97">
        <f>COUNTIFS(I9:I71,"Phy-act",K9:K71,"Tired")</f>
        <v>1</v>
      </c>
      <c r="W45" s="13"/>
      <c r="X45" s="115"/>
      <c r="Y45" s="115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</row>
    <row r="46" spans="1:36" ht="18.75" x14ac:dyDescent="0.25">
      <c r="A46" s="37" t="s">
        <v>14</v>
      </c>
      <c r="B46" s="52"/>
      <c r="C46" s="57">
        <f>SUM(U13,C13,C29,U29)</f>
        <v>1.0555555555555558</v>
      </c>
      <c r="D46" s="67"/>
      <c r="E46" s="137"/>
      <c r="F46" s="9">
        <v>38</v>
      </c>
      <c r="G46" s="10">
        <f t="shared" si="3"/>
        <v>44966</v>
      </c>
      <c r="H46" s="25">
        <v>0.60416666666666663</v>
      </c>
      <c r="I46" s="26" t="s">
        <v>14</v>
      </c>
      <c r="J46" s="48">
        <f t="shared" si="1"/>
        <v>4.861111111111116E-2</v>
      </c>
      <c r="K46" s="9" t="s">
        <v>20</v>
      </c>
      <c r="L46" s="9">
        <v>0</v>
      </c>
      <c r="M46" s="9">
        <v>0</v>
      </c>
      <c r="N46" s="9">
        <v>0</v>
      </c>
      <c r="O46" s="9">
        <v>0</v>
      </c>
      <c r="P46" s="9" t="s">
        <v>2</v>
      </c>
      <c r="Q46" s="77"/>
      <c r="R46" s="13"/>
      <c r="S46" s="90" t="s">
        <v>19</v>
      </c>
      <c r="T46" s="94">
        <f>COUNTIFS(I9:I71,"Study+Computer",K9:K71,"Fresh")</f>
        <v>2</v>
      </c>
      <c r="U46" s="96">
        <f>COUNTIFS(I9:I71,"Mobile",K9:K71,"Fresh")</f>
        <v>1</v>
      </c>
      <c r="V46" s="98">
        <f>COUNTIFS(I9:I71,"Phy-act",K9:K71,"Fresh")</f>
        <v>3</v>
      </c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</row>
    <row r="47" spans="1:36" x14ac:dyDescent="0.25">
      <c r="A47" s="37" t="s">
        <v>22</v>
      </c>
      <c r="B47" s="52"/>
      <c r="C47" s="58">
        <f>SUM(U30,C30,C14,U14)</f>
        <v>0.1909722222222221</v>
      </c>
      <c r="D47" s="66"/>
      <c r="E47" s="137"/>
      <c r="F47" s="9">
        <v>39</v>
      </c>
      <c r="G47" s="10">
        <f t="shared" si="3"/>
        <v>44966</v>
      </c>
      <c r="H47" s="25">
        <v>0.65277777777777779</v>
      </c>
      <c r="I47" s="26" t="s">
        <v>13</v>
      </c>
      <c r="J47" s="48">
        <f t="shared" si="1"/>
        <v>0.10416666666666674</v>
      </c>
      <c r="K47" s="9" t="s">
        <v>16</v>
      </c>
      <c r="L47" s="9">
        <v>300</v>
      </c>
      <c r="M47" s="9">
        <v>0</v>
      </c>
      <c r="N47" s="9">
        <v>0</v>
      </c>
      <c r="O47" s="9">
        <v>0</v>
      </c>
      <c r="P47" s="9" t="s">
        <v>2</v>
      </c>
      <c r="Q47" s="77"/>
      <c r="R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 spans="1:36" x14ac:dyDescent="0.25">
      <c r="A48" s="37" t="s">
        <v>27</v>
      </c>
      <c r="B48" s="52"/>
      <c r="C48" s="58">
        <f>SUM(U31,C31,C15,U15)</f>
        <v>0.21527777777777768</v>
      </c>
      <c r="D48" s="67"/>
      <c r="E48" s="137"/>
      <c r="F48" s="9">
        <v>40</v>
      </c>
      <c r="G48" s="10">
        <f t="shared" si="3"/>
        <v>44966</v>
      </c>
      <c r="H48" s="25">
        <v>0.75694444444444453</v>
      </c>
      <c r="I48" s="26" t="s">
        <v>4</v>
      </c>
      <c r="J48" s="48">
        <f t="shared" si="1"/>
        <v>3.4722222222222099E-2</v>
      </c>
      <c r="K48" s="9" t="s">
        <v>19</v>
      </c>
      <c r="L48" s="9">
        <v>100</v>
      </c>
      <c r="M48" s="9">
        <v>0</v>
      </c>
      <c r="N48" s="9">
        <v>0</v>
      </c>
      <c r="O48" s="9">
        <v>0</v>
      </c>
      <c r="P48" s="9" t="s">
        <v>2</v>
      </c>
      <c r="Q48" s="77"/>
      <c r="R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spans="1:36" x14ac:dyDescent="0.25">
      <c r="A49" s="53"/>
      <c r="B49" s="53"/>
      <c r="C49" s="53"/>
      <c r="D49" s="67"/>
      <c r="E49" s="137"/>
      <c r="F49" s="9">
        <v>41</v>
      </c>
      <c r="G49" s="10">
        <f t="shared" si="3"/>
        <v>44966</v>
      </c>
      <c r="H49" s="25">
        <v>0.79166666666666663</v>
      </c>
      <c r="I49" s="26" t="s">
        <v>13</v>
      </c>
      <c r="J49" s="48">
        <f t="shared" si="1"/>
        <v>3.125E-2</v>
      </c>
      <c r="K49" s="9" t="s">
        <v>16</v>
      </c>
      <c r="L49" s="9">
        <v>200</v>
      </c>
      <c r="M49" s="9">
        <v>0</v>
      </c>
      <c r="N49" s="9">
        <v>0</v>
      </c>
      <c r="O49" s="9">
        <v>0</v>
      </c>
      <c r="P49" s="9" t="s">
        <v>2</v>
      </c>
      <c r="Q49" s="77"/>
      <c r="R49" s="13"/>
      <c r="S49" s="143" t="s">
        <v>40</v>
      </c>
      <c r="T49" s="14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</row>
    <row r="50" spans="1:36" x14ac:dyDescent="0.25">
      <c r="A50" s="37" t="s">
        <v>33</v>
      </c>
      <c r="B50" s="52"/>
      <c r="C50" s="59">
        <f>SUM(L9:L62,L63:L71)/1000</f>
        <v>14.0502</v>
      </c>
      <c r="D50" s="67"/>
      <c r="E50" s="137"/>
      <c r="F50" s="9">
        <v>42</v>
      </c>
      <c r="G50" s="10">
        <f t="shared" si="3"/>
        <v>44966</v>
      </c>
      <c r="H50" s="25">
        <v>0.82291666666666663</v>
      </c>
      <c r="I50" s="26" t="s">
        <v>13</v>
      </c>
      <c r="J50" s="48">
        <f t="shared" si="1"/>
        <v>5.208333333333337E-2</v>
      </c>
      <c r="K50" s="9" t="s">
        <v>18</v>
      </c>
      <c r="L50" s="9">
        <v>400</v>
      </c>
      <c r="M50" s="9">
        <v>0</v>
      </c>
      <c r="N50" s="9">
        <v>0</v>
      </c>
      <c r="O50" s="9">
        <v>0</v>
      </c>
      <c r="P50" s="9" t="s">
        <v>2</v>
      </c>
      <c r="Q50" s="77"/>
      <c r="R50" s="13"/>
      <c r="S50" s="113" t="s">
        <v>31</v>
      </c>
      <c r="T50" s="113" t="s">
        <v>41</v>
      </c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spans="1:36" x14ac:dyDescent="0.25">
      <c r="D51" s="67"/>
      <c r="E51" s="137"/>
      <c r="F51" s="9">
        <v>43</v>
      </c>
      <c r="G51" s="10">
        <f t="shared" si="3"/>
        <v>44966</v>
      </c>
      <c r="H51" s="25">
        <v>0.875</v>
      </c>
      <c r="I51" s="26" t="s">
        <v>15</v>
      </c>
      <c r="J51" s="48">
        <f t="shared" si="1"/>
        <v>3.125E-2</v>
      </c>
      <c r="K51" s="9" t="s">
        <v>18</v>
      </c>
      <c r="L51" s="9">
        <v>100</v>
      </c>
      <c r="M51" s="9">
        <v>0</v>
      </c>
      <c r="N51" s="9">
        <v>0</v>
      </c>
      <c r="O51" s="9">
        <v>0</v>
      </c>
      <c r="P51" s="9" t="s">
        <v>2</v>
      </c>
      <c r="Q51" s="77"/>
      <c r="R51" s="13"/>
      <c r="S51" s="37" t="s">
        <v>24</v>
      </c>
      <c r="T51" s="117">
        <f>SUMIFS(WATER,ACTIVITY,S51)</f>
        <v>7600.2</v>
      </c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</row>
    <row r="52" spans="1:36" x14ac:dyDescent="0.25">
      <c r="D52" s="68"/>
      <c r="E52" s="137"/>
      <c r="F52" s="9">
        <v>44</v>
      </c>
      <c r="G52" s="10">
        <f t="shared" si="3"/>
        <v>44966</v>
      </c>
      <c r="H52" s="25">
        <v>0.90625</v>
      </c>
      <c r="I52" s="26" t="s">
        <v>27</v>
      </c>
      <c r="J52" s="48">
        <f t="shared" si="1"/>
        <v>2.4305555555555469E-2</v>
      </c>
      <c r="K52" s="9" t="s">
        <v>19</v>
      </c>
      <c r="L52" s="9">
        <v>400</v>
      </c>
      <c r="M52" s="9">
        <v>0</v>
      </c>
      <c r="N52" s="9">
        <v>0</v>
      </c>
      <c r="O52" s="9">
        <v>0</v>
      </c>
      <c r="P52" s="9" t="s">
        <v>2</v>
      </c>
      <c r="Q52" s="77"/>
      <c r="R52" s="13"/>
      <c r="S52" s="37" t="s">
        <v>15</v>
      </c>
      <c r="T52" s="117">
        <f>SUMIFS(WATER,ACTIVITY,S52)</f>
        <v>2300</v>
      </c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</row>
    <row r="53" spans="1:36" x14ac:dyDescent="0.25">
      <c r="D53" s="69"/>
      <c r="E53" s="137"/>
      <c r="F53" s="9">
        <v>45</v>
      </c>
      <c r="G53" s="10">
        <f t="shared" si="3"/>
        <v>44966</v>
      </c>
      <c r="H53" s="25">
        <v>0.93055555555555547</v>
      </c>
      <c r="I53" s="26" t="s">
        <v>15</v>
      </c>
      <c r="J53" s="48">
        <f t="shared" si="1"/>
        <v>2.7777777777777901E-2</v>
      </c>
      <c r="K53" s="9" t="s">
        <v>17</v>
      </c>
      <c r="L53" s="9">
        <v>200</v>
      </c>
      <c r="M53" s="9">
        <v>0</v>
      </c>
      <c r="N53" s="9">
        <v>0</v>
      </c>
      <c r="O53" s="9">
        <v>0</v>
      </c>
      <c r="P53" s="9" t="s">
        <v>2</v>
      </c>
      <c r="Q53" s="77"/>
      <c r="R53" s="13"/>
      <c r="S53" s="37" t="s">
        <v>14</v>
      </c>
      <c r="T53" s="117">
        <f>SUMIFS(WATER,ACTIVITY,S53)</f>
        <v>0</v>
      </c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</row>
    <row r="54" spans="1:36" x14ac:dyDescent="0.25">
      <c r="E54" s="137"/>
      <c r="F54" s="9">
        <v>46</v>
      </c>
      <c r="G54" s="10">
        <f>DATE(2023,2,9)</f>
        <v>44966</v>
      </c>
      <c r="H54" s="25">
        <v>0.95833333333333337</v>
      </c>
      <c r="I54" s="26" t="s">
        <v>13</v>
      </c>
      <c r="J54" s="48">
        <f t="shared" si="1"/>
        <v>6.2499999999999889E-2</v>
      </c>
      <c r="K54" s="9" t="s">
        <v>16</v>
      </c>
      <c r="L54" s="9">
        <v>500</v>
      </c>
      <c r="M54" s="9">
        <v>0</v>
      </c>
      <c r="N54" s="9">
        <v>0</v>
      </c>
      <c r="O54" s="9">
        <v>0</v>
      </c>
      <c r="P54" s="9" t="s">
        <v>2</v>
      </c>
      <c r="Q54" s="77"/>
      <c r="R54" s="13"/>
      <c r="S54" s="37" t="s">
        <v>22</v>
      </c>
      <c r="T54" s="117">
        <f>SUMIFS(WATER,ACTIVITY,S54)</f>
        <v>2000</v>
      </c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</row>
    <row r="55" spans="1:36" ht="15" customHeight="1" x14ac:dyDescent="0.25">
      <c r="D55" s="73"/>
      <c r="E55" s="136">
        <v>44967</v>
      </c>
      <c r="F55" s="7">
        <v>47</v>
      </c>
      <c r="G55" s="8">
        <f>DATE(2023,2,10)</f>
        <v>44967</v>
      </c>
      <c r="H55" s="29">
        <v>2.0833333333333332E-2</v>
      </c>
      <c r="I55" s="30" t="s">
        <v>14</v>
      </c>
      <c r="J55" s="50">
        <f>IF(I55="X", 0,IF(H56&gt;H55,H56-H55,1+H56-H55))</f>
        <v>0.27777777777777779</v>
      </c>
      <c r="K55" s="7" t="s">
        <v>20</v>
      </c>
      <c r="L55" s="7">
        <v>0</v>
      </c>
      <c r="M55" s="7">
        <v>0</v>
      </c>
      <c r="N55" s="7">
        <v>0</v>
      </c>
      <c r="O55" s="7">
        <v>0</v>
      </c>
      <c r="P55" s="7" t="s">
        <v>2</v>
      </c>
      <c r="Q55" s="78"/>
      <c r="R55" s="13"/>
      <c r="S55" s="37" t="s">
        <v>27</v>
      </c>
      <c r="T55" s="117">
        <f>SUMIFS(WATER,ACTIVITY,S55)</f>
        <v>1750</v>
      </c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</row>
    <row r="56" spans="1:36" x14ac:dyDescent="0.25">
      <c r="D56" s="75"/>
      <c r="E56" s="136"/>
      <c r="F56" s="7">
        <v>48</v>
      </c>
      <c r="G56" s="8">
        <f>DATE(2023,2,10)</f>
        <v>44967</v>
      </c>
      <c r="H56" s="29">
        <v>0.2986111111111111</v>
      </c>
      <c r="I56" s="30" t="s">
        <v>4</v>
      </c>
      <c r="J56" s="50">
        <f t="shared" si="1"/>
        <v>2.430555555555558E-2</v>
      </c>
      <c r="K56" s="7" t="s">
        <v>16</v>
      </c>
      <c r="L56" s="7">
        <v>600</v>
      </c>
      <c r="M56" s="7">
        <v>0</v>
      </c>
      <c r="N56" s="7">
        <v>0</v>
      </c>
      <c r="O56" s="7">
        <v>0</v>
      </c>
      <c r="P56" s="7" t="s">
        <v>2</v>
      </c>
      <c r="Q56" s="78"/>
      <c r="R56" s="13"/>
      <c r="S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</row>
    <row r="57" spans="1:36" x14ac:dyDescent="0.25">
      <c r="D57" s="66"/>
      <c r="E57" s="136"/>
      <c r="F57" s="7">
        <v>49</v>
      </c>
      <c r="G57" s="8">
        <f t="shared" ref="G57:G64" si="4">DATE(2023,2,10)</f>
        <v>44967</v>
      </c>
      <c r="H57" s="29">
        <v>0.32291666666666669</v>
      </c>
      <c r="I57" s="30" t="s">
        <v>13</v>
      </c>
      <c r="J57" s="50">
        <f t="shared" si="1"/>
        <v>7.291666666666663E-2</v>
      </c>
      <c r="K57" s="7" t="s">
        <v>16</v>
      </c>
      <c r="L57" s="7">
        <v>300</v>
      </c>
      <c r="M57" s="7">
        <v>0</v>
      </c>
      <c r="N57" s="7">
        <v>0</v>
      </c>
      <c r="O57" s="7">
        <v>0</v>
      </c>
      <c r="P57" s="7" t="s">
        <v>2</v>
      </c>
      <c r="Q57" s="78"/>
      <c r="R57" s="13"/>
      <c r="S57" s="144"/>
      <c r="T57" s="144"/>
      <c r="U57" s="144"/>
      <c r="V57" s="144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</row>
    <row r="58" spans="1:36" x14ac:dyDescent="0.25">
      <c r="D58" s="67"/>
      <c r="E58" s="136"/>
      <c r="F58" s="7">
        <v>50</v>
      </c>
      <c r="G58" s="8">
        <f t="shared" si="4"/>
        <v>44967</v>
      </c>
      <c r="H58" s="29">
        <v>0.39583333333333331</v>
      </c>
      <c r="I58" s="30" t="s">
        <v>27</v>
      </c>
      <c r="J58" s="50">
        <f t="shared" si="1"/>
        <v>2.083333333333337E-2</v>
      </c>
      <c r="K58" s="7" t="s">
        <v>19</v>
      </c>
      <c r="L58" s="7">
        <v>200</v>
      </c>
      <c r="M58" s="7">
        <v>0</v>
      </c>
      <c r="N58" s="7">
        <v>0</v>
      </c>
      <c r="O58" s="7">
        <v>0</v>
      </c>
      <c r="P58" s="7" t="s">
        <v>2</v>
      </c>
      <c r="Q58" s="78"/>
      <c r="R58" s="13"/>
      <c r="S58" s="141" t="s">
        <v>43</v>
      </c>
      <c r="T58" s="141"/>
      <c r="U58" s="141"/>
      <c r="V58" s="141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</row>
    <row r="59" spans="1:36" x14ac:dyDescent="0.25">
      <c r="D59" s="67"/>
      <c r="E59" s="136"/>
      <c r="F59" s="7">
        <v>51</v>
      </c>
      <c r="G59" s="8">
        <f t="shared" si="4"/>
        <v>44967</v>
      </c>
      <c r="H59" s="29">
        <v>0.41666666666666669</v>
      </c>
      <c r="I59" s="30" t="s">
        <v>13</v>
      </c>
      <c r="J59" s="50">
        <f t="shared" si="1"/>
        <v>2.7777777777777735E-2</v>
      </c>
      <c r="K59" s="7" t="s">
        <v>17</v>
      </c>
      <c r="L59" s="7">
        <v>250</v>
      </c>
      <c r="M59" s="7">
        <v>0</v>
      </c>
      <c r="N59" s="7">
        <v>0</v>
      </c>
      <c r="O59" s="7">
        <v>0</v>
      </c>
      <c r="P59" s="7" t="s">
        <v>2</v>
      </c>
      <c r="Q59" s="78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</row>
    <row r="60" spans="1:36" x14ac:dyDescent="0.25">
      <c r="D60" s="67"/>
      <c r="E60" s="136"/>
      <c r="F60" s="7">
        <v>52</v>
      </c>
      <c r="G60" s="8">
        <f t="shared" si="4"/>
        <v>44967</v>
      </c>
      <c r="H60" s="29">
        <v>0.44444444444444442</v>
      </c>
      <c r="I60" s="30" t="s">
        <v>13</v>
      </c>
      <c r="J60" s="50">
        <f t="shared" si="1"/>
        <v>9.722222222222221E-2</v>
      </c>
      <c r="K60" s="7" t="s">
        <v>16</v>
      </c>
      <c r="L60" s="7">
        <v>300</v>
      </c>
      <c r="M60" s="7">
        <v>0</v>
      </c>
      <c r="N60" s="7">
        <v>0</v>
      </c>
      <c r="O60" s="7">
        <v>0</v>
      </c>
      <c r="P60" s="7" t="s">
        <v>2</v>
      </c>
      <c r="Q60" s="78"/>
      <c r="R60" s="13"/>
      <c r="S60" s="86" t="s">
        <v>36</v>
      </c>
      <c r="T60" s="91" t="s">
        <v>13</v>
      </c>
      <c r="U60" s="87" t="s">
        <v>15</v>
      </c>
      <c r="V60" s="88" t="s">
        <v>22</v>
      </c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</row>
    <row r="61" spans="1:36" ht="18.75" x14ac:dyDescent="0.25">
      <c r="D61" s="67"/>
      <c r="E61" s="136"/>
      <c r="F61" s="7">
        <v>53</v>
      </c>
      <c r="G61" s="8">
        <f t="shared" si="4"/>
        <v>44967</v>
      </c>
      <c r="H61" s="29">
        <v>0.54166666666666663</v>
      </c>
      <c r="I61" s="30" t="s">
        <v>13</v>
      </c>
      <c r="J61" s="50">
        <f t="shared" si="1"/>
        <v>2.083333333333337E-2</v>
      </c>
      <c r="K61" s="7" t="s">
        <v>18</v>
      </c>
      <c r="L61" s="7">
        <v>400</v>
      </c>
      <c r="M61" s="7">
        <v>0</v>
      </c>
      <c r="N61" s="7">
        <v>0</v>
      </c>
      <c r="O61" s="7">
        <v>0</v>
      </c>
      <c r="P61" s="7" t="s">
        <v>2</v>
      </c>
      <c r="Q61" s="78"/>
      <c r="R61" s="13"/>
      <c r="S61" s="89" t="s">
        <v>16</v>
      </c>
      <c r="T61" s="12">
        <f>SUMIFS(WATER, ACTIVITY,T60,MOOD,S61)</f>
        <v>4950.2</v>
      </c>
      <c r="U61" s="17">
        <f>SUMIFS(WATER, ACTIVITY,"Mobile", MOOD,"Active")</f>
        <v>0</v>
      </c>
      <c r="V61" s="116">
        <f>SUMIFS(WATER, ACTIVITY,"Phy-act", MOOD,"Active")</f>
        <v>1100</v>
      </c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</row>
    <row r="62" spans="1:36" ht="18.75" x14ac:dyDescent="0.25">
      <c r="D62" s="67"/>
      <c r="E62" s="136"/>
      <c r="F62" s="7">
        <v>54</v>
      </c>
      <c r="G62" s="8">
        <f t="shared" si="4"/>
        <v>44967</v>
      </c>
      <c r="H62" s="29">
        <v>0.5625</v>
      </c>
      <c r="I62" s="30" t="s">
        <v>27</v>
      </c>
      <c r="J62" s="50">
        <f t="shared" si="1"/>
        <v>2.083333333333337E-2</v>
      </c>
      <c r="K62" s="7" t="s">
        <v>17</v>
      </c>
      <c r="L62" s="7">
        <v>150</v>
      </c>
      <c r="M62" s="7">
        <v>0</v>
      </c>
      <c r="N62" s="7">
        <v>0</v>
      </c>
      <c r="O62" s="7">
        <v>0</v>
      </c>
      <c r="P62" s="7" t="s">
        <v>2</v>
      </c>
      <c r="Q62" s="78"/>
      <c r="R62" s="13"/>
      <c r="S62" s="89" t="s">
        <v>17</v>
      </c>
      <c r="T62" s="12">
        <f>SUMIFS(WATER,ACTIVITY,"Study+computer", MOOD,"Happy")</f>
        <v>750</v>
      </c>
      <c r="U62" s="17">
        <f>SUMIFS(WATER, ACTIVITY,"Mobile", MOOD,"Happy")</f>
        <v>800</v>
      </c>
      <c r="V62" s="116">
        <f>SUMIFS(WATER, ACTIVITY,"Phy-act", MOOD,"Happy")</f>
        <v>0</v>
      </c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</row>
    <row r="63" spans="1:36" ht="18.75" x14ac:dyDescent="0.25">
      <c r="D63" s="66"/>
      <c r="E63" s="136"/>
      <c r="F63" s="7">
        <v>55</v>
      </c>
      <c r="G63" s="8">
        <f t="shared" si="4"/>
        <v>44967</v>
      </c>
      <c r="H63" s="29">
        <v>0.58333333333333337</v>
      </c>
      <c r="I63" s="30" t="s">
        <v>5</v>
      </c>
      <c r="J63" s="50">
        <f t="shared" si="1"/>
        <v>2.0833333333333259E-2</v>
      </c>
      <c r="K63" s="7" t="s">
        <v>20</v>
      </c>
      <c r="L63" s="7">
        <v>200</v>
      </c>
      <c r="M63" s="7">
        <v>0</v>
      </c>
      <c r="N63" s="7">
        <v>0</v>
      </c>
      <c r="O63" s="7">
        <v>0</v>
      </c>
      <c r="P63" s="7" t="s">
        <v>2</v>
      </c>
      <c r="Q63" s="78"/>
      <c r="R63" s="13"/>
      <c r="S63" s="89" t="s">
        <v>18</v>
      </c>
      <c r="T63" s="12">
        <f>SUMIFS(WATER,ACTIVITY,T60, MOOD,S63)</f>
        <v>1500</v>
      </c>
      <c r="U63" s="17">
        <f>SUMIFS(WATER, ACTIVITY,"Mobile", MOOD,"Tired")</f>
        <v>1500</v>
      </c>
      <c r="V63" s="116">
        <f>SUMIFS(WATER, ACTIVITY,"Phy-act", MOOD,"Tired")</f>
        <v>100</v>
      </c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</row>
    <row r="64" spans="1:36" ht="18.75" x14ac:dyDescent="0.25">
      <c r="D64" s="67"/>
      <c r="E64" s="136"/>
      <c r="F64" s="7">
        <v>56</v>
      </c>
      <c r="G64" s="8">
        <f t="shared" si="4"/>
        <v>44967</v>
      </c>
      <c r="H64" s="29">
        <v>0.60416666666666663</v>
      </c>
      <c r="I64" s="30" t="s">
        <v>14</v>
      </c>
      <c r="J64" s="50">
        <f t="shared" si="1"/>
        <v>4.861111111111116E-2</v>
      </c>
      <c r="K64" s="7" t="s">
        <v>20</v>
      </c>
      <c r="L64" s="7">
        <v>0</v>
      </c>
      <c r="M64" s="7">
        <v>0</v>
      </c>
      <c r="N64" s="7">
        <v>0</v>
      </c>
      <c r="O64" s="7">
        <v>0</v>
      </c>
      <c r="P64" s="7" t="s">
        <v>2</v>
      </c>
      <c r="Q64" s="78"/>
      <c r="R64" s="13"/>
      <c r="S64" s="90" t="s">
        <v>19</v>
      </c>
      <c r="T64" s="12">
        <f>SUMIFS(WATER,ACTIVITY,"Study+computer", MOOD,"Fresh")</f>
        <v>400</v>
      </c>
      <c r="U64" s="17">
        <f>SUMIFS(WATER, ACTIVITY,"Mobile", MOOD,"Fresh")</f>
        <v>0</v>
      </c>
      <c r="V64" s="116">
        <f>SUMIFS(WATER, ACTIVITY,"Phy-act", MOOD,"Fresh")</f>
        <v>800</v>
      </c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</row>
    <row r="65" spans="1:36" x14ac:dyDescent="0.25">
      <c r="D65" s="67"/>
      <c r="E65" s="136"/>
      <c r="F65" s="7">
        <v>57</v>
      </c>
      <c r="G65" s="8">
        <f t="shared" ref="G65:G71" si="5">DATE(2023,2,10)</f>
        <v>44967</v>
      </c>
      <c r="H65" s="29">
        <v>0.65277777777777779</v>
      </c>
      <c r="I65" s="30" t="s">
        <v>13</v>
      </c>
      <c r="J65" s="50">
        <f t="shared" si="1"/>
        <v>9.722222222222221E-2</v>
      </c>
      <c r="K65" s="7" t="s">
        <v>16</v>
      </c>
      <c r="L65" s="7">
        <v>250</v>
      </c>
      <c r="M65" s="7">
        <v>0</v>
      </c>
      <c r="N65" s="7">
        <v>0</v>
      </c>
      <c r="O65" s="7">
        <v>0</v>
      </c>
      <c r="P65" s="7" t="s">
        <v>2</v>
      </c>
      <c r="Q65" s="78"/>
      <c r="R65" s="13"/>
      <c r="S65" s="118" t="s">
        <v>44</v>
      </c>
      <c r="T65" s="119" t="s">
        <v>45</v>
      </c>
      <c r="U65" s="119" t="s">
        <v>45</v>
      </c>
      <c r="V65" s="120" t="s">
        <v>45</v>
      </c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</row>
    <row r="66" spans="1:36" x14ac:dyDescent="0.25">
      <c r="D66" s="67"/>
      <c r="E66" s="136"/>
      <c r="F66" s="7">
        <v>58</v>
      </c>
      <c r="G66" s="8">
        <f t="shared" si="5"/>
        <v>44967</v>
      </c>
      <c r="H66" s="29">
        <v>0.75</v>
      </c>
      <c r="I66" s="30" t="s">
        <v>4</v>
      </c>
      <c r="J66" s="50">
        <f t="shared" si="1"/>
        <v>4.166666666666663E-2</v>
      </c>
      <c r="K66" s="7" t="s">
        <v>19</v>
      </c>
      <c r="L66" s="7">
        <v>200</v>
      </c>
      <c r="M66" s="7">
        <v>0</v>
      </c>
      <c r="N66" s="7">
        <v>0</v>
      </c>
      <c r="O66" s="7">
        <v>0</v>
      </c>
      <c r="P66" s="7" t="s">
        <v>2</v>
      </c>
      <c r="Q66" s="78"/>
      <c r="R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</row>
    <row r="67" spans="1:36" x14ac:dyDescent="0.25">
      <c r="D67" s="67"/>
      <c r="E67" s="136"/>
      <c r="F67" s="7">
        <v>59</v>
      </c>
      <c r="G67" s="8">
        <f t="shared" si="5"/>
        <v>44967</v>
      </c>
      <c r="H67" s="29">
        <v>0.79166666666666663</v>
      </c>
      <c r="I67" s="30" t="s">
        <v>13</v>
      </c>
      <c r="J67" s="50">
        <f t="shared" si="1"/>
        <v>3.125E-2</v>
      </c>
      <c r="K67" s="7" t="s">
        <v>16</v>
      </c>
      <c r="L67" s="7">
        <v>200</v>
      </c>
      <c r="M67" s="7">
        <v>0</v>
      </c>
      <c r="N67" s="7">
        <v>0</v>
      </c>
      <c r="O67" s="7">
        <v>0</v>
      </c>
      <c r="P67" s="7" t="s">
        <v>2</v>
      </c>
      <c r="Q67" s="78"/>
      <c r="R67" s="13"/>
      <c r="S67" s="13"/>
      <c r="U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</row>
    <row r="68" spans="1:36" x14ac:dyDescent="0.25">
      <c r="D68" s="68"/>
      <c r="E68" s="136"/>
      <c r="F68" s="7">
        <v>60</v>
      </c>
      <c r="G68" s="8">
        <f t="shared" si="5"/>
        <v>44967</v>
      </c>
      <c r="H68" s="29">
        <v>0.82291666666666663</v>
      </c>
      <c r="I68" s="30" t="s">
        <v>13</v>
      </c>
      <c r="J68" s="50">
        <f t="shared" si="1"/>
        <v>5.208333333333337E-2</v>
      </c>
      <c r="K68" s="7" t="s">
        <v>18</v>
      </c>
      <c r="L68" s="7">
        <v>400</v>
      </c>
      <c r="M68" s="7">
        <v>0</v>
      </c>
      <c r="N68" s="7">
        <v>0</v>
      </c>
      <c r="O68" s="7">
        <v>0</v>
      </c>
      <c r="P68" s="7" t="s">
        <v>2</v>
      </c>
      <c r="Q68" s="78"/>
      <c r="R68" s="13"/>
      <c r="S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</row>
    <row r="69" spans="1:36" x14ac:dyDescent="0.25">
      <c r="D69" s="69"/>
      <c r="E69" s="136"/>
      <c r="F69" s="7">
        <v>61</v>
      </c>
      <c r="G69" s="8">
        <f t="shared" si="5"/>
        <v>44967</v>
      </c>
      <c r="H69" s="29">
        <v>0.875</v>
      </c>
      <c r="I69" s="30" t="s">
        <v>15</v>
      </c>
      <c r="J69" s="50">
        <f t="shared" si="1"/>
        <v>3.125E-2</v>
      </c>
      <c r="K69" s="7" t="s">
        <v>18</v>
      </c>
      <c r="L69" s="7">
        <v>100</v>
      </c>
      <c r="M69" s="7">
        <v>0</v>
      </c>
      <c r="N69" s="7">
        <v>0</v>
      </c>
      <c r="O69" s="7">
        <v>0</v>
      </c>
      <c r="P69" s="7" t="s">
        <v>2</v>
      </c>
      <c r="Q69" s="78"/>
      <c r="R69" s="13"/>
      <c r="S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</row>
    <row r="70" spans="1:36" x14ac:dyDescent="0.25">
      <c r="A70" s="13"/>
      <c r="B70" s="13"/>
      <c r="C70" s="13"/>
      <c r="D70" s="13"/>
      <c r="E70" s="136"/>
      <c r="F70" s="7">
        <v>62</v>
      </c>
      <c r="G70" s="8">
        <f t="shared" si="5"/>
        <v>44967</v>
      </c>
      <c r="H70" s="29">
        <v>0.90625</v>
      </c>
      <c r="I70" s="30" t="s">
        <v>27</v>
      </c>
      <c r="J70" s="50">
        <f t="shared" si="1"/>
        <v>2.4305555555555469E-2</v>
      </c>
      <c r="K70" s="7" t="s">
        <v>19</v>
      </c>
      <c r="L70" s="7">
        <v>400</v>
      </c>
      <c r="M70" s="7">
        <v>0</v>
      </c>
      <c r="N70" s="7">
        <v>0</v>
      </c>
      <c r="O70" s="7">
        <v>0</v>
      </c>
      <c r="P70" s="7" t="s">
        <v>2</v>
      </c>
      <c r="Q70" s="78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</row>
    <row r="71" spans="1:36" ht="15.75" x14ac:dyDescent="0.25">
      <c r="D71" s="76"/>
      <c r="E71" s="136"/>
      <c r="F71" s="7">
        <v>63</v>
      </c>
      <c r="G71" s="8">
        <f t="shared" si="5"/>
        <v>44967</v>
      </c>
      <c r="H71" s="29">
        <v>0.93055555555555547</v>
      </c>
      <c r="I71" s="30" t="s">
        <v>15</v>
      </c>
      <c r="J71" s="50">
        <f t="shared" si="1"/>
        <v>2.7777777777777901E-2</v>
      </c>
      <c r="K71" s="7" t="s">
        <v>17</v>
      </c>
      <c r="L71" s="7">
        <v>200</v>
      </c>
      <c r="M71" s="7">
        <v>0</v>
      </c>
      <c r="N71" s="7">
        <v>0</v>
      </c>
      <c r="O71" s="7">
        <v>0</v>
      </c>
      <c r="P71" s="7" t="s">
        <v>2</v>
      </c>
      <c r="Q71" s="78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</row>
    <row r="72" spans="1:36" ht="15" hidden="1" customHeight="1" x14ac:dyDescent="0.25">
      <c r="D72" s="13"/>
      <c r="E72" s="61"/>
      <c r="F72" s="9">
        <v>64</v>
      </c>
      <c r="G72" s="11">
        <f>DATE(2023,2,11)</f>
        <v>44968</v>
      </c>
      <c r="H72" s="31">
        <v>0.95833333333333337</v>
      </c>
      <c r="I72" s="32" t="s">
        <v>13</v>
      </c>
      <c r="J72" s="51">
        <f t="shared" si="1"/>
        <v>6.2499999999999889E-2</v>
      </c>
      <c r="K72" s="12" t="s">
        <v>19</v>
      </c>
      <c r="L72" s="12">
        <v>500</v>
      </c>
      <c r="M72" s="12">
        <v>0</v>
      </c>
      <c r="N72" s="12">
        <v>0</v>
      </c>
      <c r="O72" s="12">
        <v>0</v>
      </c>
      <c r="P72" s="12" t="s">
        <v>2</v>
      </c>
      <c r="Q72" s="130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</row>
    <row r="73" spans="1:36" ht="15" hidden="1" customHeight="1" x14ac:dyDescent="0.25">
      <c r="D73" s="13"/>
      <c r="E73" s="61"/>
      <c r="F73" s="9">
        <v>65</v>
      </c>
      <c r="G73" s="11">
        <f>DATE(2023,2,11)</f>
        <v>44968</v>
      </c>
      <c r="H73" s="31">
        <v>2.0833333333333332E-2</v>
      </c>
      <c r="I73" s="32" t="s">
        <v>14</v>
      </c>
      <c r="J73" s="48"/>
      <c r="K73" s="12" t="s">
        <v>20</v>
      </c>
      <c r="L73" s="12">
        <v>300</v>
      </c>
      <c r="M73" s="12">
        <v>0</v>
      </c>
      <c r="N73" s="12">
        <v>0</v>
      </c>
      <c r="O73" s="12">
        <v>0</v>
      </c>
      <c r="P73" s="12" t="s">
        <v>2</v>
      </c>
      <c r="Q73" s="130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</row>
    <row r="74" spans="1:36" x14ac:dyDescent="0.25">
      <c r="D74" s="65"/>
      <c r="E74" s="61"/>
      <c r="F74" s="9"/>
      <c r="G74" s="11"/>
      <c r="H74" s="27"/>
      <c r="I74" s="12"/>
      <c r="J74" s="48"/>
      <c r="K74" s="12"/>
      <c r="L74" s="12"/>
      <c r="M74" s="12"/>
      <c r="N74" s="12"/>
      <c r="O74" s="12"/>
      <c r="P74" s="12"/>
      <c r="Q74" s="130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</row>
    <row r="75" spans="1:36" ht="24" customHeight="1" x14ac:dyDescent="0.25">
      <c r="D75" s="65"/>
      <c r="E75" s="24"/>
      <c r="F75" s="33"/>
      <c r="G75" s="24"/>
      <c r="H75" s="33"/>
      <c r="I75" s="24"/>
      <c r="J75" s="33"/>
      <c r="K75" s="24"/>
      <c r="L75" s="33"/>
      <c r="M75" s="24"/>
      <c r="N75" s="33"/>
      <c r="O75" s="24"/>
      <c r="P75" s="33"/>
      <c r="Q75" s="24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</row>
    <row r="76" spans="1:36" x14ac:dyDescent="0.25">
      <c r="D76" s="65"/>
      <c r="E76" s="65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</row>
    <row r="77" spans="1:36" ht="15" customHeight="1" x14ac:dyDescent="0.25">
      <c r="D77" s="65"/>
      <c r="E77" s="65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</row>
    <row r="78" spans="1:36" ht="15" customHeight="1" x14ac:dyDescent="0.25">
      <c r="D78" s="65"/>
      <c r="E78" s="65"/>
      <c r="F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</row>
    <row r="79" spans="1:36" x14ac:dyDescent="0.25">
      <c r="D79" s="65"/>
      <c r="E79" s="65"/>
      <c r="F79" s="13"/>
      <c r="K79" s="13"/>
      <c r="L79" s="13"/>
      <c r="M79" s="13"/>
      <c r="N79" s="13"/>
      <c r="O79" s="13"/>
      <c r="P79" s="13"/>
      <c r="Q79" s="13"/>
      <c r="R79" s="13"/>
      <c r="S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</row>
    <row r="80" spans="1:36" x14ac:dyDescent="0.25">
      <c r="D80" s="65"/>
      <c r="E80" s="65"/>
      <c r="F80" s="13"/>
      <c r="K80" s="13"/>
      <c r="L80" s="13"/>
      <c r="M80" s="13"/>
      <c r="N80" s="13"/>
      <c r="O80" s="13"/>
      <c r="P80" s="13"/>
      <c r="Q80" s="13"/>
      <c r="R80" s="13"/>
      <c r="S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</row>
    <row r="81" spans="1:36" x14ac:dyDescent="0.25">
      <c r="D81" s="65"/>
      <c r="E81" s="65"/>
      <c r="F81" s="13"/>
      <c r="K81" s="13"/>
      <c r="L81" s="13"/>
      <c r="M81" s="13"/>
      <c r="N81" s="13"/>
      <c r="O81" s="13"/>
      <c r="P81" s="13"/>
      <c r="Q81" s="13"/>
      <c r="R81" s="13"/>
      <c r="S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</row>
    <row r="82" spans="1:36" x14ac:dyDescent="0.25">
      <c r="A82" s="13"/>
      <c r="B82" s="13"/>
      <c r="C82" s="13"/>
      <c r="D82" s="13"/>
      <c r="E82" s="13"/>
      <c r="F82" s="13"/>
      <c r="K82" s="13"/>
      <c r="L82" s="13"/>
      <c r="M82" s="13"/>
      <c r="N82" s="13"/>
      <c r="O82" s="13"/>
      <c r="P82" s="13"/>
      <c r="Q82" s="13"/>
      <c r="R82" s="13"/>
      <c r="S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</row>
    <row r="83" spans="1:36" x14ac:dyDescent="0.25">
      <c r="A83" s="13"/>
      <c r="B83" s="13"/>
      <c r="C83" s="13"/>
      <c r="D83" s="13"/>
      <c r="E83" s="13"/>
      <c r="F83" s="13"/>
      <c r="K83" s="13"/>
      <c r="L83" s="13"/>
      <c r="M83" s="13"/>
      <c r="N83" s="13"/>
      <c r="O83" s="13"/>
      <c r="P83" s="13"/>
      <c r="Q83" s="13"/>
      <c r="R83" s="13"/>
      <c r="S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</row>
    <row r="84" spans="1:36" x14ac:dyDescent="0.25">
      <c r="A84" s="13"/>
      <c r="B84" s="13"/>
      <c r="C84" s="13"/>
      <c r="E84" s="13"/>
      <c r="F84" s="13"/>
      <c r="K84" s="13"/>
      <c r="L84" s="13"/>
      <c r="M84" s="13"/>
      <c r="N84" s="13"/>
      <c r="O84" s="13"/>
      <c r="P84" s="13"/>
      <c r="Q84" s="13"/>
      <c r="R84" s="13"/>
      <c r="S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</row>
    <row r="85" spans="1:36" ht="23.25" customHeight="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</row>
    <row r="86" spans="1:36" ht="10.5" customHeight="1" x14ac:dyDescent="0.25">
      <c r="A86" s="13"/>
      <c r="B86" s="13"/>
      <c r="C86" s="13"/>
      <c r="D86" s="13"/>
      <c r="E86" s="13"/>
      <c r="F86" s="13"/>
      <c r="G86" s="112"/>
      <c r="H86" s="112"/>
      <c r="I86" s="112"/>
      <c r="J86" s="112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</row>
    <row r="87" spans="1:36" x14ac:dyDescent="0.25">
      <c r="A87" s="13"/>
      <c r="B87" s="13"/>
      <c r="C87" s="13"/>
      <c r="D87" s="13"/>
      <c r="E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</row>
    <row r="88" spans="1:36" x14ac:dyDescent="0.25">
      <c r="A88" s="13"/>
      <c r="B88" s="13"/>
      <c r="C88" s="13"/>
      <c r="D88" s="13"/>
      <c r="E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</row>
    <row r="89" spans="1:36" x14ac:dyDescent="0.25">
      <c r="A89" s="13"/>
      <c r="B89" s="13"/>
      <c r="C89" s="13"/>
      <c r="D89" s="13"/>
      <c r="E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</row>
    <row r="90" spans="1:36" x14ac:dyDescent="0.25">
      <c r="A90" s="13"/>
      <c r="B90" s="13"/>
      <c r="C90" s="13"/>
      <c r="D90" s="13"/>
      <c r="E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</row>
    <row r="91" spans="1:36" x14ac:dyDescent="0.25">
      <c r="A91" s="13"/>
      <c r="B91" s="13"/>
      <c r="C91" s="13"/>
      <c r="D91" s="13"/>
      <c r="E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</row>
    <row r="92" spans="1:36" x14ac:dyDescent="0.25">
      <c r="A92" s="13"/>
      <c r="B92" s="13"/>
      <c r="C92" s="13"/>
      <c r="D92" s="13"/>
      <c r="E92" s="13"/>
      <c r="G92" s="85"/>
      <c r="H92" s="85"/>
      <c r="I92" s="85"/>
      <c r="J92" s="85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</row>
    <row r="93" spans="1:36" x14ac:dyDescent="0.25">
      <c r="A93" s="13"/>
      <c r="B93" s="13"/>
      <c r="C93" s="13"/>
      <c r="D93" s="13"/>
      <c r="E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</row>
    <row r="94" spans="1:36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</row>
    <row r="95" spans="1:36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</row>
    <row r="96" spans="1:36" ht="15" customHeight="1" x14ac:dyDescent="0.25">
      <c r="A96" s="13"/>
      <c r="B96" s="13"/>
      <c r="C96" s="13"/>
      <c r="D96" s="13"/>
      <c r="E96" s="13"/>
      <c r="F96" s="62"/>
      <c r="G96" s="62"/>
      <c r="H96" s="62"/>
      <c r="I96" s="62"/>
      <c r="J96" s="62"/>
      <c r="K96" s="62"/>
      <c r="L96" s="63"/>
      <c r="M96" s="63"/>
      <c r="N96" s="63"/>
      <c r="O96" s="63"/>
      <c r="P96" s="63"/>
      <c r="Q96" s="63"/>
      <c r="R96" s="63"/>
      <c r="S96" s="63"/>
      <c r="T96" s="6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</row>
    <row r="97" spans="1:36" x14ac:dyDescent="0.25">
      <c r="A97" s="13"/>
      <c r="B97" s="13"/>
      <c r="C97" s="13"/>
      <c r="D97" s="13"/>
      <c r="E97" s="13"/>
      <c r="F97" s="62"/>
      <c r="G97" s="62"/>
      <c r="H97" s="62"/>
      <c r="I97" s="62"/>
      <c r="J97" s="62"/>
      <c r="K97" s="62"/>
      <c r="L97" s="63"/>
      <c r="M97" s="63"/>
      <c r="N97" s="63"/>
      <c r="O97" s="63"/>
      <c r="P97" s="63"/>
      <c r="Q97" s="63"/>
      <c r="R97" s="63"/>
      <c r="S97" s="63"/>
      <c r="T97" s="6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</row>
    <row r="98" spans="1:36" x14ac:dyDescent="0.25">
      <c r="A98" s="13"/>
      <c r="B98" s="13"/>
      <c r="C98" s="13"/>
      <c r="D98" s="13"/>
      <c r="E98" s="13"/>
      <c r="F98" s="62"/>
      <c r="G98" s="62"/>
      <c r="H98" s="62"/>
      <c r="I98" s="62"/>
      <c r="J98" s="62"/>
      <c r="K98" s="62"/>
      <c r="L98" s="63"/>
      <c r="M98" s="63"/>
      <c r="N98" s="63"/>
      <c r="O98" s="63"/>
      <c r="P98" s="63"/>
      <c r="Q98" s="63"/>
      <c r="R98" s="63"/>
      <c r="S98" s="63"/>
      <c r="T98" s="6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</row>
    <row r="99" spans="1:36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</row>
    <row r="100" spans="1:36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</row>
    <row r="101" spans="1:36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</row>
    <row r="102" spans="1:36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</row>
    <row r="103" spans="1:36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</row>
    <row r="104" spans="1:36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</row>
    <row r="105" spans="1:36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</row>
    <row r="106" spans="1:36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</row>
    <row r="107" spans="1:36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</row>
    <row r="108" spans="1:36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</row>
    <row r="109" spans="1:36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</row>
    <row r="110" spans="1:36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</row>
    <row r="111" spans="1:36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</row>
    <row r="112" spans="1:36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</row>
    <row r="113" spans="1:36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</row>
    <row r="114" spans="1:36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</row>
    <row r="115" spans="1:36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</row>
    <row r="116" spans="1:36" x14ac:dyDescent="0.25"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</row>
    <row r="117" spans="1:36" x14ac:dyDescent="0.25"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</row>
    <row r="118" spans="1:36" x14ac:dyDescent="0.25"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</row>
    <row r="119" spans="1:36" x14ac:dyDescent="0.25"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</row>
    <row r="120" spans="1:36" x14ac:dyDescent="0.25"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</row>
    <row r="121" spans="1:36" x14ac:dyDescent="0.25"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</row>
    <row r="122" spans="1:36" x14ac:dyDescent="0.25"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</row>
    <row r="123" spans="1:36" x14ac:dyDescent="0.25"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</row>
    <row r="124" spans="1:36" x14ac:dyDescent="0.25"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</row>
    <row r="125" spans="1:36" x14ac:dyDescent="0.25"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</row>
    <row r="126" spans="1:36" x14ac:dyDescent="0.25"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</row>
    <row r="127" spans="1:36" x14ac:dyDescent="0.25"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</row>
    <row r="128" spans="1:36" ht="36" x14ac:dyDescent="0.55000000000000004">
      <c r="F128" s="34"/>
    </row>
  </sheetData>
  <mergeCells count="20">
    <mergeCell ref="S49:T49"/>
    <mergeCell ref="S57:V57"/>
    <mergeCell ref="A8:C8"/>
    <mergeCell ref="A24:C24"/>
    <mergeCell ref="B2:F5"/>
    <mergeCell ref="G1:O6"/>
    <mergeCell ref="Q72:Q74"/>
    <mergeCell ref="Q9:Q18"/>
    <mergeCell ref="Q19:Q36"/>
    <mergeCell ref="P2:S5"/>
    <mergeCell ref="E9:E18"/>
    <mergeCell ref="E19:E36"/>
    <mergeCell ref="E37:E54"/>
    <mergeCell ref="E55:E71"/>
    <mergeCell ref="S8:U8"/>
    <mergeCell ref="S24:U24"/>
    <mergeCell ref="G7:O7"/>
    <mergeCell ref="S41:V41"/>
    <mergeCell ref="S58:V58"/>
    <mergeCell ref="A7:C7"/>
  </mergeCells>
  <hyperlinks>
    <hyperlink ref="S10" location="'Activity visualise'!A1" display="Track Report" xr:uid="{3D2A56D5-C43A-40A0-94C5-4EB5813F42B6}"/>
    <hyperlink ref="A10" location="'Activity visualise'!A1" display="Track Report" xr:uid="{90ADD37A-FDCD-49A5-A300-7577D74E8C80}"/>
    <hyperlink ref="A26" location="'Activity visualise'!A1" display="Track Report" xr:uid="{79657292-4904-4585-AC8E-D4D71609466F}"/>
    <hyperlink ref="S26" location="'Activity visualise'!A1" display="Track Report" xr:uid="{8600D9FA-711F-4B9C-9ACF-9A64909C38E6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D3CF9-01E7-4B77-BA08-4A5CEF559894}">
  <sheetPr codeName="Sheet1"/>
  <dimension ref="C1:Y36"/>
  <sheetViews>
    <sheetView tabSelected="1" workbookViewId="0">
      <selection activeCell="Q58" sqref="Q58"/>
    </sheetView>
  </sheetViews>
  <sheetFormatPr defaultRowHeight="15" x14ac:dyDescent="0.25"/>
  <cols>
    <col min="1" max="2" width="9.140625" style="79"/>
    <col min="3" max="3" width="7.140625" style="79" customWidth="1"/>
    <col min="4" max="6" width="9.140625" style="79"/>
    <col min="7" max="7" width="9.85546875" style="79" customWidth="1"/>
    <col min="8" max="12" width="9.140625" style="79"/>
    <col min="13" max="13" width="11.7109375" style="79" customWidth="1"/>
    <col min="14" max="16384" width="9.140625" style="79"/>
  </cols>
  <sheetData>
    <row r="1" spans="3:25" ht="15" customHeight="1" x14ac:dyDescent="0.6">
      <c r="C1" s="80"/>
      <c r="D1" s="81"/>
      <c r="E1" s="81"/>
      <c r="F1" s="81"/>
      <c r="G1" s="82"/>
      <c r="H1" s="82"/>
      <c r="I1" s="82"/>
      <c r="J1" s="149">
        <f ca="1">NOW()</f>
        <v>44970.839737152775</v>
      </c>
      <c r="K1" s="150"/>
      <c r="L1" s="92"/>
      <c r="M1" s="92"/>
      <c r="N1" s="92"/>
      <c r="O1" s="92"/>
      <c r="P1" s="92"/>
      <c r="Q1" s="92"/>
      <c r="R1" s="145">
        <f ca="1">TODAY()</f>
        <v>44970</v>
      </c>
      <c r="S1" s="146"/>
      <c r="T1" s="82"/>
      <c r="U1" s="82"/>
      <c r="V1" s="83"/>
      <c r="W1" s="83"/>
      <c r="X1" s="83"/>
      <c r="Y1" s="83"/>
    </row>
    <row r="2" spans="3:25" ht="15" customHeight="1" x14ac:dyDescent="0.6">
      <c r="C2" s="81"/>
      <c r="D2" s="81"/>
      <c r="E2" s="81"/>
      <c r="F2" s="81"/>
      <c r="G2" s="82"/>
      <c r="H2" s="82"/>
      <c r="I2" s="82"/>
      <c r="J2" s="151"/>
      <c r="K2" s="152"/>
      <c r="L2" s="92"/>
      <c r="M2" s="92"/>
      <c r="N2" s="92"/>
      <c r="O2" s="92"/>
      <c r="P2" s="92"/>
      <c r="Q2" s="92"/>
      <c r="R2" s="147"/>
      <c r="S2" s="148"/>
      <c r="T2" s="82"/>
      <c r="U2" s="82"/>
      <c r="V2" s="83"/>
      <c r="W2" s="83"/>
      <c r="X2" s="83"/>
      <c r="Y2" s="83"/>
    </row>
    <row r="3" spans="3:25" ht="15" customHeight="1" x14ac:dyDescent="0.25">
      <c r="C3" s="81"/>
      <c r="D3" s="81"/>
      <c r="E3" s="81"/>
      <c r="F3" s="81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3"/>
      <c r="W3" s="83"/>
      <c r="X3" s="83"/>
      <c r="Y3" s="83"/>
    </row>
    <row r="36" spans="23:23" x14ac:dyDescent="0.25">
      <c r="W36" s="79" t="s">
        <v>37</v>
      </c>
    </row>
  </sheetData>
  <mergeCells count="2">
    <mergeCell ref="R1:S2"/>
    <mergeCell ref="J1:K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DATA SET</vt:lpstr>
      <vt:lpstr>Track Data </vt:lpstr>
      <vt:lpstr>Data visualise</vt:lpstr>
      <vt:lpstr>ACTIVITY</vt:lpstr>
      <vt:lpstr>hr</vt:lpstr>
      <vt:lpstr>MOOD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2023-02-09T07:08:33Z</dcterms:created>
  <dcterms:modified xsi:type="dcterms:W3CDTF">2023-02-13T14:54:34Z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2023-02-09T08:04:06Z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6fde6604-c245-4ff2-ab6e-0c154182fef4</vt:lpwstr>
  </property>
  <property fmtid="{D5CDD505-2E9C-101B-9397-08002B2CF9AE}" pid="7" name="MSIP_Label_defa4170-0d19-0005-0004-bc88714345d2_ActionId">
    <vt:lpwstr>82fedb26-8f01-4a64-a390-05f15e766b49</vt:lpwstr>
  </property>
  <property fmtid="{D5CDD505-2E9C-101B-9397-08002B2CF9AE}" pid="8" name="MSIP_Label_defa4170-0d19-0005-0004-bc88714345d2_ContentBits">
    <vt:lpwstr>0</vt:lpwstr>
  </property>
</Properties>
</file>