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Budget\"/>
    </mc:Choice>
  </mc:AlternateContent>
  <bookViews>
    <workbookView xWindow="0" yWindow="0" windowWidth="20490" windowHeight="7755"/>
  </bookViews>
  <sheets>
    <sheet name="Data Input" sheetId="7" r:id="rId1"/>
    <sheet name="Main Info" sheetId="2" r:id="rId2"/>
    <sheet name="Mortgage Sheet" sheetId="1" r:id="rId3"/>
    <sheet name="Spending" sheetId="4" r:id="rId4"/>
    <sheet name="Tax Information" sheetId="6" r:id="rId5"/>
    <sheet name="Change Log" sheetId="8" r:id="rId6"/>
    <sheet name="Student Loans" sheetId="9" r:id="rId7"/>
    <sheet name="Credit Card Deb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G2" i="9"/>
  <c r="G3" i="9"/>
  <c r="H5" i="7"/>
  <c r="E13" i="7"/>
  <c r="E14" i="7"/>
  <c r="A6" i="1" l="1"/>
  <c r="E3" i="7"/>
  <c r="G3" i="10"/>
  <c r="G2" i="10"/>
  <c r="G1" i="10"/>
  <c r="E1" i="10" s="1"/>
  <c r="C45" i="10"/>
  <c r="C44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G1" i="9"/>
  <c r="K5" i="9" s="1"/>
  <c r="G2" i="1"/>
  <c r="G3" i="1"/>
  <c r="G1" i="1"/>
  <c r="L2" i="1"/>
  <c r="K2" i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C45" i="9"/>
  <c r="K5" i="10" l="1"/>
  <c r="H5" i="10"/>
  <c r="I5" i="10"/>
  <c r="F5" i="10" s="1"/>
  <c r="E1" i="9"/>
  <c r="C44" i="9"/>
  <c r="H5" i="9"/>
  <c r="J5" i="9" s="1"/>
  <c r="I5" i="9"/>
  <c r="F5" i="9" s="1"/>
  <c r="B4" i="8"/>
  <c r="B5" i="8"/>
  <c r="B6" i="8"/>
  <c r="B7" i="8" s="1"/>
  <c r="B8" i="8" s="1"/>
  <c r="B9" i="8" s="1"/>
  <c r="B10" i="8" s="1"/>
  <c r="B11" i="8" s="1"/>
  <c r="B12" i="8" s="1"/>
  <c r="B13" i="8" s="1"/>
  <c r="B14" i="8" s="1"/>
  <c r="B15" i="8" s="1"/>
  <c r="B3" i="8"/>
  <c r="C15" i="6"/>
  <c r="C6" i="6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G5" i="10" l="1"/>
  <c r="K6" i="10" s="1"/>
  <c r="K3" i="10"/>
  <c r="O11" i="7" s="1"/>
  <c r="J5" i="10"/>
  <c r="G5" i="9"/>
  <c r="K6" i="9" s="1"/>
  <c r="K3" i="9"/>
  <c r="L11" i="7" s="1"/>
  <c r="A25" i="6"/>
  <c r="G5" i="7" l="1"/>
  <c r="I6" i="10"/>
  <c r="F6" i="10" s="1"/>
  <c r="H6" i="10"/>
  <c r="I6" i="9"/>
  <c r="F6" i="9" s="1"/>
  <c r="H6" i="9"/>
  <c r="J6" i="9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E8" i="7"/>
  <c r="E18" i="7"/>
  <c r="B18" i="7"/>
  <c r="B8" i="7"/>
  <c r="B5" i="7"/>
  <c r="B27" i="7"/>
  <c r="F33" i="4"/>
  <c r="F34" i="4"/>
  <c r="F35" i="4"/>
  <c r="F36" i="4"/>
  <c r="F37" i="4"/>
  <c r="F38" i="4"/>
  <c r="F39" i="4"/>
  <c r="F40" i="4"/>
  <c r="F41" i="4"/>
  <c r="F42" i="4"/>
  <c r="S3" i="4"/>
  <c r="R3" i="4"/>
  <c r="Q3" i="4"/>
  <c r="O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M3" i="4"/>
  <c r="L3" i="4"/>
  <c r="K3" i="4"/>
  <c r="J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" i="2"/>
  <c r="A1" i="2"/>
  <c r="I24" i="7"/>
  <c r="I25" i="7" s="1"/>
  <c r="L5" i="7" s="1"/>
  <c r="I9" i="4" s="1"/>
  <c r="B2" i="2" l="1"/>
  <c r="G6" i="10"/>
  <c r="K7" i="10" s="1"/>
  <c r="C6" i="10"/>
  <c r="J6" i="10"/>
  <c r="G6" i="9"/>
  <c r="K7" i="9" s="1"/>
  <c r="C6" i="9"/>
  <c r="C44" i="1"/>
  <c r="C45" i="1"/>
  <c r="I12" i="4"/>
  <c r="I42" i="4"/>
  <c r="I26" i="4"/>
  <c r="I10" i="4"/>
  <c r="I39" i="4"/>
  <c r="I23" i="4"/>
  <c r="I7" i="4"/>
  <c r="I27" i="4"/>
  <c r="I4" i="4"/>
  <c r="I35" i="4"/>
  <c r="I19" i="4"/>
  <c r="I36" i="4"/>
  <c r="I34" i="4"/>
  <c r="I18" i="4"/>
  <c r="I28" i="4"/>
  <c r="I11" i="4"/>
  <c r="I20" i="4"/>
  <c r="I31" i="4"/>
  <c r="I15" i="4"/>
  <c r="I40" i="4"/>
  <c r="I32" i="4"/>
  <c r="I24" i="4"/>
  <c r="I16" i="4"/>
  <c r="I8" i="4"/>
  <c r="I38" i="4"/>
  <c r="I30" i="4"/>
  <c r="I22" i="4"/>
  <c r="I14" i="4"/>
  <c r="I6" i="4"/>
  <c r="I3" i="4"/>
  <c r="I37" i="4"/>
  <c r="I29" i="4"/>
  <c r="I21" i="4"/>
  <c r="I13" i="4"/>
  <c r="I5" i="4"/>
  <c r="I41" i="4"/>
  <c r="I33" i="4"/>
  <c r="I25" i="4"/>
  <c r="I17" i="4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D2" i="2" l="1"/>
  <c r="I7" i="10"/>
  <c r="F7" i="10" s="1"/>
  <c r="H7" i="10"/>
  <c r="I7" i="9"/>
  <c r="F7" i="9" s="1"/>
  <c r="H7" i="9"/>
  <c r="J7" i="9" s="1"/>
  <c r="C2" i="2"/>
  <c r="P2" i="2" s="1"/>
  <c r="E1" i="1"/>
  <c r="H14" i="6"/>
  <c r="H15" i="6"/>
  <c r="H16" i="6"/>
  <c r="H17" i="6"/>
  <c r="H18" i="6"/>
  <c r="H19" i="6"/>
  <c r="H20" i="6"/>
  <c r="H13" i="6"/>
  <c r="G11" i="6"/>
  <c r="F11" i="6"/>
  <c r="H11" i="6"/>
  <c r="I11" i="6"/>
  <c r="J11" i="6"/>
  <c r="E11" i="6"/>
  <c r="E27" i="7"/>
  <c r="F27" i="7" s="1"/>
  <c r="E16" i="7"/>
  <c r="G7" i="10" l="1"/>
  <c r="K8" i="10" s="1"/>
  <c r="J7" i="10"/>
  <c r="G7" i="9"/>
  <c r="K8" i="9" s="1"/>
  <c r="I5" i="7"/>
  <c r="F3" i="4"/>
  <c r="B28" i="7"/>
  <c r="C27" i="7"/>
  <c r="E12" i="7"/>
  <c r="I8" i="10" l="1"/>
  <c r="F8" i="10" s="1"/>
  <c r="H8" i="10"/>
  <c r="J8" i="10" s="1"/>
  <c r="I8" i="9"/>
  <c r="F8" i="9" s="1"/>
  <c r="H8" i="9"/>
  <c r="J8" i="9" s="1"/>
  <c r="E28" i="7"/>
  <c r="F28" i="7" s="1"/>
  <c r="F4" i="4" s="1"/>
  <c r="C28" i="7"/>
  <c r="B29" i="7"/>
  <c r="E1" i="2"/>
  <c r="B1" i="2"/>
  <c r="E17" i="7"/>
  <c r="E10" i="7"/>
  <c r="E11" i="7"/>
  <c r="E15" i="7"/>
  <c r="E9" i="7"/>
  <c r="G8" i="10" l="1"/>
  <c r="K9" i="10" s="1"/>
  <c r="G8" i="9"/>
  <c r="K9" i="9" s="1"/>
  <c r="E29" i="7"/>
  <c r="F29" i="7" s="1"/>
  <c r="F5" i="4" s="1"/>
  <c r="B30" i="7"/>
  <c r="C29" i="7"/>
  <c r="A3" i="2"/>
  <c r="I9" i="10" l="1"/>
  <c r="F9" i="10" s="1"/>
  <c r="H9" i="10"/>
  <c r="J9" i="10" s="1"/>
  <c r="I9" i="9"/>
  <c r="F9" i="9" s="1"/>
  <c r="H9" i="9"/>
  <c r="J9" i="9" s="1"/>
  <c r="E3" i="2"/>
  <c r="B3" i="2"/>
  <c r="B31" i="7"/>
  <c r="E30" i="7"/>
  <c r="F30" i="7" s="1"/>
  <c r="F6" i="4" s="1"/>
  <c r="C30" i="7"/>
  <c r="A4" i="2"/>
  <c r="G9" i="10" l="1"/>
  <c r="K10" i="10" s="1"/>
  <c r="G9" i="9"/>
  <c r="K10" i="9" s="1"/>
  <c r="D3" i="2"/>
  <c r="B4" i="2"/>
  <c r="E4" i="2"/>
  <c r="C3" i="2"/>
  <c r="P3" i="2" s="1"/>
  <c r="B32" i="7"/>
  <c r="E31" i="7"/>
  <c r="F31" i="7" s="1"/>
  <c r="F7" i="4" s="1"/>
  <c r="C31" i="7"/>
  <c r="A5" i="2"/>
  <c r="I10" i="10" l="1"/>
  <c r="F10" i="10" s="1"/>
  <c r="H10" i="10"/>
  <c r="J10" i="10" s="1"/>
  <c r="I10" i="9"/>
  <c r="F10" i="9" s="1"/>
  <c r="H10" i="9"/>
  <c r="J10" i="9" s="1"/>
  <c r="C4" i="2"/>
  <c r="P4" i="2" s="1"/>
  <c r="D4" i="2"/>
  <c r="B5" i="2"/>
  <c r="E5" i="2"/>
  <c r="B33" i="7"/>
  <c r="E32" i="7"/>
  <c r="F32" i="7" s="1"/>
  <c r="F8" i="4" s="1"/>
  <c r="C32" i="7"/>
  <c r="A6" i="2"/>
  <c r="G10" i="10" l="1"/>
  <c r="K11" i="10" s="1"/>
  <c r="H11" i="10" s="1"/>
  <c r="J11" i="10" s="1"/>
  <c r="I11" i="10"/>
  <c r="F11" i="10" s="1"/>
  <c r="G10" i="9"/>
  <c r="K11" i="9" s="1"/>
  <c r="I11" i="9" s="1"/>
  <c r="F11" i="9" s="1"/>
  <c r="C5" i="2"/>
  <c r="P5" i="2" s="1"/>
  <c r="D5" i="2"/>
  <c r="E6" i="2"/>
  <c r="B6" i="2"/>
  <c r="D6" i="2" s="1"/>
  <c r="B34" i="7"/>
  <c r="E33" i="7"/>
  <c r="F33" i="7" s="1"/>
  <c r="F9" i="4" s="1"/>
  <c r="C33" i="7"/>
  <c r="A7" i="2"/>
  <c r="G11" i="10" l="1"/>
  <c r="K12" i="10" s="1"/>
  <c r="H12" i="10" s="1"/>
  <c r="J12" i="10" s="1"/>
  <c r="H11" i="9"/>
  <c r="J11" i="9" s="1"/>
  <c r="C6" i="2"/>
  <c r="P6" i="2" s="1"/>
  <c r="E7" i="2"/>
  <c r="B7" i="2"/>
  <c r="D7" i="2" s="1"/>
  <c r="B35" i="7"/>
  <c r="E34" i="7"/>
  <c r="F34" i="7" s="1"/>
  <c r="F10" i="4" s="1"/>
  <c r="C34" i="7"/>
  <c r="A8" i="2"/>
  <c r="L5" i="2"/>
  <c r="M5" i="2"/>
  <c r="I12" i="10" l="1"/>
  <c r="F12" i="10" s="1"/>
  <c r="G12" i="10" s="1"/>
  <c r="K13" i="10" s="1"/>
  <c r="G11" i="9"/>
  <c r="K12" i="9" s="1"/>
  <c r="H12" i="9" s="1"/>
  <c r="J12" i="9" s="1"/>
  <c r="C7" i="2"/>
  <c r="P7" i="2" s="1"/>
  <c r="B8" i="2"/>
  <c r="C8" i="2" s="1"/>
  <c r="E8" i="2"/>
  <c r="B36" i="7"/>
  <c r="E35" i="7"/>
  <c r="F35" i="7" s="1"/>
  <c r="F11" i="4" s="1"/>
  <c r="C35" i="7"/>
  <c r="A9" i="2"/>
  <c r="L3" i="2"/>
  <c r="L4" i="2"/>
  <c r="H13" i="10" l="1"/>
  <c r="J13" i="10" s="1"/>
  <c r="I13" i="10"/>
  <c r="F13" i="10" s="1"/>
  <c r="G13" i="10" s="1"/>
  <c r="K14" i="10" s="1"/>
  <c r="P8" i="2"/>
  <c r="I12" i="9"/>
  <c r="F12" i="9" s="1"/>
  <c r="G12" i="9" s="1"/>
  <c r="K13" i="9" s="1"/>
  <c r="I13" i="9" s="1"/>
  <c r="F13" i="9" s="1"/>
  <c r="B9" i="2"/>
  <c r="C9" i="2" s="1"/>
  <c r="E9" i="2"/>
  <c r="D8" i="2"/>
  <c r="B37" i="7"/>
  <c r="E36" i="7"/>
  <c r="F36" i="7" s="1"/>
  <c r="F12" i="4" s="1"/>
  <c r="C36" i="7"/>
  <c r="A10" i="2"/>
  <c r="I14" i="10" l="1"/>
  <c r="F14" i="10" s="1"/>
  <c r="G14" i="10" s="1"/>
  <c r="K15" i="10" s="1"/>
  <c r="I15" i="10" s="1"/>
  <c r="F15" i="10" s="1"/>
  <c r="H14" i="10"/>
  <c r="J14" i="10" s="1"/>
  <c r="P9" i="2"/>
  <c r="H13" i="9"/>
  <c r="J13" i="9" s="1"/>
  <c r="D9" i="2"/>
  <c r="E10" i="2"/>
  <c r="B10" i="2"/>
  <c r="D10" i="2" s="1"/>
  <c r="B38" i="7"/>
  <c r="E37" i="7"/>
  <c r="F37" i="7" s="1"/>
  <c r="F13" i="4" s="1"/>
  <c r="C37" i="7"/>
  <c r="A11" i="2"/>
  <c r="H15" i="10" l="1"/>
  <c r="J15" i="10" s="1"/>
  <c r="G13" i="9"/>
  <c r="K14" i="9" s="1"/>
  <c r="E11" i="2"/>
  <c r="B11" i="2"/>
  <c r="D11" i="2" s="1"/>
  <c r="C10" i="2"/>
  <c r="P10" i="2" s="1"/>
  <c r="B39" i="7"/>
  <c r="E38" i="7"/>
  <c r="F38" i="7" s="1"/>
  <c r="F14" i="4" s="1"/>
  <c r="C38" i="7"/>
  <c r="A12" i="2"/>
  <c r="G15" i="10" l="1"/>
  <c r="K16" i="10" s="1"/>
  <c r="I16" i="10" s="1"/>
  <c r="F16" i="10" s="1"/>
  <c r="B6" i="10" s="1"/>
  <c r="B12" i="2"/>
  <c r="C12" i="2" s="1"/>
  <c r="I14" i="9"/>
  <c r="F14" i="9" s="1"/>
  <c r="H14" i="9"/>
  <c r="J14" i="9" s="1"/>
  <c r="E12" i="2"/>
  <c r="C11" i="2"/>
  <c r="P11" i="2" s="1"/>
  <c r="B40" i="7"/>
  <c r="E39" i="7"/>
  <c r="F39" i="7" s="1"/>
  <c r="F15" i="4" s="1"/>
  <c r="C39" i="7"/>
  <c r="A13" i="2"/>
  <c r="H16" i="10" l="1"/>
  <c r="J16" i="10" s="1"/>
  <c r="P12" i="2"/>
  <c r="G16" i="10"/>
  <c r="K17" i="10" s="1"/>
  <c r="H17" i="10" s="1"/>
  <c r="J17" i="10" s="1"/>
  <c r="B13" i="2"/>
  <c r="C13" i="2" s="1"/>
  <c r="G14" i="9"/>
  <c r="K15" i="9" s="1"/>
  <c r="H15" i="9" s="1"/>
  <c r="J15" i="9" s="1"/>
  <c r="D12" i="2"/>
  <c r="E13" i="2"/>
  <c r="B41" i="7"/>
  <c r="E40" i="7"/>
  <c r="F40" i="7" s="1"/>
  <c r="F16" i="4" s="1"/>
  <c r="C40" i="7"/>
  <c r="A14" i="2"/>
  <c r="L6" i="2"/>
  <c r="Q5" i="2"/>
  <c r="I17" i="10" l="1"/>
  <c r="F17" i="10" s="1"/>
  <c r="G17" i="10" s="1"/>
  <c r="K18" i="10" s="1"/>
  <c r="I15" i="9"/>
  <c r="F15" i="9" s="1"/>
  <c r="G15" i="9" s="1"/>
  <c r="K16" i="9" s="1"/>
  <c r="H16" i="9" s="1"/>
  <c r="J16" i="9" s="1"/>
  <c r="P13" i="2"/>
  <c r="B14" i="2"/>
  <c r="D14" i="2" s="1"/>
  <c r="D13" i="2"/>
  <c r="E14" i="2"/>
  <c r="B42" i="7"/>
  <c r="E41" i="7"/>
  <c r="F41" i="7" s="1"/>
  <c r="F17" i="4" s="1"/>
  <c r="C41" i="7"/>
  <c r="A15" i="2"/>
  <c r="L7" i="2"/>
  <c r="I16" i="9" l="1"/>
  <c r="F16" i="9" s="1"/>
  <c r="G16" i="9" s="1"/>
  <c r="K17" i="9" s="1"/>
  <c r="B15" i="2"/>
  <c r="D15" i="2" s="1"/>
  <c r="I18" i="10"/>
  <c r="F18" i="10" s="1"/>
  <c r="H18" i="10"/>
  <c r="C14" i="2"/>
  <c r="P14" i="2" s="1"/>
  <c r="E15" i="2"/>
  <c r="B43" i="7"/>
  <c r="E42" i="7"/>
  <c r="F42" i="7" s="1"/>
  <c r="F18" i="4" s="1"/>
  <c r="C42" i="7"/>
  <c r="A16" i="2"/>
  <c r="L8" i="2"/>
  <c r="B6" i="9" l="1"/>
  <c r="D3" i="4" s="1"/>
  <c r="H2" i="2"/>
  <c r="B16" i="2"/>
  <c r="D16" i="2" s="1"/>
  <c r="G18" i="10"/>
  <c r="K19" i="10" s="1"/>
  <c r="C7" i="10"/>
  <c r="J18" i="10"/>
  <c r="I17" i="9"/>
  <c r="F17" i="9" s="1"/>
  <c r="H17" i="9"/>
  <c r="J17" i="9" s="1"/>
  <c r="C15" i="2"/>
  <c r="P15" i="2" s="1"/>
  <c r="E16" i="2"/>
  <c r="B44" i="7"/>
  <c r="E43" i="7"/>
  <c r="F43" i="7" s="1"/>
  <c r="F19" i="4" s="1"/>
  <c r="C43" i="7"/>
  <c r="A17" i="2"/>
  <c r="L9" i="2"/>
  <c r="B17" i="2" l="1"/>
  <c r="I19" i="10"/>
  <c r="F19" i="10" s="1"/>
  <c r="H19" i="10"/>
  <c r="G17" i="9"/>
  <c r="K18" i="9" s="1"/>
  <c r="C16" i="2"/>
  <c r="P16" i="2" s="1"/>
  <c r="C17" i="2"/>
  <c r="E17" i="2"/>
  <c r="B45" i="7"/>
  <c r="E44" i="7"/>
  <c r="F44" i="7" s="1"/>
  <c r="F20" i="4" s="1"/>
  <c r="C44" i="7"/>
  <c r="A18" i="2"/>
  <c r="L10" i="2"/>
  <c r="P17" i="2" l="1"/>
  <c r="B18" i="2"/>
  <c r="J19" i="10"/>
  <c r="G19" i="10"/>
  <c r="K20" i="10" s="1"/>
  <c r="I18" i="9"/>
  <c r="F18" i="9" s="1"/>
  <c r="H18" i="9"/>
  <c r="D17" i="2"/>
  <c r="E18" i="2"/>
  <c r="D18" i="2"/>
  <c r="E45" i="7"/>
  <c r="F45" i="7" s="1"/>
  <c r="F21" i="4" s="1"/>
  <c r="C45" i="7"/>
  <c r="B46" i="7"/>
  <c r="A19" i="2"/>
  <c r="L11" i="2"/>
  <c r="B19" i="2" l="1"/>
  <c r="I20" i="10"/>
  <c r="F20" i="10" s="1"/>
  <c r="H20" i="10"/>
  <c r="J20" i="10" s="1"/>
  <c r="J18" i="9"/>
  <c r="C7" i="9"/>
  <c r="G18" i="9"/>
  <c r="K19" i="9" s="1"/>
  <c r="C18" i="2"/>
  <c r="P18" i="2" s="1"/>
  <c r="E19" i="2"/>
  <c r="D19" i="2"/>
  <c r="B47" i="7"/>
  <c r="E46" i="7"/>
  <c r="F46" i="7" s="1"/>
  <c r="F22" i="4" s="1"/>
  <c r="C46" i="7"/>
  <c r="A20" i="2"/>
  <c r="L12" i="2"/>
  <c r="B20" i="2" l="1"/>
  <c r="C20" i="2" s="1"/>
  <c r="G20" i="10"/>
  <c r="K21" i="10" s="1"/>
  <c r="I19" i="9"/>
  <c r="F19" i="9" s="1"/>
  <c r="H19" i="9"/>
  <c r="J19" i="9" s="1"/>
  <c r="C19" i="2"/>
  <c r="P19" i="2" s="1"/>
  <c r="E20" i="2"/>
  <c r="B48" i="7"/>
  <c r="E47" i="7"/>
  <c r="F47" i="7" s="1"/>
  <c r="F23" i="4" s="1"/>
  <c r="C47" i="7"/>
  <c r="A21" i="2"/>
  <c r="L13" i="2"/>
  <c r="P20" i="2" l="1"/>
  <c r="B21" i="2"/>
  <c r="I21" i="10"/>
  <c r="F21" i="10" s="1"/>
  <c r="H21" i="10"/>
  <c r="J21" i="10" s="1"/>
  <c r="G19" i="9"/>
  <c r="K20" i="9" s="1"/>
  <c r="D20" i="2"/>
  <c r="C21" i="2"/>
  <c r="E21" i="2"/>
  <c r="B49" i="7"/>
  <c r="E48" i="7"/>
  <c r="F48" i="7" s="1"/>
  <c r="F24" i="4" s="1"/>
  <c r="C48" i="7"/>
  <c r="A22" i="2"/>
  <c r="L14" i="2"/>
  <c r="P21" i="2" l="1"/>
  <c r="B22" i="2"/>
  <c r="D22" i="2" s="1"/>
  <c r="G21" i="10"/>
  <c r="K22" i="10" s="1"/>
  <c r="H20" i="9"/>
  <c r="J20" i="9" s="1"/>
  <c r="I20" i="9"/>
  <c r="F20" i="9" s="1"/>
  <c r="D21" i="2"/>
  <c r="E22" i="2"/>
  <c r="B50" i="7"/>
  <c r="E49" i="7"/>
  <c r="F49" i="7" s="1"/>
  <c r="F25" i="4" s="1"/>
  <c r="C49" i="7"/>
  <c r="A23" i="2"/>
  <c r="L15" i="2"/>
  <c r="G20" i="9" l="1"/>
  <c r="K21" i="9" s="1"/>
  <c r="I21" i="9" s="1"/>
  <c r="F21" i="9" s="1"/>
  <c r="B23" i="2"/>
  <c r="D23" i="2" s="1"/>
  <c r="I22" i="10"/>
  <c r="F22" i="10" s="1"/>
  <c r="H22" i="10"/>
  <c r="J22" i="10" s="1"/>
  <c r="H21" i="9"/>
  <c r="J21" i="9" s="1"/>
  <c r="E23" i="2"/>
  <c r="C22" i="2"/>
  <c r="P22" i="2" s="1"/>
  <c r="B51" i="7"/>
  <c r="E50" i="7"/>
  <c r="F50" i="7" s="1"/>
  <c r="F26" i="4" s="1"/>
  <c r="C50" i="7"/>
  <c r="A24" i="2"/>
  <c r="L16" i="2"/>
  <c r="G22" i="10" l="1"/>
  <c r="K23" i="10" s="1"/>
  <c r="I23" i="10" s="1"/>
  <c r="F23" i="10" s="1"/>
  <c r="G23" i="10" s="1"/>
  <c r="K24" i="10" s="1"/>
  <c r="B24" i="2"/>
  <c r="C24" i="2" s="1"/>
  <c r="H23" i="10"/>
  <c r="J23" i="10" s="1"/>
  <c r="G21" i="9"/>
  <c r="K22" i="9" s="1"/>
  <c r="I22" i="9" s="1"/>
  <c r="F22" i="9" s="1"/>
  <c r="C23" i="2"/>
  <c r="P23" i="2" s="1"/>
  <c r="E24" i="2"/>
  <c r="E51" i="7"/>
  <c r="F51" i="7" s="1"/>
  <c r="F27" i="4" s="1"/>
  <c r="B52" i="7"/>
  <c r="C51" i="7"/>
  <c r="A25" i="2"/>
  <c r="L17" i="2"/>
  <c r="H22" i="9" l="1"/>
  <c r="J22" i="9" s="1"/>
  <c r="P24" i="2"/>
  <c r="B25" i="2"/>
  <c r="C25" i="2" s="1"/>
  <c r="I24" i="10"/>
  <c r="F24" i="10" s="1"/>
  <c r="H24" i="10"/>
  <c r="J24" i="10" s="1"/>
  <c r="D24" i="2"/>
  <c r="E25" i="2"/>
  <c r="E52" i="7"/>
  <c r="F52" i="7" s="1"/>
  <c r="F28" i="4" s="1"/>
  <c r="C52" i="7"/>
  <c r="B53" i="7"/>
  <c r="A26" i="2"/>
  <c r="L18" i="2"/>
  <c r="G22" i="9" l="1"/>
  <c r="K23" i="9" s="1"/>
  <c r="I23" i="9" s="1"/>
  <c r="F23" i="9" s="1"/>
  <c r="P25" i="2"/>
  <c r="G24" i="10"/>
  <c r="K25" i="10" s="1"/>
  <c r="H25" i="10" s="1"/>
  <c r="J25" i="10" s="1"/>
  <c r="B26" i="2"/>
  <c r="D26" i="2" s="1"/>
  <c r="H23" i="9"/>
  <c r="J23" i="9" s="1"/>
  <c r="D25" i="2"/>
  <c r="E26" i="2"/>
  <c r="E53" i="7"/>
  <c r="F53" i="7" s="1"/>
  <c r="F29" i="4" s="1"/>
  <c r="B54" i="7"/>
  <c r="C53" i="7"/>
  <c r="A27" i="2"/>
  <c r="L19" i="2"/>
  <c r="I25" i="10" l="1"/>
  <c r="F25" i="10" s="1"/>
  <c r="G25" i="10" s="1"/>
  <c r="K26" i="10" s="1"/>
  <c r="B27" i="2"/>
  <c r="D27" i="2" s="1"/>
  <c r="G23" i="9"/>
  <c r="K24" i="9" s="1"/>
  <c r="I24" i="9" s="1"/>
  <c r="F24" i="9" s="1"/>
  <c r="C26" i="2"/>
  <c r="P26" i="2" s="1"/>
  <c r="E27" i="2"/>
  <c r="E54" i="7"/>
  <c r="F54" i="7" s="1"/>
  <c r="F30" i="4" s="1"/>
  <c r="B55" i="7"/>
  <c r="C54" i="7"/>
  <c r="A28" i="2"/>
  <c r="L20" i="2"/>
  <c r="B28" i="2" l="1"/>
  <c r="C28" i="2" s="1"/>
  <c r="I26" i="10"/>
  <c r="F26" i="10" s="1"/>
  <c r="H26" i="10"/>
  <c r="J26" i="10" s="1"/>
  <c r="H24" i="9"/>
  <c r="J24" i="9" s="1"/>
  <c r="C27" i="2"/>
  <c r="P27" i="2" s="1"/>
  <c r="E28" i="2"/>
  <c r="B56" i="7"/>
  <c r="E55" i="7"/>
  <c r="F55" i="7" s="1"/>
  <c r="F31" i="4" s="1"/>
  <c r="C55" i="7"/>
  <c r="A29" i="2"/>
  <c r="L21" i="2"/>
  <c r="P28" i="2" l="1"/>
  <c r="G26" i="10"/>
  <c r="K27" i="10" s="1"/>
  <c r="H27" i="10" s="1"/>
  <c r="J27" i="10" s="1"/>
  <c r="B29" i="2"/>
  <c r="C29" i="2" s="1"/>
  <c r="P29" i="2" s="1"/>
  <c r="I27" i="10"/>
  <c r="F27" i="10" s="1"/>
  <c r="G24" i="9"/>
  <c r="K25" i="9" s="1"/>
  <c r="D28" i="2"/>
  <c r="E29" i="2"/>
  <c r="E56" i="7"/>
  <c r="F56" i="7" s="1"/>
  <c r="F32" i="4" s="1"/>
  <c r="C56" i="7"/>
  <c r="A30" i="2"/>
  <c r="L22" i="2"/>
  <c r="G27" i="10" l="1"/>
  <c r="K28" i="10" s="1"/>
  <c r="H28" i="10" s="1"/>
  <c r="J28" i="10" s="1"/>
  <c r="B30" i="2"/>
  <c r="D30" i="2" s="1"/>
  <c r="I28" i="10"/>
  <c r="F28" i="10" s="1"/>
  <c r="I25" i="9"/>
  <c r="F25" i="9" s="1"/>
  <c r="H25" i="9"/>
  <c r="J25" i="9" s="1"/>
  <c r="D29" i="2"/>
  <c r="E30" i="2"/>
  <c r="A31" i="2"/>
  <c r="L23" i="2"/>
  <c r="G28" i="10" l="1"/>
  <c r="K29" i="10" s="1"/>
  <c r="B7" i="10"/>
  <c r="G25" i="9"/>
  <c r="K26" i="9" s="1"/>
  <c r="H26" i="9" s="1"/>
  <c r="J26" i="9" s="1"/>
  <c r="A32" i="2"/>
  <c r="B31" i="2"/>
  <c r="D31" i="2" s="1"/>
  <c r="E31" i="2"/>
  <c r="C30" i="2"/>
  <c r="P30" i="2" s="1"/>
  <c r="L24" i="2"/>
  <c r="I26" i="9" l="1"/>
  <c r="F26" i="9" s="1"/>
  <c r="G26" i="9" s="1"/>
  <c r="K27" i="9" s="1"/>
  <c r="I29" i="10"/>
  <c r="F29" i="10" s="1"/>
  <c r="H29" i="10"/>
  <c r="J29" i="10" s="1"/>
  <c r="A33" i="2"/>
  <c r="E32" i="2"/>
  <c r="B32" i="2"/>
  <c r="D32" i="2" s="1"/>
  <c r="C31" i="2"/>
  <c r="P31" i="2" s="1"/>
  <c r="L25" i="2"/>
  <c r="H27" i="9" l="1"/>
  <c r="J27" i="9" s="1"/>
  <c r="I27" i="9"/>
  <c r="F27" i="9" s="1"/>
  <c r="M32" i="2"/>
  <c r="Q32" i="2" s="1"/>
  <c r="G29" i="10"/>
  <c r="K30" i="10" s="1"/>
  <c r="C32" i="2"/>
  <c r="P32" i="2" s="1"/>
  <c r="L32" i="2"/>
  <c r="A34" i="2"/>
  <c r="B33" i="2"/>
  <c r="E33" i="2"/>
  <c r="L26" i="2"/>
  <c r="G27" i="9" l="1"/>
  <c r="K28" i="9" s="1"/>
  <c r="H28" i="9" s="1"/>
  <c r="J28" i="9" s="1"/>
  <c r="I30" i="10"/>
  <c r="F30" i="10" s="1"/>
  <c r="H30" i="10"/>
  <c r="C8" i="10" s="1"/>
  <c r="D33" i="2"/>
  <c r="M33" i="2" s="1"/>
  <c r="Q33" i="2" s="1"/>
  <c r="C33" i="2"/>
  <c r="P33" i="2" s="1"/>
  <c r="A35" i="2"/>
  <c r="B34" i="2"/>
  <c r="E34" i="2"/>
  <c r="L27" i="2"/>
  <c r="I28" i="9" l="1"/>
  <c r="F28" i="9" s="1"/>
  <c r="G28" i="9" s="1"/>
  <c r="K29" i="9" s="1"/>
  <c r="G30" i="10"/>
  <c r="K31" i="10" s="1"/>
  <c r="J30" i="10"/>
  <c r="L33" i="2"/>
  <c r="A36" i="2"/>
  <c r="E35" i="2"/>
  <c r="B35" i="2"/>
  <c r="C35" i="2" s="1"/>
  <c r="D34" i="2"/>
  <c r="L34" i="2" s="1"/>
  <c r="C34" i="2"/>
  <c r="P34" i="2" s="1"/>
  <c r="L28" i="2"/>
  <c r="I29" i="9" l="1"/>
  <c r="F29" i="9" s="1"/>
  <c r="H29" i="9"/>
  <c r="J29" i="9" s="1"/>
  <c r="B7" i="9"/>
  <c r="D4" i="4" s="1"/>
  <c r="P35" i="2"/>
  <c r="D35" i="2"/>
  <c r="L35" i="2" s="1"/>
  <c r="M34" i="2"/>
  <c r="Q34" i="2" s="1"/>
  <c r="I31" i="10"/>
  <c r="F31" i="10" s="1"/>
  <c r="H31" i="10"/>
  <c r="J31" i="10" s="1"/>
  <c r="A37" i="2"/>
  <c r="E36" i="2"/>
  <c r="B36" i="2"/>
  <c r="M35" i="2"/>
  <c r="Q35" i="2" s="1"/>
  <c r="L29" i="2"/>
  <c r="H3" i="2" l="1"/>
  <c r="G29" i="9"/>
  <c r="K30" i="9" s="1"/>
  <c r="H30" i="9" s="1"/>
  <c r="C8" i="9" s="1"/>
  <c r="G31" i="10"/>
  <c r="K32" i="10" s="1"/>
  <c r="C36" i="2"/>
  <c r="P36" i="2" s="1"/>
  <c r="A38" i="2"/>
  <c r="E37" i="2"/>
  <c r="B37" i="2"/>
  <c r="D36" i="2"/>
  <c r="M36" i="2" s="1"/>
  <c r="Q36" i="2" s="1"/>
  <c r="L2" i="2"/>
  <c r="M2" i="2"/>
  <c r="Q2" i="2" s="1"/>
  <c r="I30" i="9" l="1"/>
  <c r="F30" i="9" s="1"/>
  <c r="G30" i="9" s="1"/>
  <c r="K31" i="9" s="1"/>
  <c r="I32" i="10"/>
  <c r="F32" i="10" s="1"/>
  <c r="H32" i="10"/>
  <c r="J32" i="10" s="1"/>
  <c r="J30" i="9"/>
  <c r="L36" i="2"/>
  <c r="C37" i="2"/>
  <c r="P37" i="2" s="1"/>
  <c r="D37" i="2"/>
  <c r="L37" i="2" s="1"/>
  <c r="A39" i="2"/>
  <c r="B38" i="2"/>
  <c r="C38" i="2" s="1"/>
  <c r="E38" i="2"/>
  <c r="M3" i="2"/>
  <c r="Q3" i="2" s="1"/>
  <c r="M4" i="2"/>
  <c r="Q4" i="2" s="1"/>
  <c r="P38" i="2" l="1"/>
  <c r="G32" i="10"/>
  <c r="K33" i="10" s="1"/>
  <c r="I31" i="9"/>
  <c r="F31" i="9" s="1"/>
  <c r="H31" i="9"/>
  <c r="J31" i="9" s="1"/>
  <c r="M37" i="2"/>
  <c r="Q37" i="2" s="1"/>
  <c r="D38" i="2"/>
  <c r="L38" i="2" s="1"/>
  <c r="E39" i="2"/>
  <c r="B39" i="2"/>
  <c r="C39" i="2" s="1"/>
  <c r="A40" i="2"/>
  <c r="M7" i="2"/>
  <c r="P39" i="2" l="1"/>
  <c r="H40" i="2"/>
  <c r="I33" i="10"/>
  <c r="F33" i="10" s="1"/>
  <c r="H33" i="10"/>
  <c r="J33" i="10" s="1"/>
  <c r="G31" i="9"/>
  <c r="K32" i="9" s="1"/>
  <c r="D39" i="2"/>
  <c r="M39" i="2" s="1"/>
  <c r="Q39" i="2" s="1"/>
  <c r="E40" i="2"/>
  <c r="A41" i="2"/>
  <c r="B40" i="2"/>
  <c r="M38" i="2"/>
  <c r="Q38" i="2" s="1"/>
  <c r="M8" i="2"/>
  <c r="Q8" i="2" s="1"/>
  <c r="M6" i="2"/>
  <c r="Q6" i="2" s="1"/>
  <c r="Q7" i="2"/>
  <c r="K5" i="1"/>
  <c r="L39" i="2" l="1"/>
  <c r="H41" i="2"/>
  <c r="G33" i="10"/>
  <c r="K34" i="10" s="1"/>
  <c r="I32" i="9"/>
  <c r="F32" i="9" s="1"/>
  <c r="H32" i="9"/>
  <c r="J32" i="9" s="1"/>
  <c r="C40" i="2"/>
  <c r="P40" i="2" s="1"/>
  <c r="E41" i="2"/>
  <c r="B41" i="2"/>
  <c r="C41" i="2" s="1"/>
  <c r="D40" i="2"/>
  <c r="M40" i="2" s="1"/>
  <c r="Q40" i="2" s="1"/>
  <c r="M9" i="2"/>
  <c r="H5" i="1"/>
  <c r="P41" i="2" l="1"/>
  <c r="L40" i="2"/>
  <c r="I34" i="10"/>
  <c r="F34" i="10" s="1"/>
  <c r="H34" i="10"/>
  <c r="J34" i="10" s="1"/>
  <c r="G32" i="9"/>
  <c r="K33" i="9" s="1"/>
  <c r="D41" i="2"/>
  <c r="M41" i="2" s="1"/>
  <c r="Q41" i="2" s="1"/>
  <c r="F40" i="2"/>
  <c r="D63" i="6" s="1"/>
  <c r="E63" i="6" s="1"/>
  <c r="J40" i="2" s="1"/>
  <c r="I40" i="2" s="1"/>
  <c r="M10" i="2"/>
  <c r="Q10" i="2" s="1"/>
  <c r="J5" i="1"/>
  <c r="Q9" i="2"/>
  <c r="G34" i="10" l="1"/>
  <c r="K35" i="10" s="1"/>
  <c r="I35" i="10" s="1"/>
  <c r="F35" i="10" s="1"/>
  <c r="G35" i="10" s="1"/>
  <c r="K36" i="10" s="1"/>
  <c r="H35" i="10"/>
  <c r="J35" i="10" s="1"/>
  <c r="I33" i="9"/>
  <c r="F33" i="9" s="1"/>
  <c r="H33" i="9"/>
  <c r="J33" i="9" s="1"/>
  <c r="L41" i="2"/>
  <c r="F41" i="2"/>
  <c r="D64" i="6" s="1"/>
  <c r="E64" i="6" s="1"/>
  <c r="J41" i="2" s="1"/>
  <c r="I41" i="2" s="1"/>
  <c r="G40" i="2"/>
  <c r="B63" i="6" s="1"/>
  <c r="C63" i="6" s="1"/>
  <c r="K40" i="2" s="1"/>
  <c r="N40" i="2" s="1"/>
  <c r="M11" i="2"/>
  <c r="G41" i="2" l="1"/>
  <c r="B64" i="6" s="1"/>
  <c r="C64" i="6" s="1"/>
  <c r="K41" i="2" s="1"/>
  <c r="N41" i="2" s="1"/>
  <c r="I36" i="10"/>
  <c r="F36" i="10" s="1"/>
  <c r="H36" i="10"/>
  <c r="J36" i="10" s="1"/>
  <c r="G33" i="9"/>
  <c r="K34" i="9" s="1"/>
  <c r="S40" i="2"/>
  <c r="R40" i="2"/>
  <c r="T40" i="2" s="1"/>
  <c r="O40" i="2"/>
  <c r="M12" i="2"/>
  <c r="Q12" i="2" s="1"/>
  <c r="Q11" i="2"/>
  <c r="G36" i="10" l="1"/>
  <c r="K37" i="10" s="1"/>
  <c r="H37" i="10" s="1"/>
  <c r="J37" i="10" s="1"/>
  <c r="S41" i="2"/>
  <c r="R41" i="2"/>
  <c r="T41" i="2" s="1"/>
  <c r="O41" i="2"/>
  <c r="I34" i="9"/>
  <c r="F34" i="9" s="1"/>
  <c r="H34" i="9"/>
  <c r="J34" i="9" s="1"/>
  <c r="M13" i="2"/>
  <c r="I37" i="10" l="1"/>
  <c r="F37" i="10" s="1"/>
  <c r="G37" i="10" s="1"/>
  <c r="K38" i="10" s="1"/>
  <c r="I38" i="10" s="1"/>
  <c r="F38" i="10" s="1"/>
  <c r="G34" i="9"/>
  <c r="K35" i="9" s="1"/>
  <c r="M14" i="2"/>
  <c r="Q14" i="2" s="1"/>
  <c r="Q13" i="2"/>
  <c r="H38" i="10" l="1"/>
  <c r="J38" i="10" s="1"/>
  <c r="I35" i="9"/>
  <c r="F35" i="9" s="1"/>
  <c r="H35" i="9"/>
  <c r="J35" i="9" s="1"/>
  <c r="M15" i="2"/>
  <c r="G38" i="10" l="1"/>
  <c r="K39" i="10" s="1"/>
  <c r="G35" i="9"/>
  <c r="K36" i="9" s="1"/>
  <c r="M16" i="2"/>
  <c r="Q16" i="2" s="1"/>
  <c r="Q15" i="2"/>
  <c r="I39" i="10" l="1"/>
  <c r="F39" i="10" s="1"/>
  <c r="H39" i="10"/>
  <c r="J39" i="10" s="1"/>
  <c r="H36" i="9"/>
  <c r="J36" i="9" s="1"/>
  <c r="I36" i="9"/>
  <c r="F36" i="9" s="1"/>
  <c r="M17" i="2"/>
  <c r="G39" i="10" l="1"/>
  <c r="K40" i="10" s="1"/>
  <c r="I40" i="10" s="1"/>
  <c r="F40" i="10" s="1"/>
  <c r="G36" i="9"/>
  <c r="K37" i="9" s="1"/>
  <c r="H37" i="9" s="1"/>
  <c r="J37" i="9" s="1"/>
  <c r="I37" i="9"/>
  <c r="F37" i="9" s="1"/>
  <c r="M20" i="2"/>
  <c r="M18" i="2"/>
  <c r="Q17" i="2"/>
  <c r="H40" i="10" l="1"/>
  <c r="J40" i="10" s="1"/>
  <c r="B8" i="10"/>
  <c r="G37" i="9"/>
  <c r="K38" i="9" s="1"/>
  <c r="M21" i="2"/>
  <c r="M19" i="2"/>
  <c r="Q18" i="2"/>
  <c r="G40" i="10" l="1"/>
  <c r="K41" i="10" s="1"/>
  <c r="I38" i="9"/>
  <c r="F38" i="9" s="1"/>
  <c r="H38" i="9"/>
  <c r="J38" i="9" s="1"/>
  <c r="M22" i="2"/>
  <c r="Q19" i="2"/>
  <c r="I41" i="10" l="1"/>
  <c r="F41" i="10" s="1"/>
  <c r="H41" i="10"/>
  <c r="J41" i="10" s="1"/>
  <c r="G38" i="9"/>
  <c r="K39" i="9" s="1"/>
  <c r="M23" i="2"/>
  <c r="Q20" i="2"/>
  <c r="G41" i="10" l="1"/>
  <c r="K42" i="10" s="1"/>
  <c r="I39" i="9"/>
  <c r="F39" i="9" s="1"/>
  <c r="H39" i="9"/>
  <c r="J39" i="9" s="1"/>
  <c r="M24" i="2"/>
  <c r="Q21" i="2"/>
  <c r="Q22" i="2"/>
  <c r="I42" i="10" l="1"/>
  <c r="F42" i="10" s="1"/>
  <c r="H42" i="10"/>
  <c r="C9" i="10" s="1"/>
  <c r="G39" i="9"/>
  <c r="K40" i="9" s="1"/>
  <c r="M25" i="2"/>
  <c r="Q24" i="2"/>
  <c r="Q23" i="2"/>
  <c r="G42" i="10" l="1"/>
  <c r="K43" i="10" s="1"/>
  <c r="J42" i="10"/>
  <c r="I40" i="9"/>
  <c r="F40" i="9" s="1"/>
  <c r="H40" i="9"/>
  <c r="J40" i="9" s="1"/>
  <c r="M26" i="2"/>
  <c r="Q26" i="2" s="1"/>
  <c r="H43" i="10" l="1"/>
  <c r="J43" i="10" s="1"/>
  <c r="I43" i="10"/>
  <c r="F43" i="10" s="1"/>
  <c r="G43" i="10" s="1"/>
  <c r="K44" i="10" s="1"/>
  <c r="G40" i="9"/>
  <c r="K41" i="9" s="1"/>
  <c r="B8" i="9"/>
  <c r="M27" i="2"/>
  <c r="Q27" i="2" s="1"/>
  <c r="I44" i="10" l="1"/>
  <c r="F44" i="10" s="1"/>
  <c r="H44" i="10"/>
  <c r="J44" i="10" s="1"/>
  <c r="D5" i="4"/>
  <c r="T5" i="4" s="1"/>
  <c r="U5" i="4" s="1"/>
  <c r="I41" i="9"/>
  <c r="F41" i="9" s="1"/>
  <c r="H41" i="9"/>
  <c r="J41" i="9" s="1"/>
  <c r="M29" i="2"/>
  <c r="Q29" i="2" s="1"/>
  <c r="M28" i="2"/>
  <c r="Q28" i="2" s="1"/>
  <c r="Q25" i="2"/>
  <c r="G44" i="10" l="1"/>
  <c r="K45" i="10" s="1"/>
  <c r="G41" i="9"/>
  <c r="K42" i="9" s="1"/>
  <c r="L30" i="2"/>
  <c r="M30" i="2"/>
  <c r="Q30" i="2" s="1"/>
  <c r="I45" i="10" l="1"/>
  <c r="F45" i="10" s="1"/>
  <c r="H45" i="10"/>
  <c r="J45" i="10" s="1"/>
  <c r="I42" i="9"/>
  <c r="F42" i="9" s="1"/>
  <c r="H42" i="9"/>
  <c r="C9" i="9" s="1"/>
  <c r="L31" i="2"/>
  <c r="G45" i="10" l="1"/>
  <c r="K46" i="10" s="1"/>
  <c r="G42" i="9"/>
  <c r="K43" i="9" s="1"/>
  <c r="J42" i="9"/>
  <c r="M31" i="2"/>
  <c r="Q31" i="2" s="1"/>
  <c r="I46" i="10" l="1"/>
  <c r="F46" i="10" s="1"/>
  <c r="H46" i="10"/>
  <c r="J46" i="10" s="1"/>
  <c r="I43" i="9"/>
  <c r="F43" i="9" s="1"/>
  <c r="H43" i="9"/>
  <c r="J43" i="9" s="1"/>
  <c r="I5" i="1"/>
  <c r="F5" i="1" s="1"/>
  <c r="G46" i="10" l="1"/>
  <c r="K47" i="10" s="1"/>
  <c r="G43" i="9"/>
  <c r="K44" i="9" s="1"/>
  <c r="G5" i="1"/>
  <c r="K6" i="1" s="1"/>
  <c r="K3" i="1"/>
  <c r="I14" i="7" s="1"/>
  <c r="I47" i="10" l="1"/>
  <c r="F47" i="10" s="1"/>
  <c r="H47" i="10"/>
  <c r="J47" i="10" s="1"/>
  <c r="H44" i="9"/>
  <c r="J44" i="9" s="1"/>
  <c r="I44" i="9"/>
  <c r="F44" i="9" s="1"/>
  <c r="I6" i="1"/>
  <c r="F6" i="1" s="1"/>
  <c r="H6" i="1"/>
  <c r="G44" i="9" l="1"/>
  <c r="K45" i="9" s="1"/>
  <c r="H45" i="9" s="1"/>
  <c r="J45" i="9" s="1"/>
  <c r="G47" i="10"/>
  <c r="K48" i="10" s="1"/>
  <c r="I45" i="9"/>
  <c r="F45" i="9" s="1"/>
  <c r="T3" i="4"/>
  <c r="U3" i="4" s="1"/>
  <c r="C6" i="1"/>
  <c r="G6" i="1"/>
  <c r="K7" i="1" s="1"/>
  <c r="J6" i="1"/>
  <c r="H48" i="10" l="1"/>
  <c r="J48" i="10" s="1"/>
  <c r="I48" i="10"/>
  <c r="F48" i="10" s="1"/>
  <c r="G48" i="10" s="1"/>
  <c r="K49" i="10" s="1"/>
  <c r="G45" i="9"/>
  <c r="K46" i="9" s="1"/>
  <c r="I7" i="1"/>
  <c r="H7" i="1"/>
  <c r="H49" i="10" l="1"/>
  <c r="J49" i="10" s="1"/>
  <c r="I49" i="10"/>
  <c r="F49" i="10" s="1"/>
  <c r="G49" i="10" s="1"/>
  <c r="K50" i="10" s="1"/>
  <c r="I46" i="9"/>
  <c r="F46" i="9" s="1"/>
  <c r="H46" i="9"/>
  <c r="J46" i="9" s="1"/>
  <c r="F7" i="1"/>
  <c r="G7" i="1" s="1"/>
  <c r="K8" i="1" s="1"/>
  <c r="J7" i="1"/>
  <c r="I50" i="10" l="1"/>
  <c r="F50" i="10" s="1"/>
  <c r="H50" i="10"/>
  <c r="J50" i="10" s="1"/>
  <c r="G46" i="9"/>
  <c r="K47" i="9" s="1"/>
  <c r="I8" i="1"/>
  <c r="H8" i="1"/>
  <c r="G50" i="10" l="1"/>
  <c r="K51" i="10" s="1"/>
  <c r="I47" i="9"/>
  <c r="F47" i="9" s="1"/>
  <c r="H47" i="9"/>
  <c r="J47" i="9" s="1"/>
  <c r="F8" i="1"/>
  <c r="G8" i="1" s="1"/>
  <c r="K9" i="1" s="1"/>
  <c r="J8" i="1"/>
  <c r="H51" i="10" l="1"/>
  <c r="J51" i="10" s="1"/>
  <c r="I51" i="10"/>
  <c r="F51" i="10" s="1"/>
  <c r="G47" i="9"/>
  <c r="K48" i="9" s="1"/>
  <c r="H9" i="1"/>
  <c r="I9" i="1"/>
  <c r="F9" i="1" s="1"/>
  <c r="G51" i="10" l="1"/>
  <c r="K52" i="10" s="1"/>
  <c r="I48" i="9"/>
  <c r="F48" i="9" s="1"/>
  <c r="H48" i="9"/>
  <c r="J48" i="9" s="1"/>
  <c r="G9" i="1"/>
  <c r="K10" i="1" s="1"/>
  <c r="J9" i="1"/>
  <c r="I52" i="10" l="1"/>
  <c r="F52" i="10" s="1"/>
  <c r="H52" i="10"/>
  <c r="J52" i="10" s="1"/>
  <c r="G48" i="9"/>
  <c r="K49" i="9" s="1"/>
  <c r="I10" i="1"/>
  <c r="H10" i="1"/>
  <c r="G52" i="10" l="1"/>
  <c r="K53" i="10" s="1"/>
  <c r="B9" i="10"/>
  <c r="I49" i="9"/>
  <c r="F49" i="9" s="1"/>
  <c r="H49" i="9"/>
  <c r="J49" i="9" s="1"/>
  <c r="F10" i="1"/>
  <c r="G10" i="1" s="1"/>
  <c r="K11" i="1" s="1"/>
  <c r="I11" i="1" s="1"/>
  <c r="J10" i="1"/>
  <c r="I53" i="10" l="1"/>
  <c r="F53" i="10" s="1"/>
  <c r="H53" i="10"/>
  <c r="J53" i="10" s="1"/>
  <c r="G49" i="9"/>
  <c r="K50" i="9" s="1"/>
  <c r="H11" i="1"/>
  <c r="G53" i="10" l="1"/>
  <c r="K54" i="10" s="1"/>
  <c r="I54" i="10"/>
  <c r="F54" i="10" s="1"/>
  <c r="H54" i="10"/>
  <c r="C10" i="10" s="1"/>
  <c r="H50" i="9"/>
  <c r="J50" i="9" s="1"/>
  <c r="I50" i="9"/>
  <c r="F50" i="9" s="1"/>
  <c r="F11" i="1"/>
  <c r="G11" i="1" s="1"/>
  <c r="K12" i="1" s="1"/>
  <c r="J11" i="1"/>
  <c r="J54" i="10" l="1"/>
  <c r="G54" i="10"/>
  <c r="K55" i="10" s="1"/>
  <c r="G50" i="9"/>
  <c r="K51" i="9" s="1"/>
  <c r="H12" i="1"/>
  <c r="J12" i="1" s="1"/>
  <c r="I12" i="1"/>
  <c r="F12" i="1" s="1"/>
  <c r="H55" i="10" l="1"/>
  <c r="J55" i="10" s="1"/>
  <c r="I55" i="10"/>
  <c r="F55" i="10" s="1"/>
  <c r="G55" i="10" s="1"/>
  <c r="K56" i="10" s="1"/>
  <c r="I51" i="9"/>
  <c r="F51" i="9" s="1"/>
  <c r="H51" i="9"/>
  <c r="J51" i="9" s="1"/>
  <c r="G12" i="1"/>
  <c r="K13" i="1" s="1"/>
  <c r="H13" i="1" s="1"/>
  <c r="H56" i="10" l="1"/>
  <c r="J56" i="10" s="1"/>
  <c r="I56" i="10"/>
  <c r="F56" i="10" s="1"/>
  <c r="G56" i="10" s="1"/>
  <c r="K57" i="10" s="1"/>
  <c r="G51" i="9"/>
  <c r="K52" i="9" s="1"/>
  <c r="I13" i="1"/>
  <c r="F13" i="1" s="1"/>
  <c r="G13" i="1" s="1"/>
  <c r="K14" i="1" s="1"/>
  <c r="I14" i="1" s="1"/>
  <c r="J13" i="1"/>
  <c r="I57" i="10" l="1"/>
  <c r="F57" i="10" s="1"/>
  <c r="H57" i="10"/>
  <c r="J57" i="10" s="1"/>
  <c r="H52" i="9"/>
  <c r="J52" i="9" s="1"/>
  <c r="I52" i="9"/>
  <c r="F52" i="9" s="1"/>
  <c r="H14" i="1"/>
  <c r="J14" i="1" s="1"/>
  <c r="F14" i="1"/>
  <c r="G57" i="10" l="1"/>
  <c r="K58" i="10" s="1"/>
  <c r="G52" i="9"/>
  <c r="K53" i="9" s="1"/>
  <c r="B9" i="9"/>
  <c r="G14" i="1"/>
  <c r="K15" i="1" s="1"/>
  <c r="I15" i="1" s="1"/>
  <c r="I58" i="10" l="1"/>
  <c r="F58" i="10" s="1"/>
  <c r="H58" i="10"/>
  <c r="J58" i="10" s="1"/>
  <c r="D6" i="4"/>
  <c r="I53" i="9"/>
  <c r="F53" i="9" s="1"/>
  <c r="H53" i="9"/>
  <c r="J53" i="9" s="1"/>
  <c r="H15" i="1"/>
  <c r="J15" i="1" s="1"/>
  <c r="F15" i="1"/>
  <c r="G58" i="10" l="1"/>
  <c r="K59" i="10" s="1"/>
  <c r="G53" i="9"/>
  <c r="K54" i="9" s="1"/>
  <c r="G15" i="1"/>
  <c r="K16" i="1" s="1"/>
  <c r="H16" i="1" s="1"/>
  <c r="I59" i="10" l="1"/>
  <c r="F59" i="10" s="1"/>
  <c r="H59" i="10"/>
  <c r="J59" i="10" s="1"/>
  <c r="I54" i="9"/>
  <c r="F54" i="9" s="1"/>
  <c r="H54" i="9"/>
  <c r="C10" i="9" s="1"/>
  <c r="J16" i="1"/>
  <c r="I16" i="1"/>
  <c r="F16" i="1" s="1"/>
  <c r="B6" i="1" s="1"/>
  <c r="G59" i="10" l="1"/>
  <c r="K60" i="10" s="1"/>
  <c r="G54" i="9"/>
  <c r="K55" i="9" s="1"/>
  <c r="J54" i="9"/>
  <c r="G16" i="1"/>
  <c r="I60" i="10" l="1"/>
  <c r="F60" i="10" s="1"/>
  <c r="H60" i="10"/>
  <c r="J60" i="10" s="1"/>
  <c r="I55" i="9"/>
  <c r="F55" i="9" s="1"/>
  <c r="H55" i="9"/>
  <c r="J55" i="9" s="1"/>
  <c r="K17" i="1"/>
  <c r="G60" i="10" l="1"/>
  <c r="K61" i="10" s="1"/>
  <c r="G55" i="9"/>
  <c r="K56" i="9" s="1"/>
  <c r="H17" i="1"/>
  <c r="J17" i="1" s="1"/>
  <c r="I17" i="1"/>
  <c r="F17" i="1" s="1"/>
  <c r="I61" i="10" l="1"/>
  <c r="F61" i="10" s="1"/>
  <c r="H61" i="10"/>
  <c r="J61" i="10" s="1"/>
  <c r="I56" i="9"/>
  <c r="F56" i="9" s="1"/>
  <c r="H56" i="9"/>
  <c r="J56" i="9" s="1"/>
  <c r="G17" i="1"/>
  <c r="K18" i="1" s="1"/>
  <c r="H18" i="1" s="1"/>
  <c r="C7" i="1" s="1"/>
  <c r="G61" i="10" l="1"/>
  <c r="K62" i="10" s="1"/>
  <c r="G56" i="9"/>
  <c r="K57" i="9" s="1"/>
  <c r="J18" i="1"/>
  <c r="I18" i="1"/>
  <c r="F18" i="1" s="1"/>
  <c r="G18" i="1" s="1"/>
  <c r="K19" i="1" s="1"/>
  <c r="H19" i="1" s="1"/>
  <c r="I62" i="10" l="1"/>
  <c r="F62" i="10" s="1"/>
  <c r="H62" i="10"/>
  <c r="J62" i="10" s="1"/>
  <c r="I57" i="9"/>
  <c r="F57" i="9" s="1"/>
  <c r="H57" i="9"/>
  <c r="J57" i="9" s="1"/>
  <c r="J19" i="1"/>
  <c r="I19" i="1"/>
  <c r="F19" i="1" s="1"/>
  <c r="G19" i="1" s="1"/>
  <c r="K20" i="1" s="1"/>
  <c r="I20" i="1" s="1"/>
  <c r="G62" i="10" l="1"/>
  <c r="K63" i="10" s="1"/>
  <c r="G57" i="9"/>
  <c r="K58" i="9" s="1"/>
  <c r="F20" i="1"/>
  <c r="H20" i="1"/>
  <c r="J20" i="1" s="1"/>
  <c r="I63" i="10" l="1"/>
  <c r="F63" i="10" s="1"/>
  <c r="H63" i="10"/>
  <c r="J63" i="10" s="1"/>
  <c r="I58" i="9"/>
  <c r="F58" i="9" s="1"/>
  <c r="H58" i="9"/>
  <c r="J58" i="9" s="1"/>
  <c r="G20" i="1"/>
  <c r="K21" i="1" s="1"/>
  <c r="H21" i="1" s="1"/>
  <c r="G63" i="10" l="1"/>
  <c r="K64" i="10" s="1"/>
  <c r="G58" i="9"/>
  <c r="K59" i="9" s="1"/>
  <c r="I21" i="1"/>
  <c r="F21" i="1" s="1"/>
  <c r="G21" i="1" s="1"/>
  <c r="K22" i="1" s="1"/>
  <c r="H22" i="1" s="1"/>
  <c r="J21" i="1"/>
  <c r="I64" i="10" l="1"/>
  <c r="F64" i="10" s="1"/>
  <c r="H64" i="10"/>
  <c r="J64" i="10" s="1"/>
  <c r="I59" i="9"/>
  <c r="F59" i="9" s="1"/>
  <c r="H59" i="9"/>
  <c r="J59" i="9" s="1"/>
  <c r="J22" i="1"/>
  <c r="I22" i="1"/>
  <c r="F22" i="1" s="1"/>
  <c r="G22" i="1" s="1"/>
  <c r="K23" i="1" s="1"/>
  <c r="H23" i="1" s="1"/>
  <c r="G64" i="10" l="1"/>
  <c r="K65" i="10" s="1"/>
  <c r="B10" i="10"/>
  <c r="G59" i="9"/>
  <c r="K60" i="9" s="1"/>
  <c r="I23" i="1"/>
  <c r="F23" i="1" s="1"/>
  <c r="G23" i="1" s="1"/>
  <c r="K24" i="1" s="1"/>
  <c r="I24" i="1" s="1"/>
  <c r="J23" i="1"/>
  <c r="I65" i="10" l="1"/>
  <c r="F65" i="10" s="1"/>
  <c r="H65" i="10"/>
  <c r="J65" i="10"/>
  <c r="I60" i="9"/>
  <c r="F60" i="9" s="1"/>
  <c r="H60" i="9"/>
  <c r="J60" i="9" s="1"/>
  <c r="H24" i="1"/>
  <c r="J24" i="1" s="1"/>
  <c r="F24" i="1"/>
  <c r="G65" i="10" l="1"/>
  <c r="K66" i="10" s="1"/>
  <c r="H66" i="10"/>
  <c r="C11" i="10" s="1"/>
  <c r="I66" i="10"/>
  <c r="F66" i="10" s="1"/>
  <c r="G66" i="10" s="1"/>
  <c r="K67" i="10" s="1"/>
  <c r="G60" i="9"/>
  <c r="K61" i="9" s="1"/>
  <c r="G24" i="1"/>
  <c r="K25" i="1" s="1"/>
  <c r="I25" i="1" s="1"/>
  <c r="I67" i="10" l="1"/>
  <c r="F67" i="10" s="1"/>
  <c r="H67" i="10"/>
  <c r="J66" i="10"/>
  <c r="I61" i="9"/>
  <c r="F61" i="9" s="1"/>
  <c r="H61" i="9"/>
  <c r="J61" i="9" s="1"/>
  <c r="H25" i="1"/>
  <c r="J25" i="1" s="1"/>
  <c r="F25" i="1"/>
  <c r="J67" i="10" l="1"/>
  <c r="G67" i="10"/>
  <c r="K68" i="10" s="1"/>
  <c r="H68" i="10" s="1"/>
  <c r="I68" i="10"/>
  <c r="F68" i="10" s="1"/>
  <c r="G61" i="9"/>
  <c r="K62" i="9" s="1"/>
  <c r="G25" i="1"/>
  <c r="K26" i="1" s="1"/>
  <c r="H26" i="1" s="1"/>
  <c r="J26" i="1" s="1"/>
  <c r="G68" i="10" l="1"/>
  <c r="K69" i="10" s="1"/>
  <c r="H69" i="10" s="1"/>
  <c r="J69" i="10" s="1"/>
  <c r="J68" i="10"/>
  <c r="I69" i="10"/>
  <c r="F69" i="10" s="1"/>
  <c r="H62" i="9"/>
  <c r="J62" i="9" s="1"/>
  <c r="I62" i="9"/>
  <c r="F62" i="9" s="1"/>
  <c r="I26" i="1"/>
  <c r="F26" i="1" s="1"/>
  <c r="G26" i="1" s="1"/>
  <c r="K27" i="1" s="1"/>
  <c r="I27" i="1" s="1"/>
  <c r="G69" i="10" l="1"/>
  <c r="K70" i="10" s="1"/>
  <c r="H70" i="10" s="1"/>
  <c r="J70" i="10" s="1"/>
  <c r="I70" i="10"/>
  <c r="F70" i="10" s="1"/>
  <c r="G62" i="9"/>
  <c r="K63" i="9" s="1"/>
  <c r="H27" i="1"/>
  <c r="J27" i="1" s="1"/>
  <c r="F27" i="1"/>
  <c r="G70" i="10" l="1"/>
  <c r="K71" i="10" s="1"/>
  <c r="H71" i="10" s="1"/>
  <c r="J71" i="10" s="1"/>
  <c r="I71" i="10"/>
  <c r="F71" i="10" s="1"/>
  <c r="I63" i="9"/>
  <c r="F63" i="9" s="1"/>
  <c r="H63" i="9"/>
  <c r="J63" i="9" s="1"/>
  <c r="G27" i="1"/>
  <c r="K28" i="1" s="1"/>
  <c r="H28" i="1" s="1"/>
  <c r="G71" i="10" l="1"/>
  <c r="K72" i="10" s="1"/>
  <c r="J72" i="10" s="1"/>
  <c r="I72" i="10"/>
  <c r="H72" i="10"/>
  <c r="I28" i="1"/>
  <c r="F28" i="1" s="1"/>
  <c r="B7" i="1" s="1"/>
  <c r="G63" i="9"/>
  <c r="K64" i="9" s="1"/>
  <c r="J28" i="1"/>
  <c r="F72" i="10" l="1"/>
  <c r="G72" i="10" s="1"/>
  <c r="K73" i="10" s="1"/>
  <c r="H73" i="10" s="1"/>
  <c r="G28" i="1"/>
  <c r="K29" i="1" s="1"/>
  <c r="I29" i="1" s="1"/>
  <c r="H64" i="9"/>
  <c r="J64" i="9" s="1"/>
  <c r="I64" i="9"/>
  <c r="F64" i="9" s="1"/>
  <c r="I73" i="10" l="1"/>
  <c r="F73" i="10" s="1"/>
  <c r="G73" i="10" s="1"/>
  <c r="K74" i="10" s="1"/>
  <c r="H74" i="10" s="1"/>
  <c r="J74" i="10" s="1"/>
  <c r="J73" i="10"/>
  <c r="G64" i="9"/>
  <c r="K65" i="9" s="1"/>
  <c r="B10" i="9"/>
  <c r="D7" i="4" s="1"/>
  <c r="H29" i="1"/>
  <c r="J29" i="1" s="1"/>
  <c r="I74" i="10" l="1"/>
  <c r="F74" i="10" s="1"/>
  <c r="G74" i="10" s="1"/>
  <c r="K75" i="10" s="1"/>
  <c r="I75" i="10" s="1"/>
  <c r="I65" i="9"/>
  <c r="H65" i="9"/>
  <c r="J65" i="9" s="1"/>
  <c r="F29" i="1"/>
  <c r="G29" i="1" s="1"/>
  <c r="K30" i="1" s="1"/>
  <c r="H30" i="1" s="1"/>
  <c r="C8" i="1" s="1"/>
  <c r="H4" i="2" s="1"/>
  <c r="H75" i="10" l="1"/>
  <c r="F75" i="10" s="1"/>
  <c r="G75" i="10" s="1"/>
  <c r="K76" i="10" s="1"/>
  <c r="I76" i="10" s="1"/>
  <c r="F76" i="10" s="1"/>
  <c r="F65" i="9"/>
  <c r="G65" i="9" s="1"/>
  <c r="K66" i="9" s="1"/>
  <c r="I30" i="1"/>
  <c r="F30" i="1" s="1"/>
  <c r="G30" i="1" s="1"/>
  <c r="K31" i="1" s="1"/>
  <c r="I31" i="1" s="1"/>
  <c r="J30" i="1"/>
  <c r="H76" i="10" l="1"/>
  <c r="G76" i="10" s="1"/>
  <c r="K77" i="10" s="1"/>
  <c r="H77" i="10" s="1"/>
  <c r="J75" i="10"/>
  <c r="J76" i="10" s="1"/>
  <c r="B11" i="10"/>
  <c r="I66" i="9"/>
  <c r="H66" i="9"/>
  <c r="C11" i="9" s="1"/>
  <c r="H31" i="1"/>
  <c r="J77" i="10" l="1"/>
  <c r="I77" i="10"/>
  <c r="F77" i="10" s="1"/>
  <c r="G77" i="10" s="1"/>
  <c r="K78" i="10" s="1"/>
  <c r="H78" i="10" s="1"/>
  <c r="C12" i="10" s="1"/>
  <c r="F66" i="9"/>
  <c r="G66" i="9" s="1"/>
  <c r="K67" i="9" s="1"/>
  <c r="J66" i="9"/>
  <c r="F31" i="1"/>
  <c r="G31" i="1" s="1"/>
  <c r="K32" i="1" s="1"/>
  <c r="H32" i="1" s="1"/>
  <c r="J31" i="1"/>
  <c r="I78" i="10" l="1"/>
  <c r="F78" i="10" s="1"/>
  <c r="G78" i="10" s="1"/>
  <c r="K79" i="10" s="1"/>
  <c r="J78" i="10"/>
  <c r="I67" i="9"/>
  <c r="H67" i="9"/>
  <c r="J67" i="9" s="1"/>
  <c r="J32" i="1"/>
  <c r="I32" i="1"/>
  <c r="F32" i="1" s="1"/>
  <c r="G32" i="1" s="1"/>
  <c r="K33" i="1" s="1"/>
  <c r="I33" i="1" s="1"/>
  <c r="F67" i="9" l="1"/>
  <c r="G67" i="9" s="1"/>
  <c r="K68" i="9" s="1"/>
  <c r="I79" i="10"/>
  <c r="H79" i="10"/>
  <c r="H33" i="1"/>
  <c r="F33" i="1" s="1"/>
  <c r="F79" i="10" l="1"/>
  <c r="G79" i="10" s="1"/>
  <c r="K80" i="10" s="1"/>
  <c r="J79" i="10"/>
  <c r="I68" i="9"/>
  <c r="H68" i="9"/>
  <c r="J68" i="9" s="1"/>
  <c r="J33" i="1"/>
  <c r="G33" i="1"/>
  <c r="K34" i="1" s="1"/>
  <c r="I34" i="1" s="1"/>
  <c r="F68" i="9" l="1"/>
  <c r="G68" i="9" s="1"/>
  <c r="K69" i="9" s="1"/>
  <c r="I80" i="10"/>
  <c r="H80" i="10"/>
  <c r="H34" i="1"/>
  <c r="J34" i="1" s="1"/>
  <c r="F80" i="10" l="1"/>
  <c r="G80" i="10" s="1"/>
  <c r="K81" i="10" s="1"/>
  <c r="J80" i="10"/>
  <c r="I69" i="9"/>
  <c r="H69" i="9"/>
  <c r="J69" i="9" s="1"/>
  <c r="F34" i="1"/>
  <c r="G34" i="1" s="1"/>
  <c r="K35" i="1" s="1"/>
  <c r="I35" i="1" s="1"/>
  <c r="I81" i="10" l="1"/>
  <c r="H81" i="10"/>
  <c r="F69" i="9"/>
  <c r="G69" i="9" s="1"/>
  <c r="K70" i="9" s="1"/>
  <c r="H35" i="1"/>
  <c r="J35" i="1" s="1"/>
  <c r="F81" i="10" l="1"/>
  <c r="G81" i="10" s="1"/>
  <c r="K82" i="10" s="1"/>
  <c r="J81" i="10"/>
  <c r="I70" i="9"/>
  <c r="H70" i="9"/>
  <c r="J70" i="9" s="1"/>
  <c r="F35" i="1"/>
  <c r="G35" i="1" s="1"/>
  <c r="K36" i="1" s="1"/>
  <c r="I36" i="1" s="1"/>
  <c r="F70" i="9" l="1"/>
  <c r="G70" i="9" s="1"/>
  <c r="K71" i="9" s="1"/>
  <c r="I82" i="10"/>
  <c r="H82" i="10"/>
  <c r="H36" i="1"/>
  <c r="J36" i="1" s="1"/>
  <c r="F82" i="10" l="1"/>
  <c r="G82" i="10" s="1"/>
  <c r="K83" i="10" s="1"/>
  <c r="H83" i="10" s="1"/>
  <c r="J82" i="10"/>
  <c r="I71" i="9"/>
  <c r="H71" i="9"/>
  <c r="J71" i="9" s="1"/>
  <c r="F36" i="1"/>
  <c r="G36" i="1" s="1"/>
  <c r="K37" i="1" s="1"/>
  <c r="I37" i="1" s="1"/>
  <c r="I83" i="10" l="1"/>
  <c r="F83" i="10" s="1"/>
  <c r="G83" i="10" s="1"/>
  <c r="K84" i="10" s="1"/>
  <c r="I84" i="10" s="1"/>
  <c r="J83" i="10"/>
  <c r="F71" i="9"/>
  <c r="G71" i="9" s="1"/>
  <c r="K72" i="9" s="1"/>
  <c r="H37" i="1"/>
  <c r="J37" i="1" s="1"/>
  <c r="H84" i="10" l="1"/>
  <c r="F84" i="10" s="1"/>
  <c r="G84" i="10" s="1"/>
  <c r="K85" i="10" s="1"/>
  <c r="H85" i="10" s="1"/>
  <c r="I72" i="9"/>
  <c r="H72" i="9"/>
  <c r="J72" i="9" s="1"/>
  <c r="F37" i="1"/>
  <c r="G37" i="1" s="1"/>
  <c r="K38" i="1" s="1"/>
  <c r="I38" i="1" s="1"/>
  <c r="I85" i="10" l="1"/>
  <c r="F85" i="10" s="1"/>
  <c r="G85" i="10" s="1"/>
  <c r="K86" i="10" s="1"/>
  <c r="H86" i="10" s="1"/>
  <c r="J84" i="10"/>
  <c r="J85" i="10" s="1"/>
  <c r="F72" i="9"/>
  <c r="G72" i="9" s="1"/>
  <c r="K73" i="9" s="1"/>
  <c r="H38" i="1"/>
  <c r="J38" i="1" s="1"/>
  <c r="I86" i="10" l="1"/>
  <c r="F86" i="10" s="1"/>
  <c r="G86" i="10" s="1"/>
  <c r="K87" i="10" s="1"/>
  <c r="I87" i="10" s="1"/>
  <c r="J86" i="10"/>
  <c r="H73" i="9"/>
  <c r="J73" i="9" s="1"/>
  <c r="I73" i="9"/>
  <c r="F73" i="9" s="1"/>
  <c r="F38" i="1"/>
  <c r="G38" i="1" s="1"/>
  <c r="K39" i="1" s="1"/>
  <c r="I39" i="1" s="1"/>
  <c r="G73" i="9" l="1"/>
  <c r="K74" i="9" s="1"/>
  <c r="H74" i="9" s="1"/>
  <c r="J74" i="9" s="1"/>
  <c r="H87" i="10"/>
  <c r="F87" i="10" s="1"/>
  <c r="G87" i="10" s="1"/>
  <c r="K88" i="10" s="1"/>
  <c r="H88" i="10" s="1"/>
  <c r="I74" i="9"/>
  <c r="H39" i="1"/>
  <c r="F74" i="9" l="1"/>
  <c r="G74" i="9" s="1"/>
  <c r="K75" i="9" s="1"/>
  <c r="I88" i="10"/>
  <c r="F88" i="10" s="1"/>
  <c r="J87" i="10"/>
  <c r="J88" i="10" s="1"/>
  <c r="J39" i="1"/>
  <c r="F39" i="1"/>
  <c r="G39" i="1" s="1"/>
  <c r="K40" i="1" s="1"/>
  <c r="H40" i="1" s="1"/>
  <c r="G88" i="10" l="1"/>
  <c r="K89" i="10" s="1"/>
  <c r="I89" i="10" s="1"/>
  <c r="B12" i="10"/>
  <c r="I75" i="9"/>
  <c r="H75" i="9"/>
  <c r="J75" i="9" s="1"/>
  <c r="I40" i="1"/>
  <c r="F40" i="1" s="1"/>
  <c r="B8" i="1" s="1"/>
  <c r="J40" i="1"/>
  <c r="H89" i="10" l="1"/>
  <c r="J89" i="10"/>
  <c r="F89" i="10"/>
  <c r="G89" i="10" s="1"/>
  <c r="K90" i="10" s="1"/>
  <c r="F75" i="9"/>
  <c r="G75" i="9" s="1"/>
  <c r="K76" i="9" s="1"/>
  <c r="G40" i="1"/>
  <c r="K41" i="1" s="1"/>
  <c r="H41" i="1" s="1"/>
  <c r="I90" i="10" l="1"/>
  <c r="H90" i="10"/>
  <c r="C13" i="10" s="1"/>
  <c r="H76" i="9"/>
  <c r="J76" i="9" s="1"/>
  <c r="I76" i="9"/>
  <c r="J41" i="1"/>
  <c r="I41" i="1"/>
  <c r="F41" i="1" s="1"/>
  <c r="G41" i="1" s="1"/>
  <c r="K42" i="1" s="1"/>
  <c r="I42" i="1" s="1"/>
  <c r="F76" i="9" l="1"/>
  <c r="G76" i="9" s="1"/>
  <c r="K77" i="9" s="1"/>
  <c r="J90" i="10"/>
  <c r="F90" i="10"/>
  <c r="G90" i="10" s="1"/>
  <c r="K91" i="10" s="1"/>
  <c r="H42" i="1"/>
  <c r="C9" i="1" s="1"/>
  <c r="H5" i="2" s="1"/>
  <c r="B11" i="9" l="1"/>
  <c r="D8" i="4" s="1"/>
  <c r="I91" i="10"/>
  <c r="H91" i="10"/>
  <c r="I77" i="9"/>
  <c r="H77" i="9"/>
  <c r="J77" i="9" s="1"/>
  <c r="F42" i="1"/>
  <c r="G42" i="1" s="1"/>
  <c r="K43" i="1" s="1"/>
  <c r="H43" i="1" s="1"/>
  <c r="J42" i="1"/>
  <c r="F77" i="9" l="1"/>
  <c r="G77" i="9" s="1"/>
  <c r="K78" i="9" s="1"/>
  <c r="F91" i="10"/>
  <c r="G91" i="10" s="1"/>
  <c r="K92" i="10" s="1"/>
  <c r="J91" i="10"/>
  <c r="J43" i="1"/>
  <c r="I43" i="1"/>
  <c r="F43" i="1" s="1"/>
  <c r="G43" i="1" s="1"/>
  <c r="K44" i="1" s="1"/>
  <c r="H44" i="1" s="1"/>
  <c r="I92" i="10" l="1"/>
  <c r="H92" i="10"/>
  <c r="I78" i="9"/>
  <c r="H78" i="9"/>
  <c r="C12" i="9" s="1"/>
  <c r="J44" i="1"/>
  <c r="I44" i="1"/>
  <c r="F44" i="1" s="1"/>
  <c r="G44" i="1" s="1"/>
  <c r="K45" i="1" s="1"/>
  <c r="F92" i="10" l="1"/>
  <c r="G92" i="10" s="1"/>
  <c r="K93" i="10" s="1"/>
  <c r="J92" i="10"/>
  <c r="F78" i="9"/>
  <c r="G78" i="9" s="1"/>
  <c r="K79" i="9" s="1"/>
  <c r="J78" i="9"/>
  <c r="H45" i="1"/>
  <c r="I45" i="1"/>
  <c r="I93" i="10" l="1"/>
  <c r="H93" i="10"/>
  <c r="I79" i="9"/>
  <c r="H79" i="9"/>
  <c r="J79" i="9" s="1"/>
  <c r="F45" i="1"/>
  <c r="G45" i="1" s="1"/>
  <c r="K46" i="1" s="1"/>
  <c r="J45" i="1"/>
  <c r="F79" i="9" l="1"/>
  <c r="G79" i="9" s="1"/>
  <c r="K80" i="9" s="1"/>
  <c r="F93" i="10"/>
  <c r="G93" i="10" s="1"/>
  <c r="K94" i="10" s="1"/>
  <c r="J93" i="10"/>
  <c r="I46" i="1"/>
  <c r="H46" i="1"/>
  <c r="J46" i="1" s="1"/>
  <c r="I94" i="10" l="1"/>
  <c r="H94" i="10"/>
  <c r="I80" i="9"/>
  <c r="H80" i="9"/>
  <c r="J80" i="9" s="1"/>
  <c r="F46" i="1"/>
  <c r="G46" i="1" s="1"/>
  <c r="K47" i="1" s="1"/>
  <c r="I47" i="1" s="1"/>
  <c r="F94" i="10" l="1"/>
  <c r="G94" i="10" s="1"/>
  <c r="K95" i="10" s="1"/>
  <c r="I95" i="10" s="1"/>
  <c r="J94" i="10"/>
  <c r="F80" i="9"/>
  <c r="G80" i="9" s="1"/>
  <c r="K81" i="9" s="1"/>
  <c r="H47" i="1"/>
  <c r="J47" i="1" s="1"/>
  <c r="H95" i="10" l="1"/>
  <c r="F95" i="10" s="1"/>
  <c r="G95" i="10" s="1"/>
  <c r="K96" i="10" s="1"/>
  <c r="H96" i="10" s="1"/>
  <c r="I81" i="9"/>
  <c r="H81" i="9"/>
  <c r="J81" i="9" s="1"/>
  <c r="F47" i="1"/>
  <c r="G47" i="1" s="1"/>
  <c r="K48" i="1" s="1"/>
  <c r="I48" i="1" s="1"/>
  <c r="I96" i="10" l="1"/>
  <c r="F96" i="10" s="1"/>
  <c r="G96" i="10" s="1"/>
  <c r="K97" i="10" s="1"/>
  <c r="J95" i="10"/>
  <c r="J96" i="10" s="1"/>
  <c r="F81" i="9"/>
  <c r="G81" i="9" s="1"/>
  <c r="K82" i="9" s="1"/>
  <c r="H48" i="1"/>
  <c r="J48" i="1" s="1"/>
  <c r="I97" i="10" l="1"/>
  <c r="H97" i="10"/>
  <c r="J97" i="10"/>
  <c r="I82" i="9"/>
  <c r="H82" i="9"/>
  <c r="J82" i="9" s="1"/>
  <c r="F48" i="1"/>
  <c r="G48" i="1" s="1"/>
  <c r="K49" i="1" s="1"/>
  <c r="I49" i="1" s="1"/>
  <c r="F82" i="9" l="1"/>
  <c r="G82" i="9" s="1"/>
  <c r="K83" i="9" s="1"/>
  <c r="F97" i="10"/>
  <c r="G97" i="10" s="1"/>
  <c r="K98" i="10" s="1"/>
  <c r="H49" i="1"/>
  <c r="J49" i="1" s="1"/>
  <c r="H98" i="10" l="1"/>
  <c r="J98" i="10" s="1"/>
  <c r="I98" i="10"/>
  <c r="I83" i="9"/>
  <c r="H83" i="9"/>
  <c r="J83" i="9" s="1"/>
  <c r="F49" i="1"/>
  <c r="G49" i="1" s="1"/>
  <c r="K50" i="1" s="1"/>
  <c r="I50" i="1" s="1"/>
  <c r="F98" i="10" l="1"/>
  <c r="G98" i="10" s="1"/>
  <c r="K99" i="10" s="1"/>
  <c r="F83" i="9"/>
  <c r="G83" i="9" s="1"/>
  <c r="K84" i="9" s="1"/>
  <c r="H50" i="1"/>
  <c r="I99" i="10" l="1"/>
  <c r="H99" i="10"/>
  <c r="J99" i="10" s="1"/>
  <c r="I84" i="9"/>
  <c r="H84" i="9"/>
  <c r="J84" i="9" s="1"/>
  <c r="F50" i="1"/>
  <c r="G50" i="1" s="1"/>
  <c r="K51" i="1" s="1"/>
  <c r="H51" i="1" s="1"/>
  <c r="J50" i="1"/>
  <c r="F84" i="9" l="1"/>
  <c r="G84" i="9" s="1"/>
  <c r="K85" i="9" s="1"/>
  <c r="F99" i="10"/>
  <c r="T8" i="4"/>
  <c r="I51" i="1"/>
  <c r="F51" i="1" s="1"/>
  <c r="G51" i="1" s="1"/>
  <c r="K52" i="1" s="1"/>
  <c r="H52" i="1" s="1"/>
  <c r="J51" i="1"/>
  <c r="G99" i="10" l="1"/>
  <c r="K100" i="10" s="1"/>
  <c r="I85" i="9"/>
  <c r="H85" i="9"/>
  <c r="J85" i="9" s="1"/>
  <c r="T7" i="4"/>
  <c r="U8" i="4"/>
  <c r="I52" i="1"/>
  <c r="F52" i="1" s="1"/>
  <c r="G52" i="1" s="1"/>
  <c r="K53" i="1" s="1"/>
  <c r="J52" i="1"/>
  <c r="F85" i="9" l="1"/>
  <c r="G85" i="9" s="1"/>
  <c r="K86" i="9" s="1"/>
  <c r="I100" i="10"/>
  <c r="H100" i="10"/>
  <c r="J100" i="10" s="1"/>
  <c r="U7" i="4"/>
  <c r="B9" i="1"/>
  <c r="I53" i="1"/>
  <c r="H53" i="1"/>
  <c r="F100" i="10" l="1"/>
  <c r="I86" i="9"/>
  <c r="H86" i="9"/>
  <c r="J86" i="9" s="1"/>
  <c r="F53" i="1"/>
  <c r="G53" i="1" s="1"/>
  <c r="K54" i="1" s="1"/>
  <c r="H54" i="1" s="1"/>
  <c r="J53" i="1"/>
  <c r="G100" i="10" l="1"/>
  <c r="K101" i="10" s="1"/>
  <c r="B13" i="10"/>
  <c r="F86" i="9"/>
  <c r="G86" i="9" s="1"/>
  <c r="K87" i="9" s="1"/>
  <c r="C10" i="1"/>
  <c r="J54" i="1"/>
  <c r="I54" i="1"/>
  <c r="F54" i="1" s="1"/>
  <c r="G54" i="1" s="1"/>
  <c r="K55" i="1" s="1"/>
  <c r="H6" i="2" l="1"/>
  <c r="I101" i="10"/>
  <c r="H101" i="10"/>
  <c r="I87" i="9"/>
  <c r="H87" i="9"/>
  <c r="J87" i="9" s="1"/>
  <c r="H55" i="1"/>
  <c r="I55" i="1"/>
  <c r="F87" i="9" l="1"/>
  <c r="G87" i="9" s="1"/>
  <c r="K88" i="9" s="1"/>
  <c r="F101" i="10"/>
  <c r="G101" i="10" s="1"/>
  <c r="K102" i="10" s="1"/>
  <c r="J101" i="10"/>
  <c r="F55" i="1"/>
  <c r="G55" i="1" s="1"/>
  <c r="K56" i="1" s="1"/>
  <c r="J55" i="1"/>
  <c r="H102" i="10" l="1"/>
  <c r="C14" i="10" s="1"/>
  <c r="I102" i="10"/>
  <c r="F102" i="10" s="1"/>
  <c r="I88" i="9"/>
  <c r="H88" i="9"/>
  <c r="J88" i="9" s="1"/>
  <c r="I56" i="1"/>
  <c r="H56" i="1"/>
  <c r="F88" i="9" l="1"/>
  <c r="G88" i="9" s="1"/>
  <c r="K89" i="9" s="1"/>
  <c r="G102" i="10"/>
  <c r="K103" i="10" s="1"/>
  <c r="H103" i="10" s="1"/>
  <c r="J102" i="10"/>
  <c r="F56" i="1"/>
  <c r="G56" i="1" s="1"/>
  <c r="K57" i="1" s="1"/>
  <c r="H57" i="1" s="1"/>
  <c r="J56" i="1"/>
  <c r="I103" i="10" l="1"/>
  <c r="F103" i="10" s="1"/>
  <c r="G103" i="10" s="1"/>
  <c r="K104" i="10" s="1"/>
  <c r="J103" i="10"/>
  <c r="B12" i="9"/>
  <c r="D9" i="4" s="1"/>
  <c r="T9" i="4" s="1"/>
  <c r="U9" i="4" s="1"/>
  <c r="I89" i="9"/>
  <c r="H89" i="9"/>
  <c r="J89" i="9" s="1"/>
  <c r="J57" i="1"/>
  <c r="I57" i="1"/>
  <c r="F57" i="1" s="1"/>
  <c r="G57" i="1" s="1"/>
  <c r="K58" i="1" s="1"/>
  <c r="I58" i="1" s="1"/>
  <c r="F89" i="9" l="1"/>
  <c r="G89" i="9" s="1"/>
  <c r="K90" i="9" s="1"/>
  <c r="I104" i="10"/>
  <c r="H104" i="10"/>
  <c r="H58" i="1"/>
  <c r="F58" i="1" s="1"/>
  <c r="F104" i="10" l="1"/>
  <c r="G104" i="10" s="1"/>
  <c r="K105" i="10" s="1"/>
  <c r="J104" i="10"/>
  <c r="I90" i="9"/>
  <c r="H90" i="9"/>
  <c r="C13" i="9" s="1"/>
  <c r="J58" i="1"/>
  <c r="G58" i="1"/>
  <c r="K59" i="1" s="1"/>
  <c r="F90" i="9" l="1"/>
  <c r="G90" i="9" s="1"/>
  <c r="K91" i="9" s="1"/>
  <c r="I105" i="10"/>
  <c r="H105" i="10"/>
  <c r="J90" i="9"/>
  <c r="I59" i="1"/>
  <c r="H59" i="1"/>
  <c r="J59" i="1" s="1"/>
  <c r="F105" i="10" l="1"/>
  <c r="G105" i="10" s="1"/>
  <c r="K106" i="10" s="1"/>
  <c r="J105" i="10"/>
  <c r="I91" i="9"/>
  <c r="H91" i="9"/>
  <c r="J91" i="9" s="1"/>
  <c r="F59" i="1"/>
  <c r="G59" i="1" s="1"/>
  <c r="K60" i="1" s="1"/>
  <c r="H60" i="1" s="1"/>
  <c r="J60" i="1" s="1"/>
  <c r="F91" i="9" l="1"/>
  <c r="G91" i="9" s="1"/>
  <c r="K92" i="9" s="1"/>
  <c r="I106" i="10"/>
  <c r="H106" i="10"/>
  <c r="I60" i="1"/>
  <c r="F60" i="1" s="1"/>
  <c r="G60" i="1" s="1"/>
  <c r="K61" i="1" s="1"/>
  <c r="I61" i="1" s="1"/>
  <c r="F106" i="10" l="1"/>
  <c r="G106" i="10" s="1"/>
  <c r="K107" i="10" s="1"/>
  <c r="J106" i="10"/>
  <c r="I92" i="9"/>
  <c r="H92" i="9"/>
  <c r="J92" i="9" s="1"/>
  <c r="H61" i="1"/>
  <c r="J61" i="1" s="1"/>
  <c r="F92" i="9" l="1"/>
  <c r="G92" i="9" s="1"/>
  <c r="K93" i="9" s="1"/>
  <c r="H107" i="10"/>
  <c r="I107" i="10"/>
  <c r="J107" i="10"/>
  <c r="F61" i="1"/>
  <c r="G61" i="1" s="1"/>
  <c r="K62" i="1" s="1"/>
  <c r="F107" i="10" l="1"/>
  <c r="I93" i="9"/>
  <c r="H93" i="9"/>
  <c r="J93" i="9" s="1"/>
  <c r="I62" i="1"/>
  <c r="H62" i="1"/>
  <c r="J62" i="1" s="1"/>
  <c r="G107" i="10" l="1"/>
  <c r="K108" i="10" s="1"/>
  <c r="F93" i="9"/>
  <c r="G93" i="9" s="1"/>
  <c r="K94" i="9" s="1"/>
  <c r="F62" i="1"/>
  <c r="G62" i="1" s="1"/>
  <c r="K63" i="1" s="1"/>
  <c r="I63" i="1" s="1"/>
  <c r="I108" i="10" l="1"/>
  <c r="H108" i="10"/>
  <c r="I94" i="9"/>
  <c r="H94" i="9"/>
  <c r="J94" i="9" s="1"/>
  <c r="H63" i="1"/>
  <c r="J63" i="1" s="1"/>
  <c r="F108" i="10" l="1"/>
  <c r="J108" i="10"/>
  <c r="F94" i="9"/>
  <c r="G94" i="9" s="1"/>
  <c r="K95" i="9" s="1"/>
  <c r="F63" i="1"/>
  <c r="G63" i="1" s="1"/>
  <c r="K64" i="1" s="1"/>
  <c r="H64" i="1" s="1"/>
  <c r="G108" i="10" l="1"/>
  <c r="K109" i="10" s="1"/>
  <c r="I95" i="9"/>
  <c r="H95" i="9"/>
  <c r="J95" i="9" s="1"/>
  <c r="I64" i="1"/>
  <c r="F64" i="1" s="1"/>
  <c r="B10" i="1" s="1"/>
  <c r="J64" i="1"/>
  <c r="H109" i="10" l="1"/>
  <c r="J109" i="10" s="1"/>
  <c r="I109" i="10"/>
  <c r="F95" i="9"/>
  <c r="G95" i="9" s="1"/>
  <c r="K96" i="9" s="1"/>
  <c r="G64" i="1"/>
  <c r="K65" i="1" s="1"/>
  <c r="I65" i="1" s="1"/>
  <c r="F109" i="10" l="1"/>
  <c r="I96" i="9"/>
  <c r="H96" i="9"/>
  <c r="J96" i="9" s="1"/>
  <c r="H65" i="1"/>
  <c r="F96" i="9" l="1"/>
  <c r="G96" i="9" s="1"/>
  <c r="K97" i="9" s="1"/>
  <c r="G109" i="10"/>
  <c r="K110" i="10" s="1"/>
  <c r="J65" i="1"/>
  <c r="F65" i="1"/>
  <c r="G65" i="1" s="1"/>
  <c r="K66" i="1" s="1"/>
  <c r="I66" i="1" s="1"/>
  <c r="H110" i="10" l="1"/>
  <c r="J110" i="10" s="1"/>
  <c r="I110" i="10"/>
  <c r="I97" i="9"/>
  <c r="H97" i="9"/>
  <c r="J97" i="9" s="1"/>
  <c r="H66" i="1"/>
  <c r="C11" i="1" s="1"/>
  <c r="F97" i="9" l="1"/>
  <c r="G97" i="9" s="1"/>
  <c r="K98" i="9" s="1"/>
  <c r="H7" i="2"/>
  <c r="F110" i="10"/>
  <c r="J66" i="1"/>
  <c r="F66" i="1"/>
  <c r="G66" i="1" s="1"/>
  <c r="K67" i="1" s="1"/>
  <c r="G110" i="10" l="1"/>
  <c r="K111" i="10" s="1"/>
  <c r="I98" i="9"/>
  <c r="H98" i="9"/>
  <c r="J98" i="9" s="1"/>
  <c r="H67" i="1"/>
  <c r="I67" i="1"/>
  <c r="F98" i="9" l="1"/>
  <c r="G98" i="9" s="1"/>
  <c r="K99" i="9" s="1"/>
  <c r="I111" i="10"/>
  <c r="H111" i="10"/>
  <c r="J111" i="10" s="1"/>
  <c r="J67" i="1"/>
  <c r="F67" i="1"/>
  <c r="G67" i="1" s="1"/>
  <c r="K68" i="1" s="1"/>
  <c r="I68" i="1" s="1"/>
  <c r="F111" i="10" l="1"/>
  <c r="H99" i="9"/>
  <c r="J99" i="9" s="1"/>
  <c r="I99" i="9"/>
  <c r="F99" i="9" s="1"/>
  <c r="G99" i="9" s="1"/>
  <c r="K100" i="9" s="1"/>
  <c r="H68" i="1"/>
  <c r="G111" i="10" l="1"/>
  <c r="K112" i="10" s="1"/>
  <c r="I100" i="9"/>
  <c r="H100" i="9"/>
  <c r="J100" i="9" s="1"/>
  <c r="J68" i="1"/>
  <c r="F68" i="1"/>
  <c r="G68" i="1" s="1"/>
  <c r="K69" i="1" s="1"/>
  <c r="I69" i="1" s="1"/>
  <c r="F100" i="9" l="1"/>
  <c r="G100" i="9" s="1"/>
  <c r="K101" i="9" s="1"/>
  <c r="I112" i="10"/>
  <c r="H112" i="10"/>
  <c r="H69" i="1"/>
  <c r="J69" i="1" s="1"/>
  <c r="B13" i="9" l="1"/>
  <c r="D10" i="4" s="1"/>
  <c r="T10" i="4" s="1"/>
  <c r="U10" i="4" s="1"/>
  <c r="F112" i="10"/>
  <c r="J112" i="10"/>
  <c r="I101" i="9"/>
  <c r="H101" i="9"/>
  <c r="J101" i="9" s="1"/>
  <c r="F69" i="1"/>
  <c r="G69" i="1" s="1"/>
  <c r="K70" i="1" s="1"/>
  <c r="H70" i="1" s="1"/>
  <c r="J70" i="1" s="1"/>
  <c r="F101" i="9" l="1"/>
  <c r="G101" i="9" s="1"/>
  <c r="K102" i="9" s="1"/>
  <c r="G112" i="10"/>
  <c r="K113" i="10" s="1"/>
  <c r="B14" i="10"/>
  <c r="I70" i="1"/>
  <c r="F70" i="1" s="1"/>
  <c r="G70" i="1" s="1"/>
  <c r="K71" i="1" s="1"/>
  <c r="H71" i="1" s="1"/>
  <c r="J71" i="1" s="1"/>
  <c r="I113" i="10" l="1"/>
  <c r="H113" i="10"/>
  <c r="I102" i="9"/>
  <c r="H102" i="9"/>
  <c r="C14" i="9" s="1"/>
  <c r="I71" i="1"/>
  <c r="F71" i="1" s="1"/>
  <c r="G71" i="1" s="1"/>
  <c r="K72" i="1" s="1"/>
  <c r="I72" i="1" s="1"/>
  <c r="F102" i="9" l="1"/>
  <c r="G102" i="9" s="1"/>
  <c r="K103" i="9" s="1"/>
  <c r="F113" i="10"/>
  <c r="J113" i="10"/>
  <c r="J102" i="9"/>
  <c r="H72" i="1"/>
  <c r="J72" i="1" s="1"/>
  <c r="G113" i="10" l="1"/>
  <c r="K114" i="10" s="1"/>
  <c r="I103" i="9"/>
  <c r="H103" i="9"/>
  <c r="J103" i="9" s="1"/>
  <c r="F72" i="1"/>
  <c r="G72" i="1" s="1"/>
  <c r="K73" i="1" s="1"/>
  <c r="H73" i="1" s="1"/>
  <c r="J73" i="1" s="1"/>
  <c r="F103" i="9" l="1"/>
  <c r="G103" i="9" s="1"/>
  <c r="K104" i="9" s="1"/>
  <c r="H114" i="10"/>
  <c r="C15" i="10" s="1"/>
  <c r="I114" i="10"/>
  <c r="F114" i="10" s="1"/>
  <c r="J114" i="10"/>
  <c r="I73" i="1"/>
  <c r="F73" i="1" s="1"/>
  <c r="G73" i="1" s="1"/>
  <c r="K74" i="1" s="1"/>
  <c r="H74" i="1" s="1"/>
  <c r="J74" i="1" s="1"/>
  <c r="G114" i="10" l="1"/>
  <c r="K115" i="10" s="1"/>
  <c r="I104" i="9"/>
  <c r="H104" i="9"/>
  <c r="J104" i="9" s="1"/>
  <c r="I74" i="1"/>
  <c r="F74" i="1" s="1"/>
  <c r="G74" i="1" s="1"/>
  <c r="K75" i="1" s="1"/>
  <c r="H75" i="1" s="1"/>
  <c r="J75" i="1" s="1"/>
  <c r="H115" i="10" l="1"/>
  <c r="J115" i="10" s="1"/>
  <c r="I115" i="10"/>
  <c r="F104" i="9"/>
  <c r="G104" i="9" s="1"/>
  <c r="K105" i="9" s="1"/>
  <c r="I75" i="1"/>
  <c r="F75" i="1" s="1"/>
  <c r="G75" i="1" s="1"/>
  <c r="K76" i="1" s="1"/>
  <c r="I76" i="1" s="1"/>
  <c r="F115" i="10" l="1"/>
  <c r="I105" i="9"/>
  <c r="H105" i="9"/>
  <c r="J105" i="9" s="1"/>
  <c r="H76" i="1"/>
  <c r="F105" i="9" l="1"/>
  <c r="G105" i="9" s="1"/>
  <c r="K106" i="9" s="1"/>
  <c r="G115" i="10"/>
  <c r="K116" i="10" s="1"/>
  <c r="F76" i="1"/>
  <c r="B11" i="1" s="1"/>
  <c r="J76" i="1"/>
  <c r="I116" i="10" l="1"/>
  <c r="H116" i="10"/>
  <c r="I106" i="9"/>
  <c r="H106" i="9"/>
  <c r="J106" i="9" s="1"/>
  <c r="G76" i="1"/>
  <c r="K77" i="1" s="1"/>
  <c r="F106" i="9" l="1"/>
  <c r="G106" i="9" s="1"/>
  <c r="K107" i="9" s="1"/>
  <c r="F116" i="10"/>
  <c r="J116" i="10"/>
  <c r="H77" i="1"/>
  <c r="I77" i="1"/>
  <c r="G116" i="10" l="1"/>
  <c r="K117" i="10" s="1"/>
  <c r="I107" i="9"/>
  <c r="H107" i="9"/>
  <c r="J107" i="9" s="1"/>
  <c r="J77" i="1"/>
  <c r="F77" i="1"/>
  <c r="G77" i="1" s="1"/>
  <c r="K78" i="1" s="1"/>
  <c r="H78" i="1" s="1"/>
  <c r="F107" i="9" l="1"/>
  <c r="G107" i="9" s="1"/>
  <c r="K108" i="9" s="1"/>
  <c r="I117" i="10"/>
  <c r="H117" i="10"/>
  <c r="J117" i="10" s="1"/>
  <c r="C12" i="1"/>
  <c r="J78" i="1"/>
  <c r="I78" i="1"/>
  <c r="F78" i="1" s="1"/>
  <c r="G78" i="1" s="1"/>
  <c r="K79" i="1" s="1"/>
  <c r="I79" i="1" s="1"/>
  <c r="H8" i="2" l="1"/>
  <c r="F117" i="10"/>
  <c r="H108" i="9"/>
  <c r="J108" i="9" s="1"/>
  <c r="I108" i="9"/>
  <c r="F108" i="9" s="1"/>
  <c r="H79" i="1"/>
  <c r="G108" i="9" l="1"/>
  <c r="K109" i="9" s="1"/>
  <c r="G117" i="10"/>
  <c r="K118" i="10" s="1"/>
  <c r="I109" i="9"/>
  <c r="H109" i="9"/>
  <c r="J109" i="9" s="1"/>
  <c r="J79" i="1"/>
  <c r="F79" i="1"/>
  <c r="G79" i="1" s="1"/>
  <c r="K80" i="1" s="1"/>
  <c r="H80" i="1" s="1"/>
  <c r="F109" i="9" l="1"/>
  <c r="G109" i="9" s="1"/>
  <c r="K110" i="9" s="1"/>
  <c r="H118" i="10"/>
  <c r="J118" i="10"/>
  <c r="I118" i="10"/>
  <c r="J80" i="1"/>
  <c r="I80" i="1"/>
  <c r="F80" i="1" s="1"/>
  <c r="G80" i="1" s="1"/>
  <c r="K81" i="1" s="1"/>
  <c r="F118" i="10" l="1"/>
  <c r="G118" i="10" s="1"/>
  <c r="K119" i="10" s="1"/>
  <c r="I110" i="9"/>
  <c r="H110" i="9"/>
  <c r="J110" i="9" s="1"/>
  <c r="I81" i="1"/>
  <c r="H81" i="1"/>
  <c r="F110" i="9" l="1"/>
  <c r="G110" i="9" s="1"/>
  <c r="K111" i="9" s="1"/>
  <c r="H119" i="10"/>
  <c r="J119" i="10" s="1"/>
  <c r="I119" i="10"/>
  <c r="J81" i="1"/>
  <c r="F81" i="1"/>
  <c r="G81" i="1" s="1"/>
  <c r="K82" i="1" s="1"/>
  <c r="I82" i="1" s="1"/>
  <c r="F119" i="10" l="1"/>
  <c r="G119" i="10" s="1"/>
  <c r="K120" i="10" s="1"/>
  <c r="I111" i="9"/>
  <c r="H111" i="9"/>
  <c r="J111" i="9" s="1"/>
  <c r="H82" i="1"/>
  <c r="F111" i="9" l="1"/>
  <c r="G111" i="9" s="1"/>
  <c r="K112" i="9" s="1"/>
  <c r="H120" i="10"/>
  <c r="I120" i="10"/>
  <c r="J82" i="1"/>
  <c r="F82" i="1"/>
  <c r="G82" i="1" s="1"/>
  <c r="K83" i="1" s="1"/>
  <c r="F120" i="10" l="1"/>
  <c r="G120" i="10" s="1"/>
  <c r="K121" i="10" s="1"/>
  <c r="J120" i="10"/>
  <c r="H112" i="9"/>
  <c r="J112" i="9" s="1"/>
  <c r="I112" i="9"/>
  <c r="F112" i="9" s="1"/>
  <c r="H83" i="1"/>
  <c r="I83" i="1"/>
  <c r="H121" i="10" l="1"/>
  <c r="J121" i="10" s="1"/>
  <c r="I121" i="10"/>
  <c r="G112" i="9"/>
  <c r="K113" i="9" s="1"/>
  <c r="B14" i="9"/>
  <c r="D11" i="4" s="1"/>
  <c r="T11" i="4" s="1"/>
  <c r="U11" i="4" s="1"/>
  <c r="J83" i="1"/>
  <c r="F83" i="1"/>
  <c r="G83" i="1" s="1"/>
  <c r="K84" i="1" s="1"/>
  <c r="H84" i="1" s="1"/>
  <c r="F121" i="10" l="1"/>
  <c r="G121" i="10" s="1"/>
  <c r="K122" i="10" s="1"/>
  <c r="H113" i="9"/>
  <c r="J113" i="9" s="1"/>
  <c r="I113" i="9"/>
  <c r="F113" i="9" s="1"/>
  <c r="J84" i="1"/>
  <c r="I84" i="1"/>
  <c r="F84" i="1" s="1"/>
  <c r="G84" i="1" s="1"/>
  <c r="K85" i="1" s="1"/>
  <c r="H122" i="10" l="1"/>
  <c r="I122" i="10"/>
  <c r="J122" i="10"/>
  <c r="G113" i="9"/>
  <c r="K114" i="9" s="1"/>
  <c r="I85" i="1"/>
  <c r="H85" i="1"/>
  <c r="J85" i="1" s="1"/>
  <c r="F122" i="10" l="1"/>
  <c r="G122" i="10" s="1"/>
  <c r="K123" i="10" s="1"/>
  <c r="I114" i="9"/>
  <c r="H114" i="9"/>
  <c r="C15" i="9" s="1"/>
  <c r="F85" i="1"/>
  <c r="G85" i="1" s="1"/>
  <c r="K86" i="1" s="1"/>
  <c r="I123" i="10" l="1"/>
  <c r="H123" i="10"/>
  <c r="F114" i="9"/>
  <c r="G114" i="9" s="1"/>
  <c r="K115" i="9" s="1"/>
  <c r="J114" i="9"/>
  <c r="H86" i="1"/>
  <c r="J86" i="1" s="1"/>
  <c r="I86" i="1"/>
  <c r="F123" i="10" l="1"/>
  <c r="G123" i="10" s="1"/>
  <c r="K124" i="10" s="1"/>
  <c r="J123" i="10"/>
  <c r="I115" i="9"/>
  <c r="H115" i="9"/>
  <c r="J115" i="9" s="1"/>
  <c r="F86" i="1"/>
  <c r="G86" i="1" s="1"/>
  <c r="K87" i="1" s="1"/>
  <c r="H87" i="1" s="1"/>
  <c r="J87" i="1" s="1"/>
  <c r="F115" i="9" l="1"/>
  <c r="G115" i="9" s="1"/>
  <c r="K116" i="9" s="1"/>
  <c r="H124" i="10"/>
  <c r="J124" i="10" s="1"/>
  <c r="I124" i="10"/>
  <c r="I87" i="1"/>
  <c r="F87" i="1" s="1"/>
  <c r="G87" i="1" s="1"/>
  <c r="K88" i="1" s="1"/>
  <c r="H88" i="1" s="1"/>
  <c r="F124" i="10" l="1"/>
  <c r="I116" i="9"/>
  <c r="H116" i="9"/>
  <c r="J116" i="9" s="1"/>
  <c r="J88" i="1"/>
  <c r="I88" i="1"/>
  <c r="F88" i="1" s="1"/>
  <c r="G88" i="1" s="1"/>
  <c r="K89" i="1" s="1"/>
  <c r="I89" i="1" s="1"/>
  <c r="F116" i="9" l="1"/>
  <c r="G116" i="9" s="1"/>
  <c r="K117" i="9" s="1"/>
  <c r="G124" i="10"/>
  <c r="K125" i="10" s="1"/>
  <c r="B15" i="10"/>
  <c r="H89" i="1"/>
  <c r="B12" i="1"/>
  <c r="I125" i="10" l="1"/>
  <c r="H125" i="10"/>
  <c r="I117" i="9"/>
  <c r="H117" i="9"/>
  <c r="J117" i="9" s="1"/>
  <c r="J89" i="1"/>
  <c r="F89" i="1"/>
  <c r="G89" i="1" s="1"/>
  <c r="K90" i="1" s="1"/>
  <c r="H90" i="1" s="1"/>
  <c r="C13" i="1" s="1"/>
  <c r="F125" i="10" l="1"/>
  <c r="G125" i="10" s="1"/>
  <c r="K126" i="10" s="1"/>
  <c r="H9" i="2"/>
  <c r="J125" i="10"/>
  <c r="F117" i="9"/>
  <c r="G117" i="9" s="1"/>
  <c r="K118" i="9" s="1"/>
  <c r="J90" i="1"/>
  <c r="I90" i="1"/>
  <c r="F90" i="1" s="1"/>
  <c r="G90" i="1" s="1"/>
  <c r="K91" i="1" s="1"/>
  <c r="H91" i="1" s="1"/>
  <c r="J126" i="10" l="1"/>
  <c r="I126" i="10"/>
  <c r="H126" i="10"/>
  <c r="C16" i="10" s="1"/>
  <c r="I118" i="9"/>
  <c r="H118" i="9"/>
  <c r="J118" i="9" s="1"/>
  <c r="J91" i="1"/>
  <c r="I91" i="1"/>
  <c r="F91" i="1" s="1"/>
  <c r="G91" i="1" s="1"/>
  <c r="K92" i="1" s="1"/>
  <c r="H92" i="1" s="1"/>
  <c r="F126" i="10" l="1"/>
  <c r="G126" i="10" s="1"/>
  <c r="K127" i="10" s="1"/>
  <c r="F118" i="9"/>
  <c r="G118" i="9" s="1"/>
  <c r="K119" i="9" s="1"/>
  <c r="J92" i="1"/>
  <c r="I92" i="1"/>
  <c r="F92" i="1" s="1"/>
  <c r="G92" i="1" s="1"/>
  <c r="K93" i="1" s="1"/>
  <c r="I93" i="1" s="1"/>
  <c r="I127" i="10" l="1"/>
  <c r="H127" i="10"/>
  <c r="J127" i="10"/>
  <c r="I119" i="9"/>
  <c r="H119" i="9"/>
  <c r="J119" i="9" s="1"/>
  <c r="H93" i="1"/>
  <c r="J93" i="1" s="1"/>
  <c r="F127" i="10" l="1"/>
  <c r="G127" i="10" s="1"/>
  <c r="K128" i="10" s="1"/>
  <c r="F119" i="9"/>
  <c r="G119" i="9" s="1"/>
  <c r="K120" i="9" s="1"/>
  <c r="F93" i="1"/>
  <c r="G93" i="1" s="1"/>
  <c r="K94" i="1" s="1"/>
  <c r="H94" i="1" s="1"/>
  <c r="J94" i="1" s="1"/>
  <c r="H128" i="10" l="1"/>
  <c r="I128" i="10"/>
  <c r="J128" i="10"/>
  <c r="I120" i="9"/>
  <c r="H120" i="9"/>
  <c r="J120" i="9" s="1"/>
  <c r="I94" i="1"/>
  <c r="F94" i="1" s="1"/>
  <c r="G94" i="1" s="1"/>
  <c r="K95" i="1" s="1"/>
  <c r="H95" i="1" s="1"/>
  <c r="J95" i="1" s="1"/>
  <c r="F128" i="10" l="1"/>
  <c r="G128" i="10" s="1"/>
  <c r="K129" i="10" s="1"/>
  <c r="F120" i="9"/>
  <c r="G120" i="9" s="1"/>
  <c r="K121" i="9" s="1"/>
  <c r="I95" i="1"/>
  <c r="F95" i="1" s="1"/>
  <c r="G95" i="1" s="1"/>
  <c r="K96" i="1" s="1"/>
  <c r="I96" i="1" s="1"/>
  <c r="J129" i="10" l="1"/>
  <c r="H129" i="10"/>
  <c r="I129" i="10"/>
  <c r="I121" i="9"/>
  <c r="H121" i="9"/>
  <c r="J121" i="9" s="1"/>
  <c r="H96" i="1"/>
  <c r="J96" i="1" s="1"/>
  <c r="F129" i="10" l="1"/>
  <c r="G129" i="10" s="1"/>
  <c r="K130" i="10" s="1"/>
  <c r="F121" i="9"/>
  <c r="G121" i="9" s="1"/>
  <c r="K122" i="9" s="1"/>
  <c r="F96" i="1"/>
  <c r="G96" i="1" s="1"/>
  <c r="K97" i="1" s="1"/>
  <c r="I97" i="1" s="1"/>
  <c r="H130" i="10" l="1"/>
  <c r="J130" i="10"/>
  <c r="I130" i="10"/>
  <c r="I122" i="9"/>
  <c r="H122" i="9"/>
  <c r="J122" i="9" s="1"/>
  <c r="H97" i="1"/>
  <c r="J97" i="1" s="1"/>
  <c r="F130" i="10" l="1"/>
  <c r="G130" i="10" s="1"/>
  <c r="K131" i="10" s="1"/>
  <c r="I131" i="10" s="1"/>
  <c r="F122" i="9"/>
  <c r="G122" i="9" s="1"/>
  <c r="K123" i="9" s="1"/>
  <c r="F97" i="1"/>
  <c r="G97" i="1" s="1"/>
  <c r="K98" i="1" s="1"/>
  <c r="H98" i="1" s="1"/>
  <c r="J98" i="1" s="1"/>
  <c r="H131" i="10" l="1"/>
  <c r="F131" i="10" s="1"/>
  <c r="G131" i="10" s="1"/>
  <c r="K132" i="10" s="1"/>
  <c r="J132" i="10" s="1"/>
  <c r="J131" i="10"/>
  <c r="I132" i="10"/>
  <c r="I123" i="9"/>
  <c r="H123" i="9"/>
  <c r="J123" i="9" s="1"/>
  <c r="I98" i="1"/>
  <c r="F98" i="1" s="1"/>
  <c r="G98" i="1" s="1"/>
  <c r="K99" i="1" s="1"/>
  <c r="H99" i="1" s="1"/>
  <c r="J99" i="1" s="1"/>
  <c r="H132" i="10" l="1"/>
  <c r="F132" i="10" s="1"/>
  <c r="G132" i="10" s="1"/>
  <c r="K133" i="10" s="1"/>
  <c r="I133" i="10" s="1"/>
  <c r="F123" i="9"/>
  <c r="G123" i="9" s="1"/>
  <c r="K124" i="9" s="1"/>
  <c r="I99" i="1"/>
  <c r="F99" i="1" s="1"/>
  <c r="G99" i="1" s="1"/>
  <c r="K100" i="1" s="1"/>
  <c r="H100" i="1" s="1"/>
  <c r="J133" i="10" l="1"/>
  <c r="H133" i="10"/>
  <c r="F133" i="10" s="1"/>
  <c r="G133" i="10" s="1"/>
  <c r="K134" i="10" s="1"/>
  <c r="I134" i="10" s="1"/>
  <c r="H124" i="9"/>
  <c r="J124" i="9" s="1"/>
  <c r="I124" i="9"/>
  <c r="I100" i="1"/>
  <c r="F100" i="1" s="1"/>
  <c r="B13" i="1" s="1"/>
  <c r="J100" i="1"/>
  <c r="H134" i="10" l="1"/>
  <c r="F134" i="10" s="1"/>
  <c r="G134" i="10" s="1"/>
  <c r="K135" i="10" s="1"/>
  <c r="H135" i="10" s="1"/>
  <c r="J134" i="10"/>
  <c r="F124" i="9"/>
  <c r="G124" i="9" s="1"/>
  <c r="K125" i="9" s="1"/>
  <c r="G100" i="1"/>
  <c r="K101" i="1" s="1"/>
  <c r="I101" i="1" s="1"/>
  <c r="B15" i="9" l="1"/>
  <c r="D12" i="4" s="1"/>
  <c r="T12" i="4" s="1"/>
  <c r="U12" i="4" s="1"/>
  <c r="I135" i="10"/>
  <c r="F135" i="10" s="1"/>
  <c r="G135" i="10" s="1"/>
  <c r="K136" i="10" s="1"/>
  <c r="J135" i="10"/>
  <c r="I125" i="9"/>
  <c r="H125" i="9"/>
  <c r="J125" i="9" s="1"/>
  <c r="H101" i="1"/>
  <c r="J136" i="10" l="1"/>
  <c r="H136" i="10"/>
  <c r="I136" i="10"/>
  <c r="F136" i="10" s="1"/>
  <c r="F125" i="9"/>
  <c r="G125" i="9" s="1"/>
  <c r="K126" i="9" s="1"/>
  <c r="J101" i="1"/>
  <c r="F101" i="1"/>
  <c r="G101" i="1" s="1"/>
  <c r="K102" i="1" s="1"/>
  <c r="I102" i="1" s="1"/>
  <c r="G136" i="10" l="1"/>
  <c r="K137" i="10" s="1"/>
  <c r="J137" i="10" s="1"/>
  <c r="B16" i="10"/>
  <c r="H137" i="10"/>
  <c r="H126" i="9"/>
  <c r="C16" i="9" s="1"/>
  <c r="I126" i="9"/>
  <c r="F126" i="9" s="1"/>
  <c r="H102" i="1"/>
  <c r="C14" i="1" s="1"/>
  <c r="I137" i="10" l="1"/>
  <c r="F137" i="10" s="1"/>
  <c r="G137" i="10" s="1"/>
  <c r="K138" i="10" s="1"/>
  <c r="H10" i="2"/>
  <c r="G126" i="9"/>
  <c r="K127" i="9" s="1"/>
  <c r="J126" i="9"/>
  <c r="J102" i="1"/>
  <c r="F102" i="1"/>
  <c r="G102" i="1" s="1"/>
  <c r="K103" i="1" s="1"/>
  <c r="I103" i="1" s="1"/>
  <c r="J138" i="10" l="1"/>
  <c r="H138" i="10"/>
  <c r="C17" i="10" s="1"/>
  <c r="I138" i="10"/>
  <c r="I127" i="9"/>
  <c r="H127" i="9"/>
  <c r="J127" i="9" s="1"/>
  <c r="H103" i="1"/>
  <c r="F127" i="9" l="1"/>
  <c r="G127" i="9" s="1"/>
  <c r="K128" i="9" s="1"/>
  <c r="F138" i="10"/>
  <c r="G138" i="10" s="1"/>
  <c r="K139" i="10" s="1"/>
  <c r="J103" i="1"/>
  <c r="F103" i="1"/>
  <c r="G103" i="1" s="1"/>
  <c r="K104" i="1" s="1"/>
  <c r="I104" i="1" s="1"/>
  <c r="J139" i="10" l="1"/>
  <c r="H139" i="10"/>
  <c r="I139" i="10"/>
  <c r="I128" i="9"/>
  <c r="H128" i="9"/>
  <c r="J128" i="9" s="1"/>
  <c r="H104" i="1"/>
  <c r="F139" i="10" l="1"/>
  <c r="G139" i="10" s="1"/>
  <c r="K140" i="10" s="1"/>
  <c r="F128" i="9"/>
  <c r="G128" i="9" s="1"/>
  <c r="K129" i="9" s="1"/>
  <c r="J104" i="1"/>
  <c r="F104" i="1"/>
  <c r="G104" i="1" s="1"/>
  <c r="K105" i="1" s="1"/>
  <c r="H105" i="1" s="1"/>
  <c r="I140" i="10" l="1"/>
  <c r="J140" i="10"/>
  <c r="H140" i="10"/>
  <c r="I129" i="9"/>
  <c r="H129" i="9"/>
  <c r="J129" i="9" s="1"/>
  <c r="J105" i="1"/>
  <c r="I105" i="1"/>
  <c r="F105" i="1" s="1"/>
  <c r="G105" i="1" s="1"/>
  <c r="K106" i="1" s="1"/>
  <c r="H106" i="1" s="1"/>
  <c r="F140" i="10" l="1"/>
  <c r="G140" i="10" s="1"/>
  <c r="K141" i="10" s="1"/>
  <c r="F129" i="9"/>
  <c r="G129" i="9" s="1"/>
  <c r="K130" i="9" s="1"/>
  <c r="J106" i="1"/>
  <c r="I106" i="1"/>
  <c r="F106" i="1" s="1"/>
  <c r="G106" i="1" s="1"/>
  <c r="K107" i="1" s="1"/>
  <c r="I107" i="1" s="1"/>
  <c r="J141" i="10" l="1"/>
  <c r="H141" i="10"/>
  <c r="I141" i="10"/>
  <c r="I130" i="9"/>
  <c r="F130" i="9" s="1"/>
  <c r="H130" i="9"/>
  <c r="J130" i="9" s="1"/>
  <c r="H107" i="1"/>
  <c r="J107" i="1" s="1"/>
  <c r="F141" i="10" l="1"/>
  <c r="G141" i="10" s="1"/>
  <c r="K142" i="10" s="1"/>
  <c r="G130" i="9"/>
  <c r="K131" i="9" s="1"/>
  <c r="F107" i="1"/>
  <c r="G107" i="1" s="1"/>
  <c r="K108" i="1" s="1"/>
  <c r="H108" i="1" s="1"/>
  <c r="J108" i="1" s="1"/>
  <c r="H142" i="10" l="1"/>
  <c r="I142" i="10"/>
  <c r="J142" i="10"/>
  <c r="I131" i="9"/>
  <c r="H131" i="9"/>
  <c r="J131" i="9" s="1"/>
  <c r="I108" i="1"/>
  <c r="F108" i="1" s="1"/>
  <c r="G108" i="1" s="1"/>
  <c r="K109" i="1" s="1"/>
  <c r="I109" i="1" s="1"/>
  <c r="F142" i="10" l="1"/>
  <c r="G142" i="10" s="1"/>
  <c r="K143" i="10" s="1"/>
  <c r="I143" i="10" s="1"/>
  <c r="F131" i="9"/>
  <c r="G131" i="9" s="1"/>
  <c r="K132" i="9" s="1"/>
  <c r="H109" i="1"/>
  <c r="J109" i="1" s="1"/>
  <c r="J143" i="10" l="1"/>
  <c r="H143" i="10"/>
  <c r="F143" i="10" s="1"/>
  <c r="G143" i="10" s="1"/>
  <c r="K144" i="10" s="1"/>
  <c r="H144" i="10" s="1"/>
  <c r="I132" i="9"/>
  <c r="H132" i="9"/>
  <c r="J132" i="9" s="1"/>
  <c r="F109" i="1"/>
  <c r="G109" i="1" s="1"/>
  <c r="K110" i="1" s="1"/>
  <c r="I110" i="1" s="1"/>
  <c r="I144" i="10" l="1"/>
  <c r="F144" i="10" s="1"/>
  <c r="G144" i="10" s="1"/>
  <c r="K145" i="10" s="1"/>
  <c r="J144" i="10"/>
  <c r="F132" i="9"/>
  <c r="G132" i="9" s="1"/>
  <c r="K133" i="9" s="1"/>
  <c r="H110" i="1"/>
  <c r="J110" i="1" s="1"/>
  <c r="H145" i="10" l="1"/>
  <c r="J145" i="10"/>
  <c r="I145" i="10"/>
  <c r="I133" i="9"/>
  <c r="H133" i="9"/>
  <c r="J133" i="9" s="1"/>
  <c r="F110" i="1"/>
  <c r="G110" i="1" s="1"/>
  <c r="K111" i="1" s="1"/>
  <c r="H111" i="1" s="1"/>
  <c r="J111" i="1" s="1"/>
  <c r="F145" i="10" l="1"/>
  <c r="G145" i="10" s="1"/>
  <c r="K146" i="10" s="1"/>
  <c r="F133" i="9"/>
  <c r="G133" i="9" s="1"/>
  <c r="K134" i="9" s="1"/>
  <c r="I111" i="1"/>
  <c r="F111" i="1" s="1"/>
  <c r="G111" i="1" s="1"/>
  <c r="K112" i="1" s="1"/>
  <c r="H112" i="1" s="1"/>
  <c r="I146" i="10" l="1"/>
  <c r="J146" i="10"/>
  <c r="H146" i="10"/>
  <c r="I134" i="9"/>
  <c r="H134" i="9"/>
  <c r="J134" i="9" s="1"/>
  <c r="I112" i="1"/>
  <c r="F112" i="1" s="1"/>
  <c r="G112" i="1" s="1"/>
  <c r="K113" i="1" s="1"/>
  <c r="H113" i="1" s="1"/>
  <c r="J112" i="1"/>
  <c r="F146" i="10" l="1"/>
  <c r="G146" i="10" s="1"/>
  <c r="K147" i="10" s="1"/>
  <c r="F134" i="9"/>
  <c r="G134" i="9" s="1"/>
  <c r="K135" i="9" s="1"/>
  <c r="B14" i="1"/>
  <c r="I113" i="1"/>
  <c r="F113" i="1" s="1"/>
  <c r="G113" i="1" s="1"/>
  <c r="K114" i="1" s="1"/>
  <c r="I114" i="1" s="1"/>
  <c r="J113" i="1"/>
  <c r="H147" i="10" l="1"/>
  <c r="I147" i="10"/>
  <c r="J147" i="10"/>
  <c r="H135" i="9"/>
  <c r="J135" i="9" s="1"/>
  <c r="I135" i="9"/>
  <c r="F135" i="9" s="1"/>
  <c r="H114" i="1"/>
  <c r="C15" i="1" s="1"/>
  <c r="G135" i="9" l="1"/>
  <c r="K136" i="9" s="1"/>
  <c r="I136" i="9" s="1"/>
  <c r="F147" i="10"/>
  <c r="H11" i="2"/>
  <c r="J114" i="1"/>
  <c r="F114" i="1"/>
  <c r="G114" i="1" s="1"/>
  <c r="K115" i="1" s="1"/>
  <c r="H115" i="1" s="1"/>
  <c r="H136" i="9" l="1"/>
  <c r="J136" i="9" s="1"/>
  <c r="G147" i="10"/>
  <c r="K148" i="10" s="1"/>
  <c r="F136" i="9"/>
  <c r="G136" i="9" s="1"/>
  <c r="K137" i="9" s="1"/>
  <c r="I115" i="1"/>
  <c r="F115" i="1" s="1"/>
  <c r="G115" i="1" s="1"/>
  <c r="K116" i="1" s="1"/>
  <c r="I116" i="1" s="1"/>
  <c r="J115" i="1"/>
  <c r="J148" i="10" l="1"/>
  <c r="H148" i="10"/>
  <c r="I148" i="10"/>
  <c r="B16" i="9"/>
  <c r="D13" i="4" s="1"/>
  <c r="T13" i="4" s="1"/>
  <c r="U13" i="4" s="1"/>
  <c r="I137" i="9"/>
  <c r="H137" i="9"/>
  <c r="J137" i="9" s="1"/>
  <c r="H116" i="1"/>
  <c r="J116" i="1" s="1"/>
  <c r="F148" i="10" l="1"/>
  <c r="F137" i="9"/>
  <c r="G137" i="9" s="1"/>
  <c r="K138" i="9" s="1"/>
  <c r="F116" i="1"/>
  <c r="G116" i="1" s="1"/>
  <c r="K117" i="1" s="1"/>
  <c r="I117" i="1" s="1"/>
  <c r="G148" i="10" l="1"/>
  <c r="K149" i="10" s="1"/>
  <c r="B17" i="10"/>
  <c r="I138" i="9"/>
  <c r="H138" i="9"/>
  <c r="C17" i="9" s="1"/>
  <c r="H117" i="1"/>
  <c r="J117" i="1" s="1"/>
  <c r="H149" i="10" l="1"/>
  <c r="I149" i="10"/>
  <c r="J149" i="10"/>
  <c r="F138" i="9"/>
  <c r="G138" i="9" s="1"/>
  <c r="K139" i="9" s="1"/>
  <c r="J138" i="9"/>
  <c r="F117" i="1"/>
  <c r="G117" i="1" s="1"/>
  <c r="K118" i="1" s="1"/>
  <c r="I118" i="1" s="1"/>
  <c r="F149" i="10" l="1"/>
  <c r="G149" i="10" s="1"/>
  <c r="K150" i="10" s="1"/>
  <c r="I139" i="9"/>
  <c r="H139" i="9"/>
  <c r="J139" i="9" s="1"/>
  <c r="H118" i="1"/>
  <c r="J118" i="1" s="1"/>
  <c r="H150" i="10" l="1"/>
  <c r="C18" i="10" s="1"/>
  <c r="J150" i="10"/>
  <c r="I150" i="10"/>
  <c r="F150" i="10" s="1"/>
  <c r="G150" i="10" s="1"/>
  <c r="K151" i="10" s="1"/>
  <c r="F139" i="9"/>
  <c r="G139" i="9" s="1"/>
  <c r="K140" i="9" s="1"/>
  <c r="F118" i="1"/>
  <c r="G118" i="1" s="1"/>
  <c r="K119" i="1" s="1"/>
  <c r="H119" i="1" s="1"/>
  <c r="J119" i="1" s="1"/>
  <c r="J151" i="10" l="1"/>
  <c r="I151" i="10"/>
  <c r="H151" i="10"/>
  <c r="I140" i="9"/>
  <c r="H140" i="9"/>
  <c r="J140" i="9" s="1"/>
  <c r="I119" i="1"/>
  <c r="F119" i="1" s="1"/>
  <c r="G119" i="1" s="1"/>
  <c r="K120" i="1" s="1"/>
  <c r="I120" i="1" s="1"/>
  <c r="F151" i="10" l="1"/>
  <c r="G151" i="10" s="1"/>
  <c r="K152" i="10" s="1"/>
  <c r="F140" i="9"/>
  <c r="G140" i="9" s="1"/>
  <c r="K141" i="9" s="1"/>
  <c r="H120" i="1"/>
  <c r="J120" i="1" s="1"/>
  <c r="I152" i="10" l="1"/>
  <c r="H152" i="10"/>
  <c r="J152" i="10"/>
  <c r="I141" i="9"/>
  <c r="H141" i="9"/>
  <c r="J141" i="9" s="1"/>
  <c r="F120" i="1"/>
  <c r="G120" i="1" s="1"/>
  <c r="K121" i="1" s="1"/>
  <c r="I121" i="1" s="1"/>
  <c r="F152" i="10" l="1"/>
  <c r="G152" i="10" s="1"/>
  <c r="K153" i="10" s="1"/>
  <c r="I153" i="10" s="1"/>
  <c r="J153" i="10"/>
  <c r="H153" i="10"/>
  <c r="F141" i="9"/>
  <c r="G141" i="9" s="1"/>
  <c r="K142" i="9" s="1"/>
  <c r="H121" i="1"/>
  <c r="J121" i="1" s="1"/>
  <c r="F153" i="10" l="1"/>
  <c r="G153" i="10" s="1"/>
  <c r="K154" i="10" s="1"/>
  <c r="I142" i="9"/>
  <c r="H142" i="9"/>
  <c r="J142" i="9" s="1"/>
  <c r="F121" i="1"/>
  <c r="G121" i="1" s="1"/>
  <c r="K122" i="1" s="1"/>
  <c r="H122" i="1" s="1"/>
  <c r="J122" i="1" s="1"/>
  <c r="I154" i="10" l="1"/>
  <c r="H154" i="10"/>
  <c r="J154" i="10"/>
  <c r="F142" i="9"/>
  <c r="G142" i="9" s="1"/>
  <c r="K143" i="9" s="1"/>
  <c r="I122" i="1"/>
  <c r="F122" i="1" s="1"/>
  <c r="G122" i="1" s="1"/>
  <c r="K123" i="1" s="1"/>
  <c r="I123" i="1" s="1"/>
  <c r="F154" i="10" l="1"/>
  <c r="G154" i="10" s="1"/>
  <c r="K155" i="10" s="1"/>
  <c r="I143" i="9"/>
  <c r="H143" i="9"/>
  <c r="J143" i="9" s="1"/>
  <c r="H123" i="1"/>
  <c r="J123" i="1" s="1"/>
  <c r="J155" i="10" l="1"/>
  <c r="I155" i="10"/>
  <c r="H155" i="10"/>
  <c r="F143" i="9"/>
  <c r="G143" i="9" s="1"/>
  <c r="K144" i="9" s="1"/>
  <c r="F123" i="1"/>
  <c r="G123" i="1" s="1"/>
  <c r="K124" i="1" s="1"/>
  <c r="H124" i="1" s="1"/>
  <c r="F155" i="10" l="1"/>
  <c r="G155" i="10" s="1"/>
  <c r="K156" i="10" s="1"/>
  <c r="I144" i="9"/>
  <c r="H144" i="9"/>
  <c r="J144" i="9" s="1"/>
  <c r="I124" i="1"/>
  <c r="F124" i="1" s="1"/>
  <c r="B15" i="1" s="1"/>
  <c r="J124" i="1"/>
  <c r="J156" i="10" l="1"/>
  <c r="I156" i="10"/>
  <c r="H156" i="10"/>
  <c r="F144" i="9"/>
  <c r="G144" i="9" s="1"/>
  <c r="K145" i="9" s="1"/>
  <c r="G124" i="1"/>
  <c r="K125" i="1" s="1"/>
  <c r="I125" i="1" s="1"/>
  <c r="F156" i="10" l="1"/>
  <c r="H145" i="9"/>
  <c r="J145" i="9" s="1"/>
  <c r="I145" i="9"/>
  <c r="F145" i="9" s="1"/>
  <c r="G145" i="9" s="1"/>
  <c r="K146" i="9" s="1"/>
  <c r="H125" i="1"/>
  <c r="G156" i="10" l="1"/>
  <c r="K157" i="10" s="1"/>
  <c r="I146" i="9"/>
  <c r="H146" i="9"/>
  <c r="J146" i="9" s="1"/>
  <c r="J125" i="1"/>
  <c r="F125" i="1"/>
  <c r="G125" i="1" s="1"/>
  <c r="K126" i="1" s="1"/>
  <c r="I126" i="1" s="1"/>
  <c r="H157" i="10" l="1"/>
  <c r="J157" i="10"/>
  <c r="I157" i="10"/>
  <c r="F146" i="9"/>
  <c r="G146" i="9" s="1"/>
  <c r="K147" i="9" s="1"/>
  <c r="H126" i="1"/>
  <c r="C16" i="1" s="1"/>
  <c r="F157" i="10" l="1"/>
  <c r="H12" i="2"/>
  <c r="I147" i="9"/>
  <c r="H147" i="9"/>
  <c r="J147" i="9" s="1"/>
  <c r="J126" i="1"/>
  <c r="F126" i="1"/>
  <c r="G126" i="1" s="1"/>
  <c r="K127" i="1" s="1"/>
  <c r="H127" i="1" s="1"/>
  <c r="G157" i="10" l="1"/>
  <c r="K158" i="10" s="1"/>
  <c r="F147" i="9"/>
  <c r="G147" i="9" s="1"/>
  <c r="K148" i="9" s="1"/>
  <c r="I127" i="1"/>
  <c r="F127" i="1" s="1"/>
  <c r="G127" i="1" s="1"/>
  <c r="K128" i="1" s="1"/>
  <c r="I128" i="1" s="1"/>
  <c r="J127" i="1"/>
  <c r="I158" i="10" l="1"/>
  <c r="H158" i="10"/>
  <c r="J158" i="10"/>
  <c r="I148" i="9"/>
  <c r="H148" i="9"/>
  <c r="J148" i="9" s="1"/>
  <c r="H128" i="1"/>
  <c r="F158" i="10" l="1"/>
  <c r="F148" i="9"/>
  <c r="G148" i="9" s="1"/>
  <c r="K149" i="9" s="1"/>
  <c r="J128" i="1"/>
  <c r="F128" i="1"/>
  <c r="G128" i="1" s="1"/>
  <c r="K129" i="1" s="1"/>
  <c r="I129" i="1" s="1"/>
  <c r="G158" i="10" l="1"/>
  <c r="K159" i="10" s="1"/>
  <c r="B17" i="9"/>
  <c r="D14" i="4" s="1"/>
  <c r="T14" i="4" s="1"/>
  <c r="U14" i="4" s="1"/>
  <c r="I149" i="9"/>
  <c r="H149" i="9"/>
  <c r="J149" i="9" s="1"/>
  <c r="H129" i="1"/>
  <c r="H159" i="10" l="1"/>
  <c r="J159" i="10"/>
  <c r="I159" i="10"/>
  <c r="F149" i="9"/>
  <c r="G149" i="9" s="1"/>
  <c r="K150" i="9" s="1"/>
  <c r="J129" i="1"/>
  <c r="F129" i="1"/>
  <c r="G129" i="1" s="1"/>
  <c r="K130" i="1" s="1"/>
  <c r="I130" i="1" s="1"/>
  <c r="F159" i="10" l="1"/>
  <c r="I150" i="9"/>
  <c r="H150" i="9"/>
  <c r="C18" i="9" s="1"/>
  <c r="H130" i="1"/>
  <c r="J130" i="1" s="1"/>
  <c r="G159" i="10" l="1"/>
  <c r="K160" i="10" s="1"/>
  <c r="F150" i="9"/>
  <c r="G150" i="9" s="1"/>
  <c r="K151" i="9" s="1"/>
  <c r="J150" i="9"/>
  <c r="F130" i="1"/>
  <c r="G130" i="1" s="1"/>
  <c r="K131" i="1" s="1"/>
  <c r="H131" i="1" s="1"/>
  <c r="J131" i="1" s="1"/>
  <c r="J160" i="10" l="1"/>
  <c r="I160" i="10"/>
  <c r="H160" i="10"/>
  <c r="I151" i="9"/>
  <c r="H151" i="9"/>
  <c r="J151" i="9" s="1"/>
  <c r="I131" i="1"/>
  <c r="F131" i="1" s="1"/>
  <c r="G131" i="1" s="1"/>
  <c r="K132" i="1" s="1"/>
  <c r="H132" i="1" s="1"/>
  <c r="J132" i="1" s="1"/>
  <c r="F160" i="10" l="1"/>
  <c r="G160" i="10" s="1"/>
  <c r="K161" i="10" s="1"/>
  <c r="F151" i="9"/>
  <c r="G151" i="9" s="1"/>
  <c r="K152" i="9" s="1"/>
  <c r="I132" i="1"/>
  <c r="F132" i="1" s="1"/>
  <c r="G132" i="1" s="1"/>
  <c r="K133" i="1" s="1"/>
  <c r="I133" i="1" s="1"/>
  <c r="B18" i="10" l="1"/>
  <c r="H161" i="10"/>
  <c r="I161" i="10"/>
  <c r="J161" i="10"/>
  <c r="I152" i="9"/>
  <c r="H152" i="9"/>
  <c r="J152" i="9" s="1"/>
  <c r="H133" i="1"/>
  <c r="J133" i="1" s="1"/>
  <c r="F161" i="10" l="1"/>
  <c r="G161" i="10" s="1"/>
  <c r="K162" i="10" s="1"/>
  <c r="F152" i="9"/>
  <c r="G152" i="9" s="1"/>
  <c r="K153" i="9" s="1"/>
  <c r="F133" i="1"/>
  <c r="G133" i="1" s="1"/>
  <c r="K134" i="1" s="1"/>
  <c r="H134" i="1" s="1"/>
  <c r="J134" i="1" s="1"/>
  <c r="J162" i="10" l="1"/>
  <c r="I162" i="10"/>
  <c r="F162" i="10" s="1"/>
  <c r="H162" i="10"/>
  <c r="C19" i="10" s="1"/>
  <c r="I153" i="9"/>
  <c r="H153" i="9"/>
  <c r="J153" i="9" s="1"/>
  <c r="I134" i="1"/>
  <c r="F134" i="1" s="1"/>
  <c r="G134" i="1" s="1"/>
  <c r="K135" i="1" s="1"/>
  <c r="H135" i="1" s="1"/>
  <c r="G162" i="10" l="1"/>
  <c r="K163" i="10" s="1"/>
  <c r="J163" i="10" s="1"/>
  <c r="F153" i="9"/>
  <c r="G153" i="9" s="1"/>
  <c r="K154" i="9" s="1"/>
  <c r="J135" i="1"/>
  <c r="I135" i="1"/>
  <c r="F135" i="1" s="1"/>
  <c r="G135" i="1" s="1"/>
  <c r="K136" i="1" s="1"/>
  <c r="H136" i="1" s="1"/>
  <c r="I163" i="10" l="1"/>
  <c r="H163" i="10"/>
  <c r="F163" i="10" s="1"/>
  <c r="G163" i="10" s="1"/>
  <c r="K164" i="10" s="1"/>
  <c r="J164" i="10" s="1"/>
  <c r="I154" i="9"/>
  <c r="H154" i="9"/>
  <c r="J154" i="9" s="1"/>
  <c r="I136" i="1"/>
  <c r="F136" i="1" s="1"/>
  <c r="G136" i="1" s="1"/>
  <c r="K137" i="1" s="1"/>
  <c r="H137" i="1" s="1"/>
  <c r="J136" i="1"/>
  <c r="I164" i="10" l="1"/>
  <c r="H164" i="10"/>
  <c r="F164" i="10"/>
  <c r="F154" i="9"/>
  <c r="G154" i="9" s="1"/>
  <c r="K155" i="9" s="1"/>
  <c r="I137" i="1"/>
  <c r="F137" i="1" s="1"/>
  <c r="G137" i="1" s="1"/>
  <c r="K138" i="1" s="1"/>
  <c r="I138" i="1" s="1"/>
  <c r="J137" i="1"/>
  <c r="B16" i="1"/>
  <c r="G164" i="10" l="1"/>
  <c r="K165" i="10" s="1"/>
  <c r="I155" i="9"/>
  <c r="H155" i="9"/>
  <c r="J155" i="9" s="1"/>
  <c r="H138" i="1"/>
  <c r="C17" i="1" s="1"/>
  <c r="J165" i="10" l="1"/>
  <c r="I165" i="10"/>
  <c r="H165" i="10"/>
  <c r="H13" i="2"/>
  <c r="F155" i="9"/>
  <c r="G155" i="9" s="1"/>
  <c r="K156" i="9" s="1"/>
  <c r="J138" i="1"/>
  <c r="F138" i="1"/>
  <c r="G138" i="1" s="1"/>
  <c r="K139" i="1" s="1"/>
  <c r="I139" i="1" s="1"/>
  <c r="F165" i="10" l="1"/>
  <c r="G165" i="10" s="1"/>
  <c r="K166" i="10" s="1"/>
  <c r="H156" i="9"/>
  <c r="J156" i="9" s="1"/>
  <c r="I156" i="9"/>
  <c r="F156" i="9" s="1"/>
  <c r="G156" i="9" s="1"/>
  <c r="K157" i="9" s="1"/>
  <c r="H139" i="1"/>
  <c r="H166" i="10" l="1"/>
  <c r="I166" i="10"/>
  <c r="J166" i="10"/>
  <c r="I157" i="9"/>
  <c r="H157" i="9"/>
  <c r="J157" i="9" s="1"/>
  <c r="J139" i="1"/>
  <c r="F139" i="1"/>
  <c r="G139" i="1" s="1"/>
  <c r="K140" i="1" s="1"/>
  <c r="I140" i="1" s="1"/>
  <c r="F166" i="10" l="1"/>
  <c r="F157" i="9"/>
  <c r="G157" i="9" s="1"/>
  <c r="K158" i="9" s="1"/>
  <c r="H140" i="1"/>
  <c r="J140" i="1" s="1"/>
  <c r="G166" i="10" l="1"/>
  <c r="K167" i="10" s="1"/>
  <c r="H158" i="9"/>
  <c r="J158" i="9" s="1"/>
  <c r="I158" i="9"/>
  <c r="F158" i="9" s="1"/>
  <c r="G158" i="9" s="1"/>
  <c r="K159" i="9" s="1"/>
  <c r="F140" i="1"/>
  <c r="G140" i="1" s="1"/>
  <c r="K141" i="1" s="1"/>
  <c r="I141" i="1" s="1"/>
  <c r="H167" i="10" l="1"/>
  <c r="J167" i="10"/>
  <c r="I167" i="10"/>
  <c r="I159" i="9"/>
  <c r="H159" i="9"/>
  <c r="J159" i="9" s="1"/>
  <c r="H141" i="1"/>
  <c r="J141" i="1" s="1"/>
  <c r="F167" i="10" l="1"/>
  <c r="F159" i="9"/>
  <c r="G159" i="9" s="1"/>
  <c r="K160" i="9" s="1"/>
  <c r="F141" i="1"/>
  <c r="G141" i="1" s="1"/>
  <c r="K142" i="1" s="1"/>
  <c r="I142" i="1" s="1"/>
  <c r="G167" i="10" l="1"/>
  <c r="K168" i="10" s="1"/>
  <c r="H160" i="9"/>
  <c r="J160" i="9" s="1"/>
  <c r="I160" i="9"/>
  <c r="H142" i="1"/>
  <c r="J142" i="1" s="1"/>
  <c r="J168" i="10" l="1"/>
  <c r="H168" i="10"/>
  <c r="I168" i="10"/>
  <c r="F160" i="9"/>
  <c r="B18" i="9" s="1"/>
  <c r="D15" i="4" s="1"/>
  <c r="T15" i="4" s="1"/>
  <c r="U15" i="4" s="1"/>
  <c r="F142" i="1"/>
  <c r="G142" i="1" s="1"/>
  <c r="K143" i="1" s="1"/>
  <c r="H143" i="1" s="1"/>
  <c r="F168" i="10" l="1"/>
  <c r="G168" i="10" s="1"/>
  <c r="K169" i="10" s="1"/>
  <c r="G160" i="9"/>
  <c r="K161" i="9" s="1"/>
  <c r="H161" i="9" s="1"/>
  <c r="J161" i="9" s="1"/>
  <c r="I161" i="9"/>
  <c r="I143" i="1"/>
  <c r="F143" i="1" s="1"/>
  <c r="G143" i="1" s="1"/>
  <c r="K144" i="1" s="1"/>
  <c r="I144" i="1" s="1"/>
  <c r="J143" i="1"/>
  <c r="H169" i="10" l="1"/>
  <c r="J169" i="10"/>
  <c r="I169" i="10"/>
  <c r="F161" i="9"/>
  <c r="G161" i="9" s="1"/>
  <c r="K162" i="9" s="1"/>
  <c r="H144" i="1"/>
  <c r="J144" i="1" s="1"/>
  <c r="F169" i="10" l="1"/>
  <c r="G169" i="10" s="1"/>
  <c r="K170" i="10" s="1"/>
  <c r="H162" i="9"/>
  <c r="C19" i="9" s="1"/>
  <c r="I162" i="9"/>
  <c r="F144" i="1"/>
  <c r="G144" i="1" s="1"/>
  <c r="K145" i="1" s="1"/>
  <c r="H145" i="1" s="1"/>
  <c r="J145" i="1" s="1"/>
  <c r="I170" i="10" l="1"/>
  <c r="J170" i="10"/>
  <c r="H170" i="10"/>
  <c r="F162" i="9"/>
  <c r="G162" i="9" s="1"/>
  <c r="K163" i="9" s="1"/>
  <c r="J162" i="9"/>
  <c r="I145" i="1"/>
  <c r="F145" i="1" s="1"/>
  <c r="G145" i="1" s="1"/>
  <c r="K146" i="1" s="1"/>
  <c r="H146" i="1" s="1"/>
  <c r="F170" i="10" l="1"/>
  <c r="G170" i="10" s="1"/>
  <c r="K171" i="10" s="1"/>
  <c r="I171" i="10" s="1"/>
  <c r="I163" i="9"/>
  <c r="H163" i="9"/>
  <c r="J163" i="9" s="1"/>
  <c r="I146" i="1"/>
  <c r="F146" i="1" s="1"/>
  <c r="G146" i="1" s="1"/>
  <c r="K147" i="1" s="1"/>
  <c r="I147" i="1" s="1"/>
  <c r="J146" i="1"/>
  <c r="H171" i="10" l="1"/>
  <c r="J171" i="10"/>
  <c r="F171" i="10"/>
  <c r="G171" i="10" s="1"/>
  <c r="K172" i="10" s="1"/>
  <c r="F163" i="9"/>
  <c r="G163" i="9" s="1"/>
  <c r="K164" i="9" s="1"/>
  <c r="H147" i="1"/>
  <c r="F147" i="1" s="1"/>
  <c r="G147" i="1" s="1"/>
  <c r="K148" i="1" s="1"/>
  <c r="I148" i="1" s="1"/>
  <c r="H172" i="10" l="1"/>
  <c r="J172" i="10"/>
  <c r="I172" i="10"/>
  <c r="I164" i="9"/>
  <c r="H164" i="9"/>
  <c r="J164" i="9" s="1"/>
  <c r="H148" i="1"/>
  <c r="J147" i="1"/>
  <c r="F172" i="10" l="1"/>
  <c r="F164" i="9"/>
  <c r="G164" i="9" s="1"/>
  <c r="K165" i="9" s="1"/>
  <c r="F148" i="1"/>
  <c r="G148" i="1" s="1"/>
  <c r="K149" i="1" s="1"/>
  <c r="H149" i="1" s="1"/>
  <c r="J148" i="1"/>
  <c r="G172" i="10" l="1"/>
  <c r="K173" i="10" s="1"/>
  <c r="B19" i="10"/>
  <c r="I165" i="9"/>
  <c r="H165" i="9"/>
  <c r="J165" i="9" s="1"/>
  <c r="B17" i="1"/>
  <c r="J149" i="1"/>
  <c r="I149" i="1"/>
  <c r="F149" i="1" s="1"/>
  <c r="G149" i="1" s="1"/>
  <c r="K150" i="1" s="1"/>
  <c r="H150" i="1" s="1"/>
  <c r="H173" i="10" l="1"/>
  <c r="J173" i="10"/>
  <c r="I173" i="10"/>
  <c r="F165" i="9"/>
  <c r="G165" i="9" s="1"/>
  <c r="K166" i="9" s="1"/>
  <c r="C18" i="1"/>
  <c r="J150" i="1"/>
  <c r="I150" i="1"/>
  <c r="F150" i="1" s="1"/>
  <c r="G150" i="1" s="1"/>
  <c r="K151" i="1" s="1"/>
  <c r="I151" i="1" s="1"/>
  <c r="F173" i="10" l="1"/>
  <c r="H14" i="2"/>
  <c r="I166" i="9"/>
  <c r="H166" i="9"/>
  <c r="J166" i="9" s="1"/>
  <c r="H151" i="1"/>
  <c r="G173" i="10" l="1"/>
  <c r="K174" i="10" s="1"/>
  <c r="F166" i="9"/>
  <c r="G166" i="9" s="1"/>
  <c r="K167" i="9" s="1"/>
  <c r="J151" i="1"/>
  <c r="F151" i="1"/>
  <c r="G151" i="1" s="1"/>
  <c r="K152" i="1" s="1"/>
  <c r="H152" i="1" s="1"/>
  <c r="J174" i="10" l="1"/>
  <c r="I174" i="10"/>
  <c r="F174" i="10" s="1"/>
  <c r="H174" i="10"/>
  <c r="C20" i="10" s="1"/>
  <c r="I167" i="9"/>
  <c r="H167" i="9"/>
  <c r="J167" i="9" s="1"/>
  <c r="J152" i="1"/>
  <c r="I152" i="1"/>
  <c r="F152" i="1" s="1"/>
  <c r="G152" i="1" s="1"/>
  <c r="K153" i="1" s="1"/>
  <c r="H153" i="1" s="1"/>
  <c r="G174" i="10" l="1"/>
  <c r="K175" i="10" s="1"/>
  <c r="J153" i="1"/>
  <c r="F167" i="9"/>
  <c r="G167" i="9" s="1"/>
  <c r="K168" i="9" s="1"/>
  <c r="I153" i="1"/>
  <c r="F153" i="1" s="1"/>
  <c r="G153" i="1" s="1"/>
  <c r="K154" i="1" s="1"/>
  <c r="H154" i="1" s="1"/>
  <c r="I175" i="10" l="1"/>
  <c r="J175" i="10"/>
  <c r="H175" i="10"/>
  <c r="J154" i="1"/>
  <c r="I168" i="9"/>
  <c r="H168" i="9"/>
  <c r="J168" i="9" s="1"/>
  <c r="I154" i="1"/>
  <c r="F154" i="1" s="1"/>
  <c r="G154" i="1" s="1"/>
  <c r="K155" i="1" s="1"/>
  <c r="H155" i="1" s="1"/>
  <c r="F175" i="10" l="1"/>
  <c r="J155" i="1"/>
  <c r="F168" i="9"/>
  <c r="G168" i="9" s="1"/>
  <c r="K169" i="9" s="1"/>
  <c r="I155" i="1"/>
  <c r="F155" i="1" s="1"/>
  <c r="G155" i="1" s="1"/>
  <c r="K156" i="1" s="1"/>
  <c r="H156" i="1" s="1"/>
  <c r="G175" i="10" l="1"/>
  <c r="K176" i="10" s="1"/>
  <c r="J156" i="1"/>
  <c r="I169" i="9"/>
  <c r="H169" i="9"/>
  <c r="J169" i="9" s="1"/>
  <c r="I156" i="1"/>
  <c r="F156" i="1" s="1"/>
  <c r="G156" i="1" s="1"/>
  <c r="K157" i="1" s="1"/>
  <c r="H157" i="1" s="1"/>
  <c r="I176" i="10" l="1"/>
  <c r="H176" i="10"/>
  <c r="J176" i="10"/>
  <c r="J157" i="1"/>
  <c r="F169" i="9"/>
  <c r="G169" i="9" s="1"/>
  <c r="K170" i="9" s="1"/>
  <c r="I157" i="1"/>
  <c r="F157" i="1" s="1"/>
  <c r="G157" i="1" s="1"/>
  <c r="K158" i="1" s="1"/>
  <c r="H158" i="1" s="1"/>
  <c r="F176" i="10" l="1"/>
  <c r="I170" i="9"/>
  <c r="H170" i="9"/>
  <c r="J170" i="9" s="1"/>
  <c r="J158" i="1"/>
  <c r="I158" i="1"/>
  <c r="F158" i="1" s="1"/>
  <c r="G158" i="1" s="1"/>
  <c r="K159" i="1" s="1"/>
  <c r="I159" i="1" s="1"/>
  <c r="G176" i="10" l="1"/>
  <c r="K177" i="10" s="1"/>
  <c r="F170" i="9"/>
  <c r="G170" i="9" s="1"/>
  <c r="K171" i="9" s="1"/>
  <c r="H159" i="1"/>
  <c r="F159" i="1" s="1"/>
  <c r="G159" i="1" s="1"/>
  <c r="K160" i="1" s="1"/>
  <c r="H177" i="10" l="1"/>
  <c r="I177" i="10"/>
  <c r="J177" i="10"/>
  <c r="I171" i="9"/>
  <c r="H171" i="9"/>
  <c r="J171" i="9" s="1"/>
  <c r="J159" i="1"/>
  <c r="I160" i="1"/>
  <c r="H160" i="1"/>
  <c r="F177" i="10" l="1"/>
  <c r="F171" i="9"/>
  <c r="G171" i="9" s="1"/>
  <c r="K172" i="9" s="1"/>
  <c r="F160" i="1"/>
  <c r="G160" i="1" s="1"/>
  <c r="K161" i="1" s="1"/>
  <c r="J160" i="1"/>
  <c r="G177" i="10" l="1"/>
  <c r="K178" i="10" s="1"/>
  <c r="I172" i="9"/>
  <c r="H172" i="9"/>
  <c r="J172" i="9" s="1"/>
  <c r="B18" i="1"/>
  <c r="I161" i="1"/>
  <c r="H161" i="1"/>
  <c r="H178" i="10" l="1"/>
  <c r="J178" i="10"/>
  <c r="I178" i="10"/>
  <c r="F172" i="9"/>
  <c r="G172" i="9" s="1"/>
  <c r="K173" i="9" s="1"/>
  <c r="J161" i="1"/>
  <c r="F161" i="1"/>
  <c r="G161" i="1" s="1"/>
  <c r="K162" i="1" s="1"/>
  <c r="H162" i="1" s="1"/>
  <c r="C19" i="1" s="1"/>
  <c r="B19" i="9" l="1"/>
  <c r="D16" i="4" s="1"/>
  <c r="T16" i="4" s="1"/>
  <c r="U16" i="4" s="1"/>
  <c r="F178" i="10"/>
  <c r="G178" i="10" s="1"/>
  <c r="K179" i="10" s="1"/>
  <c r="H15" i="2"/>
  <c r="I173" i="9"/>
  <c r="H173" i="9"/>
  <c r="J173" i="9" s="1"/>
  <c r="J162" i="1"/>
  <c r="I162" i="1"/>
  <c r="F162" i="1" s="1"/>
  <c r="G162" i="1" s="1"/>
  <c r="K163" i="1" s="1"/>
  <c r="I163" i="1" s="1"/>
  <c r="H179" i="10" l="1"/>
  <c r="J179" i="10"/>
  <c r="I179" i="10"/>
  <c r="F173" i="9"/>
  <c r="G173" i="9" s="1"/>
  <c r="K174" i="9" s="1"/>
  <c r="H163" i="1"/>
  <c r="F179" i="10" l="1"/>
  <c r="G179" i="10" s="1"/>
  <c r="K180" i="10" s="1"/>
  <c r="I174" i="9"/>
  <c r="H174" i="9"/>
  <c r="C20" i="9" s="1"/>
  <c r="J163" i="1"/>
  <c r="F163" i="1"/>
  <c r="G163" i="1" s="1"/>
  <c r="K164" i="1" s="1"/>
  <c r="I164" i="1" s="1"/>
  <c r="J180" i="10" l="1"/>
  <c r="I180" i="10"/>
  <c r="H180" i="10"/>
  <c r="F174" i="9"/>
  <c r="G174" i="9" s="1"/>
  <c r="K175" i="9" s="1"/>
  <c r="J174" i="9"/>
  <c r="H164" i="1"/>
  <c r="F180" i="10" l="1"/>
  <c r="G180" i="10" s="1"/>
  <c r="K181" i="10" s="1"/>
  <c r="I175" i="9"/>
  <c r="H175" i="9"/>
  <c r="J175" i="9" s="1"/>
  <c r="J164" i="1"/>
  <c r="F164" i="1"/>
  <c r="G164" i="1" s="1"/>
  <c r="K165" i="1" s="1"/>
  <c r="I165" i="1" s="1"/>
  <c r="I181" i="10" l="1"/>
  <c r="J181" i="10"/>
  <c r="H181" i="10"/>
  <c r="F175" i="9"/>
  <c r="G175" i="9" s="1"/>
  <c r="K176" i="9" s="1"/>
  <c r="H165" i="1"/>
  <c r="J165" i="1" s="1"/>
  <c r="F181" i="10" l="1"/>
  <c r="G181" i="10" s="1"/>
  <c r="K182" i="10" s="1"/>
  <c r="H176" i="9"/>
  <c r="J176" i="9" s="1"/>
  <c r="I176" i="9"/>
  <c r="F176" i="9" s="1"/>
  <c r="F165" i="1"/>
  <c r="G165" i="1" s="1"/>
  <c r="K166" i="1" s="1"/>
  <c r="H166" i="1" s="1"/>
  <c r="J166" i="1" s="1"/>
  <c r="I182" i="10" l="1"/>
  <c r="J182" i="10"/>
  <c r="H182" i="10"/>
  <c r="G176" i="9"/>
  <c r="K177" i="9" s="1"/>
  <c r="I166" i="1"/>
  <c r="F166" i="1" s="1"/>
  <c r="G166" i="1" s="1"/>
  <c r="K167" i="1" s="1"/>
  <c r="H167" i="1" s="1"/>
  <c r="J167" i="1" s="1"/>
  <c r="F182" i="10" l="1"/>
  <c r="G182" i="10" s="1"/>
  <c r="K183" i="10" s="1"/>
  <c r="H177" i="9"/>
  <c r="J177" i="9" s="1"/>
  <c r="I177" i="9"/>
  <c r="F177" i="9" s="1"/>
  <c r="I167" i="1"/>
  <c r="F167" i="1" s="1"/>
  <c r="G167" i="1" s="1"/>
  <c r="K168" i="1" s="1"/>
  <c r="I168" i="1" s="1"/>
  <c r="I183" i="10" l="1"/>
  <c r="H183" i="10"/>
  <c r="J183" i="10"/>
  <c r="G177" i="9"/>
  <c r="K178" i="9" s="1"/>
  <c r="H168" i="1"/>
  <c r="J168" i="1" s="1"/>
  <c r="F183" i="10" l="1"/>
  <c r="G183" i="10" s="1"/>
  <c r="K184" i="10" s="1"/>
  <c r="I178" i="9"/>
  <c r="H178" i="9"/>
  <c r="J178" i="9" s="1"/>
  <c r="F168" i="1"/>
  <c r="G168" i="1" s="1"/>
  <c r="K169" i="1" s="1"/>
  <c r="I169" i="1" s="1"/>
  <c r="J184" i="10" l="1"/>
  <c r="H184" i="10"/>
  <c r="I184" i="10"/>
  <c r="F178" i="9"/>
  <c r="G178" i="9" s="1"/>
  <c r="K179" i="9" s="1"/>
  <c r="H169" i="1"/>
  <c r="J169" i="1" s="1"/>
  <c r="F184" i="10" l="1"/>
  <c r="I179" i="9"/>
  <c r="H179" i="9"/>
  <c r="J179" i="9" s="1"/>
  <c r="F169" i="1"/>
  <c r="G169" i="1" s="1"/>
  <c r="K170" i="1" s="1"/>
  <c r="H170" i="1" s="1"/>
  <c r="J170" i="1" s="1"/>
  <c r="G184" i="10" l="1"/>
  <c r="K185" i="10" s="1"/>
  <c r="B20" i="10"/>
  <c r="F179" i="9"/>
  <c r="G179" i="9" s="1"/>
  <c r="K180" i="9" s="1"/>
  <c r="I170" i="1"/>
  <c r="F170" i="1" s="1"/>
  <c r="G170" i="1" s="1"/>
  <c r="K171" i="1" s="1"/>
  <c r="I171" i="1" s="1"/>
  <c r="H185" i="10" l="1"/>
  <c r="J185" i="10"/>
  <c r="I185" i="10"/>
  <c r="I180" i="9"/>
  <c r="H180" i="9"/>
  <c r="J180" i="9" s="1"/>
  <c r="H171" i="1"/>
  <c r="J171" i="1" s="1"/>
  <c r="F185" i="10" l="1"/>
  <c r="F180" i="9"/>
  <c r="G180" i="9" s="1"/>
  <c r="K181" i="9" s="1"/>
  <c r="F171" i="1"/>
  <c r="G171" i="1" s="1"/>
  <c r="K172" i="1" s="1"/>
  <c r="I172" i="1" s="1"/>
  <c r="G185" i="10" l="1"/>
  <c r="K186" i="10" s="1"/>
  <c r="I181" i="9"/>
  <c r="H181" i="9"/>
  <c r="J181" i="9" s="1"/>
  <c r="H172" i="1"/>
  <c r="J186" i="10" l="1"/>
  <c r="I186" i="10"/>
  <c r="F186" i="10" s="1"/>
  <c r="H186" i="10"/>
  <c r="C21" i="10" s="1"/>
  <c r="F181" i="9"/>
  <c r="G181" i="9" s="1"/>
  <c r="K182" i="9" s="1"/>
  <c r="F172" i="1"/>
  <c r="B19" i="1" s="1"/>
  <c r="J172" i="1"/>
  <c r="G186" i="10" l="1"/>
  <c r="K187" i="10" s="1"/>
  <c r="I182" i="9"/>
  <c r="H182" i="9"/>
  <c r="J182" i="9" s="1"/>
  <c r="G172" i="1"/>
  <c r="K173" i="1" s="1"/>
  <c r="I173" i="1" s="1"/>
  <c r="I187" i="10" l="1"/>
  <c r="J187" i="10"/>
  <c r="H187" i="10"/>
  <c r="F182" i="9"/>
  <c r="G182" i="9" s="1"/>
  <c r="K183" i="9" s="1"/>
  <c r="H173" i="1"/>
  <c r="F187" i="10" l="1"/>
  <c r="I183" i="9"/>
  <c r="H183" i="9"/>
  <c r="J183" i="9" s="1"/>
  <c r="J173" i="1"/>
  <c r="F173" i="1"/>
  <c r="G173" i="1" s="1"/>
  <c r="K174" i="1" s="1"/>
  <c r="H174" i="1" s="1"/>
  <c r="C20" i="1" s="1"/>
  <c r="G187" i="10" l="1"/>
  <c r="K188" i="10" s="1"/>
  <c r="H16" i="2"/>
  <c r="F183" i="9"/>
  <c r="G183" i="9" s="1"/>
  <c r="K184" i="9" s="1"/>
  <c r="J174" i="1"/>
  <c r="I174" i="1"/>
  <c r="F174" i="1" s="1"/>
  <c r="G174" i="1" s="1"/>
  <c r="K175" i="1" s="1"/>
  <c r="I175" i="1" s="1"/>
  <c r="H188" i="10" l="1"/>
  <c r="J188" i="10"/>
  <c r="I188" i="10"/>
  <c r="I184" i="9"/>
  <c r="H184" i="9"/>
  <c r="J184" i="9" s="1"/>
  <c r="H175" i="1"/>
  <c r="F188" i="10" l="1"/>
  <c r="F184" i="9"/>
  <c r="G184" i="9" s="1"/>
  <c r="K185" i="9" s="1"/>
  <c r="J175" i="1"/>
  <c r="F175" i="1"/>
  <c r="G175" i="1" s="1"/>
  <c r="K176" i="1" s="1"/>
  <c r="H176" i="1" s="1"/>
  <c r="G188" i="10" l="1"/>
  <c r="K189" i="10" s="1"/>
  <c r="B20" i="9"/>
  <c r="D17" i="4" s="1"/>
  <c r="T17" i="4" s="1"/>
  <c r="U17" i="4" s="1"/>
  <c r="I185" i="9"/>
  <c r="H185" i="9"/>
  <c r="J176" i="1"/>
  <c r="I176" i="1"/>
  <c r="F176" i="1" s="1"/>
  <c r="G176" i="1" s="1"/>
  <c r="K177" i="1" s="1"/>
  <c r="I177" i="1" s="1"/>
  <c r="I189" i="10" l="1"/>
  <c r="J189" i="10"/>
  <c r="H189" i="10"/>
  <c r="F185" i="9"/>
  <c r="G185" i="9" s="1"/>
  <c r="K186" i="9" s="1"/>
  <c r="J185" i="9"/>
  <c r="H177" i="1"/>
  <c r="J177" i="1" s="1"/>
  <c r="F189" i="10" l="1"/>
  <c r="J186" i="9"/>
  <c r="I186" i="9"/>
  <c r="H186" i="9"/>
  <c r="C21" i="9" s="1"/>
  <c r="F177" i="1"/>
  <c r="G177" i="1" s="1"/>
  <c r="K178" i="1" s="1"/>
  <c r="H178" i="1" s="1"/>
  <c r="J178" i="1" s="1"/>
  <c r="G189" i="10" l="1"/>
  <c r="K190" i="10" s="1"/>
  <c r="F186" i="9"/>
  <c r="G186" i="9" s="1"/>
  <c r="K187" i="9" s="1"/>
  <c r="I178" i="1"/>
  <c r="F178" i="1" s="1"/>
  <c r="G178" i="1" s="1"/>
  <c r="K179" i="1" s="1"/>
  <c r="H179" i="1" s="1"/>
  <c r="J179" i="1" s="1"/>
  <c r="I190" i="10" l="1"/>
  <c r="J190" i="10"/>
  <c r="H190" i="10"/>
  <c r="F190" i="10" s="1"/>
  <c r="G190" i="10" s="1"/>
  <c r="K191" i="10" s="1"/>
  <c r="J187" i="9"/>
  <c r="H187" i="9"/>
  <c r="I187" i="9"/>
  <c r="I179" i="1"/>
  <c r="F179" i="1" s="1"/>
  <c r="G179" i="1" s="1"/>
  <c r="K180" i="1" s="1"/>
  <c r="I180" i="1" s="1"/>
  <c r="I191" i="10" l="1"/>
  <c r="H191" i="10"/>
  <c r="J191" i="10"/>
  <c r="F187" i="9"/>
  <c r="G187" i="9" s="1"/>
  <c r="K188" i="9" s="1"/>
  <c r="H180" i="1"/>
  <c r="J180" i="1" s="1"/>
  <c r="F191" i="10" l="1"/>
  <c r="G191" i="10" s="1"/>
  <c r="K192" i="10" s="1"/>
  <c r="J188" i="9"/>
  <c r="I188" i="9"/>
  <c r="H188" i="9"/>
  <c r="F180" i="1"/>
  <c r="G180" i="1" s="1"/>
  <c r="K181" i="1" s="1"/>
  <c r="H181" i="1" s="1"/>
  <c r="J181" i="1" s="1"/>
  <c r="H192" i="10" l="1"/>
  <c r="J192" i="10"/>
  <c r="I192" i="10"/>
  <c r="F188" i="9"/>
  <c r="G188" i="9" s="1"/>
  <c r="K189" i="9" s="1"/>
  <c r="I181" i="1"/>
  <c r="F181" i="1" s="1"/>
  <c r="G181" i="1" s="1"/>
  <c r="K182" i="1" s="1"/>
  <c r="I182" i="1" s="1"/>
  <c r="F192" i="10" l="1"/>
  <c r="G192" i="10" s="1"/>
  <c r="K193" i="10" s="1"/>
  <c r="I189" i="9"/>
  <c r="J189" i="9"/>
  <c r="H189" i="9"/>
  <c r="H182" i="1"/>
  <c r="J182" i="1" s="1"/>
  <c r="I193" i="10" l="1"/>
  <c r="H193" i="10"/>
  <c r="J193" i="10"/>
  <c r="F189" i="9"/>
  <c r="G189" i="9" s="1"/>
  <c r="K190" i="9" s="1"/>
  <c r="F182" i="1"/>
  <c r="G182" i="1" s="1"/>
  <c r="K183" i="1" s="1"/>
  <c r="H183" i="1" s="1"/>
  <c r="J183" i="1" s="1"/>
  <c r="F193" i="10" l="1"/>
  <c r="G193" i="10" s="1"/>
  <c r="K194" i="10" s="1"/>
  <c r="J190" i="9"/>
  <c r="H190" i="9"/>
  <c r="I190" i="9"/>
  <c r="I183" i="1"/>
  <c r="F183" i="1" s="1"/>
  <c r="G183" i="1" s="1"/>
  <c r="K184" i="1" s="1"/>
  <c r="H184" i="1" s="1"/>
  <c r="I194" i="10" l="1"/>
  <c r="J194" i="10"/>
  <c r="H194" i="10"/>
  <c r="F190" i="9"/>
  <c r="G190" i="9" s="1"/>
  <c r="K191" i="9" s="1"/>
  <c r="H191" i="9" s="1"/>
  <c r="J184" i="1"/>
  <c r="I184" i="1"/>
  <c r="F184" i="1" s="1"/>
  <c r="B20" i="1" s="1"/>
  <c r="I191" i="9" l="1"/>
  <c r="F191" i="9" s="1"/>
  <c r="G191" i="9" s="1"/>
  <c r="K192" i="9" s="1"/>
  <c r="H192" i="9" s="1"/>
  <c r="F194" i="10"/>
  <c r="G194" i="10" s="1"/>
  <c r="K195" i="10" s="1"/>
  <c r="J191" i="9"/>
  <c r="G184" i="1"/>
  <c r="K185" i="1" s="1"/>
  <c r="H185" i="1" s="1"/>
  <c r="J192" i="9" l="1"/>
  <c r="I192" i="9"/>
  <c r="F192" i="9" s="1"/>
  <c r="G192" i="9" s="1"/>
  <c r="K193" i="9" s="1"/>
  <c r="H193" i="9" s="1"/>
  <c r="J195" i="10"/>
  <c r="I195" i="10"/>
  <c r="H195" i="10"/>
  <c r="I185" i="1"/>
  <c r="F185" i="1" s="1"/>
  <c r="G185" i="1" s="1"/>
  <c r="K186" i="1" s="1"/>
  <c r="H186" i="1" s="1"/>
  <c r="C21" i="1" s="1"/>
  <c r="J185" i="1"/>
  <c r="I193" i="9" l="1"/>
  <c r="F193" i="9" s="1"/>
  <c r="G193" i="9" s="1"/>
  <c r="K194" i="9" s="1"/>
  <c r="F195" i="10"/>
  <c r="G195" i="10" s="1"/>
  <c r="K196" i="10" s="1"/>
  <c r="J193" i="9"/>
  <c r="H17" i="2"/>
  <c r="J186" i="1"/>
  <c r="I186" i="1"/>
  <c r="F186" i="1" s="1"/>
  <c r="G186" i="1" s="1"/>
  <c r="K187" i="1" s="1"/>
  <c r="H187" i="1" s="1"/>
  <c r="J194" i="9" l="1"/>
  <c r="I194" i="9"/>
  <c r="H194" i="9"/>
  <c r="I196" i="10"/>
  <c r="J196" i="10"/>
  <c r="H196" i="10"/>
  <c r="J187" i="1"/>
  <c r="I187" i="1"/>
  <c r="F187" i="1" s="1"/>
  <c r="G187" i="1" s="1"/>
  <c r="K188" i="1" s="1"/>
  <c r="H188" i="1" s="1"/>
  <c r="F196" i="10" l="1"/>
  <c r="G196" i="10" s="1"/>
  <c r="K197" i="10" s="1"/>
  <c r="F194" i="9"/>
  <c r="G194" i="9" s="1"/>
  <c r="K195" i="9" s="1"/>
  <c r="H195" i="9" s="1"/>
  <c r="I195" i="9"/>
  <c r="F195" i="9" s="1"/>
  <c r="G195" i="9" s="1"/>
  <c r="K196" i="9" s="1"/>
  <c r="J196" i="9" s="1"/>
  <c r="B21" i="10"/>
  <c r="J188" i="1"/>
  <c r="I188" i="1"/>
  <c r="F188" i="1" s="1"/>
  <c r="G188" i="1" s="1"/>
  <c r="K189" i="1" s="1"/>
  <c r="I189" i="1" s="1"/>
  <c r="J195" i="9" l="1"/>
  <c r="J197" i="10"/>
  <c r="I197" i="10"/>
  <c r="H197" i="10"/>
  <c r="H196" i="9"/>
  <c r="I196" i="9"/>
  <c r="F196" i="9" s="1"/>
  <c r="B21" i="9" s="1"/>
  <c r="D18" i="4" s="1"/>
  <c r="T18" i="4" s="1"/>
  <c r="U18" i="4" s="1"/>
  <c r="H189" i="1"/>
  <c r="J189" i="1" s="1"/>
  <c r="G196" i="9" l="1"/>
  <c r="K197" i="9" s="1"/>
  <c r="J197" i="9" s="1"/>
  <c r="F197" i="10"/>
  <c r="I197" i="9"/>
  <c r="H197" i="9"/>
  <c r="F189" i="1"/>
  <c r="G189" i="1" s="1"/>
  <c r="K190" i="1" s="1"/>
  <c r="I190" i="1" s="1"/>
  <c r="G197" i="10" l="1"/>
  <c r="K198" i="10" s="1"/>
  <c r="F197" i="9"/>
  <c r="G197" i="9" s="1"/>
  <c r="K198" i="9" s="1"/>
  <c r="H190" i="1"/>
  <c r="J190" i="1" s="1"/>
  <c r="J198" i="10" l="1"/>
  <c r="H198" i="10"/>
  <c r="C22" i="10" s="1"/>
  <c r="I198" i="10"/>
  <c r="F198" i="10" s="1"/>
  <c r="J198" i="9"/>
  <c r="I198" i="9"/>
  <c r="H198" i="9"/>
  <c r="C22" i="9" s="1"/>
  <c r="F190" i="1"/>
  <c r="G190" i="1" s="1"/>
  <c r="K191" i="1" s="1"/>
  <c r="I191" i="1" s="1"/>
  <c r="G198" i="10" l="1"/>
  <c r="K199" i="10" s="1"/>
  <c r="F198" i="9"/>
  <c r="G198" i="9" s="1"/>
  <c r="K199" i="9" s="1"/>
  <c r="H191" i="1"/>
  <c r="J191" i="1" s="1"/>
  <c r="H199" i="10" l="1"/>
  <c r="J199" i="10"/>
  <c r="I199" i="10"/>
  <c r="J199" i="9"/>
  <c r="I199" i="9"/>
  <c r="H199" i="9"/>
  <c r="F191" i="1"/>
  <c r="G191" i="1" s="1"/>
  <c r="K192" i="1" s="1"/>
  <c r="I192" i="1" s="1"/>
  <c r="F199" i="10" l="1"/>
  <c r="F199" i="9"/>
  <c r="G199" i="9" s="1"/>
  <c r="K200" i="9" s="1"/>
  <c r="H192" i="1"/>
  <c r="J192" i="1" s="1"/>
  <c r="G199" i="10" l="1"/>
  <c r="K200" i="10" s="1"/>
  <c r="I200" i="9"/>
  <c r="H200" i="9"/>
  <c r="J200" i="9"/>
  <c r="F192" i="1"/>
  <c r="G192" i="1" s="1"/>
  <c r="K193" i="1" s="1"/>
  <c r="I193" i="1" s="1"/>
  <c r="I200" i="10" l="1"/>
  <c r="H200" i="10"/>
  <c r="J200" i="10"/>
  <c r="F200" i="9"/>
  <c r="G200" i="9" s="1"/>
  <c r="K201" i="9" s="1"/>
  <c r="H193" i="1"/>
  <c r="J193" i="1" s="1"/>
  <c r="F200" i="10" l="1"/>
  <c r="I201" i="9"/>
  <c r="H201" i="9"/>
  <c r="J201" i="9"/>
  <c r="F193" i="1"/>
  <c r="G193" i="1" s="1"/>
  <c r="K194" i="1" s="1"/>
  <c r="H194" i="1" s="1"/>
  <c r="G200" i="10" l="1"/>
  <c r="K201" i="10" s="1"/>
  <c r="F201" i="9"/>
  <c r="G201" i="9" s="1"/>
  <c r="K202" i="9" s="1"/>
  <c r="I194" i="1"/>
  <c r="F194" i="1" s="1"/>
  <c r="G194" i="1" s="1"/>
  <c r="K195" i="1" s="1"/>
  <c r="I195" i="1" s="1"/>
  <c r="J194" i="1"/>
  <c r="J201" i="10" l="1"/>
  <c r="I201" i="10"/>
  <c r="H201" i="10"/>
  <c r="J202" i="9"/>
  <c r="I202" i="9"/>
  <c r="H202" i="9"/>
  <c r="H195" i="1"/>
  <c r="J195" i="1" s="1"/>
  <c r="F201" i="10" l="1"/>
  <c r="F202" i="9"/>
  <c r="G202" i="9" s="1"/>
  <c r="K203" i="9" s="1"/>
  <c r="J203" i="9" s="1"/>
  <c r="F195" i="1"/>
  <c r="G195" i="1" s="1"/>
  <c r="K196" i="1" s="1"/>
  <c r="I196" i="1" s="1"/>
  <c r="I203" i="9" l="1"/>
  <c r="F203" i="9" s="1"/>
  <c r="G201" i="10"/>
  <c r="K202" i="10" s="1"/>
  <c r="H203" i="9"/>
  <c r="H196" i="1"/>
  <c r="I202" i="10" l="1"/>
  <c r="H202" i="10"/>
  <c r="J202" i="10"/>
  <c r="G203" i="9"/>
  <c r="K204" i="9" s="1"/>
  <c r="F196" i="1"/>
  <c r="B21" i="1" s="1"/>
  <c r="J196" i="1"/>
  <c r="F202" i="10" l="1"/>
  <c r="G202" i="10" s="1"/>
  <c r="K203" i="10" s="1"/>
  <c r="J204" i="9"/>
  <c r="I204" i="9"/>
  <c r="F204" i="9" s="1"/>
  <c r="H204" i="9"/>
  <c r="G196" i="1"/>
  <c r="K197" i="1" s="1"/>
  <c r="I197" i="1" s="1"/>
  <c r="G204" i="9" l="1"/>
  <c r="K205" i="9" s="1"/>
  <c r="H205" i="9" s="1"/>
  <c r="H203" i="10"/>
  <c r="J203" i="10"/>
  <c r="I203" i="10"/>
  <c r="J205" i="9"/>
  <c r="H197" i="1"/>
  <c r="I205" i="9" l="1"/>
  <c r="F205" i="9" s="1"/>
  <c r="G205" i="9" s="1"/>
  <c r="K206" i="9" s="1"/>
  <c r="F203" i="10"/>
  <c r="G203" i="10" s="1"/>
  <c r="K204" i="10" s="1"/>
  <c r="J197" i="1"/>
  <c r="F197" i="1"/>
  <c r="G197" i="1" s="1"/>
  <c r="K198" i="1" s="1"/>
  <c r="H198" i="1" s="1"/>
  <c r="C22" i="1" s="1"/>
  <c r="J206" i="9" l="1"/>
  <c r="H206" i="9"/>
  <c r="I206" i="9"/>
  <c r="I204" i="10"/>
  <c r="H204" i="10"/>
  <c r="J204" i="10"/>
  <c r="H18" i="2"/>
  <c r="I198" i="1"/>
  <c r="F198" i="1" s="1"/>
  <c r="G198" i="1" s="1"/>
  <c r="K199" i="1" s="1"/>
  <c r="I199" i="1" s="1"/>
  <c r="J198" i="1"/>
  <c r="F206" i="9" l="1"/>
  <c r="F204" i="10"/>
  <c r="G204" i="10" s="1"/>
  <c r="K205" i="10" s="1"/>
  <c r="H199" i="1"/>
  <c r="G206" i="9" l="1"/>
  <c r="K207" i="9" s="1"/>
  <c r="J205" i="10"/>
  <c r="I205" i="10"/>
  <c r="H205" i="10"/>
  <c r="J199" i="1"/>
  <c r="F199" i="1"/>
  <c r="G199" i="1" s="1"/>
  <c r="K200" i="1" s="1"/>
  <c r="I200" i="1" s="1"/>
  <c r="H207" i="9" l="1"/>
  <c r="I207" i="9"/>
  <c r="F207" i="9" s="1"/>
  <c r="J207" i="9"/>
  <c r="F205" i="10"/>
  <c r="G205" i="10" s="1"/>
  <c r="K206" i="10" s="1"/>
  <c r="H200" i="1"/>
  <c r="G207" i="9" l="1"/>
  <c r="K208" i="9" s="1"/>
  <c r="H206" i="10"/>
  <c r="I206" i="10"/>
  <c r="J206" i="10"/>
  <c r="J200" i="1"/>
  <c r="F200" i="1"/>
  <c r="G200" i="1" s="1"/>
  <c r="K201" i="1" s="1"/>
  <c r="H201" i="1" s="1"/>
  <c r="H208" i="9" l="1"/>
  <c r="J208" i="9"/>
  <c r="I208" i="9"/>
  <c r="F206" i="10"/>
  <c r="G206" i="10" s="1"/>
  <c r="K207" i="10" s="1"/>
  <c r="J201" i="1"/>
  <c r="I201" i="1"/>
  <c r="F201" i="1" s="1"/>
  <c r="G201" i="1" s="1"/>
  <c r="K202" i="1" s="1"/>
  <c r="H202" i="1" s="1"/>
  <c r="F208" i="9" l="1"/>
  <c r="H207" i="10"/>
  <c r="J207" i="10"/>
  <c r="I207" i="10"/>
  <c r="J202" i="1"/>
  <c r="I202" i="1"/>
  <c r="F202" i="1" s="1"/>
  <c r="G202" i="1" s="1"/>
  <c r="K203" i="1" s="1"/>
  <c r="H203" i="1" s="1"/>
  <c r="G208" i="9" l="1"/>
  <c r="K209" i="9" s="1"/>
  <c r="B22" i="9"/>
  <c r="F207" i="10"/>
  <c r="G207" i="10" s="1"/>
  <c r="K208" i="10" s="1"/>
  <c r="J203" i="1"/>
  <c r="I203" i="1"/>
  <c r="F203" i="1" s="1"/>
  <c r="G203" i="1" s="1"/>
  <c r="K204" i="1" s="1"/>
  <c r="I204" i="1" s="1"/>
  <c r="J209" i="9" l="1"/>
  <c r="H209" i="9"/>
  <c r="I209" i="9"/>
  <c r="F209" i="9" s="1"/>
  <c r="G209" i="9" s="1"/>
  <c r="K210" i="9" s="1"/>
  <c r="J208" i="10"/>
  <c r="I208" i="10"/>
  <c r="H208" i="10"/>
  <c r="H204" i="1"/>
  <c r="J204" i="1" s="1"/>
  <c r="J210" i="9" l="1"/>
  <c r="I210" i="9"/>
  <c r="F210" i="9" s="1"/>
  <c r="H210" i="9"/>
  <c r="C23" i="9" s="1"/>
  <c r="F208" i="10"/>
  <c r="F204" i="1"/>
  <c r="G204" i="1" s="1"/>
  <c r="K205" i="1" s="1"/>
  <c r="H205" i="1" s="1"/>
  <c r="J205" i="1" s="1"/>
  <c r="G210" i="9" l="1"/>
  <c r="K211" i="9" s="1"/>
  <c r="J211" i="9" s="1"/>
  <c r="H211" i="9"/>
  <c r="I211" i="9"/>
  <c r="G208" i="10"/>
  <c r="K209" i="10" s="1"/>
  <c r="B22" i="10"/>
  <c r="D19" i="4" s="1"/>
  <c r="T19" i="4" s="1"/>
  <c r="U19" i="4" s="1"/>
  <c r="I205" i="1"/>
  <c r="F205" i="1" s="1"/>
  <c r="G205" i="1" s="1"/>
  <c r="K206" i="1" s="1"/>
  <c r="I206" i="1" s="1"/>
  <c r="F211" i="9" l="1"/>
  <c r="G211" i="9" s="1"/>
  <c r="K212" i="9" s="1"/>
  <c r="I209" i="10"/>
  <c r="H209" i="10"/>
  <c r="J209" i="10"/>
  <c r="H206" i="1"/>
  <c r="J206" i="1" s="1"/>
  <c r="I212" i="9" l="1"/>
  <c r="F212" i="9" s="1"/>
  <c r="J212" i="9"/>
  <c r="H212" i="9"/>
  <c r="F209" i="10"/>
  <c r="F206" i="1"/>
  <c r="G206" i="1" s="1"/>
  <c r="K207" i="1" s="1"/>
  <c r="I207" i="1" s="1"/>
  <c r="G212" i="9" l="1"/>
  <c r="K213" i="9" s="1"/>
  <c r="I213" i="9" s="1"/>
  <c r="F213" i="9" s="1"/>
  <c r="G213" i="9" s="1"/>
  <c r="K214" i="9" s="1"/>
  <c r="H213" i="9"/>
  <c r="G209" i="10"/>
  <c r="K210" i="10" s="1"/>
  <c r="H207" i="1"/>
  <c r="J207" i="1" s="1"/>
  <c r="J213" i="9" l="1"/>
  <c r="I214" i="9"/>
  <c r="H214" i="9"/>
  <c r="J214" i="9"/>
  <c r="I210" i="10"/>
  <c r="J210" i="10"/>
  <c r="H210" i="10"/>
  <c r="C23" i="10" s="1"/>
  <c r="F210" i="10"/>
  <c r="F207" i="1"/>
  <c r="G207" i="1" s="1"/>
  <c r="K208" i="1" s="1"/>
  <c r="H208" i="1" s="1"/>
  <c r="F214" i="9" l="1"/>
  <c r="G214" i="9" s="1"/>
  <c r="K215" i="9" s="1"/>
  <c r="J215" i="9" s="1"/>
  <c r="I215" i="9"/>
  <c r="F215" i="9" s="1"/>
  <c r="G210" i="10"/>
  <c r="K211" i="10" s="1"/>
  <c r="I208" i="1"/>
  <c r="F208" i="1" s="1"/>
  <c r="B22" i="1" s="1"/>
  <c r="J208" i="1"/>
  <c r="H215" i="9" l="1"/>
  <c r="G215" i="9"/>
  <c r="K216" i="9" s="1"/>
  <c r="J216" i="9" s="1"/>
  <c r="I216" i="9"/>
  <c r="H211" i="10"/>
  <c r="J211" i="10"/>
  <c r="I211" i="10"/>
  <c r="G208" i="1"/>
  <c r="K209" i="1" s="1"/>
  <c r="H209" i="1" s="1"/>
  <c r="H216" i="9" l="1"/>
  <c r="F216" i="9"/>
  <c r="G216" i="9" s="1"/>
  <c r="K217" i="9" s="1"/>
  <c r="F211" i="10"/>
  <c r="I209" i="1"/>
  <c r="F209" i="1" s="1"/>
  <c r="G209" i="1" s="1"/>
  <c r="K210" i="1" s="1"/>
  <c r="H210" i="1" s="1"/>
  <c r="C23" i="1" s="1"/>
  <c r="J209" i="1"/>
  <c r="I217" i="9" l="1"/>
  <c r="F217" i="9" s="1"/>
  <c r="H217" i="9"/>
  <c r="J217" i="9"/>
  <c r="G211" i="10"/>
  <c r="K212" i="10" s="1"/>
  <c r="H19" i="2"/>
  <c r="I210" i="1"/>
  <c r="F210" i="1" s="1"/>
  <c r="G210" i="1" s="1"/>
  <c r="K211" i="1" s="1"/>
  <c r="H211" i="1" s="1"/>
  <c r="J210" i="1"/>
  <c r="G217" i="9" l="1"/>
  <c r="K218" i="9" s="1"/>
  <c r="J212" i="10"/>
  <c r="I212" i="10"/>
  <c r="H212" i="10"/>
  <c r="I211" i="1"/>
  <c r="F211" i="1" s="1"/>
  <c r="G211" i="1" s="1"/>
  <c r="K212" i="1" s="1"/>
  <c r="H212" i="1" s="1"/>
  <c r="J211" i="1"/>
  <c r="H218" i="9" l="1"/>
  <c r="J218" i="9"/>
  <c r="I218" i="9"/>
  <c r="F212" i="10"/>
  <c r="J212" i="1"/>
  <c r="I212" i="1"/>
  <c r="F212" i="1" s="1"/>
  <c r="G212" i="1" s="1"/>
  <c r="K213" i="1" s="1"/>
  <c r="H213" i="1" s="1"/>
  <c r="F218" i="9" l="1"/>
  <c r="G212" i="10"/>
  <c r="K213" i="10" s="1"/>
  <c r="J213" i="1"/>
  <c r="I213" i="1"/>
  <c r="F213" i="1" s="1"/>
  <c r="G213" i="1" s="1"/>
  <c r="K214" i="1" s="1"/>
  <c r="I214" i="1" s="1"/>
  <c r="G218" i="9" l="1"/>
  <c r="K219" i="9" s="1"/>
  <c r="J213" i="10"/>
  <c r="I213" i="10"/>
  <c r="H213" i="10"/>
  <c r="H214" i="1"/>
  <c r="F214" i="1" s="1"/>
  <c r="G214" i="1" s="1"/>
  <c r="K215" i="1" s="1"/>
  <c r="H215" i="1" s="1"/>
  <c r="I219" i="9" l="1"/>
  <c r="F219" i="9" s="1"/>
  <c r="H219" i="9"/>
  <c r="J219" i="9"/>
  <c r="F213" i="10"/>
  <c r="J214" i="1"/>
  <c r="J215" i="1" s="1"/>
  <c r="I215" i="1"/>
  <c r="F215" i="1" s="1"/>
  <c r="G215" i="1" s="1"/>
  <c r="K216" i="1" s="1"/>
  <c r="H216" i="1" s="1"/>
  <c r="G219" i="9" l="1"/>
  <c r="K220" i="9" s="1"/>
  <c r="G213" i="10"/>
  <c r="K214" i="10" s="1"/>
  <c r="I216" i="1"/>
  <c r="F216" i="1" s="1"/>
  <c r="G216" i="1" s="1"/>
  <c r="K217" i="1" s="1"/>
  <c r="I217" i="1" s="1"/>
  <c r="J216" i="1"/>
  <c r="H220" i="9" l="1"/>
  <c r="I220" i="9"/>
  <c r="J220" i="9"/>
  <c r="J214" i="10"/>
  <c r="I214" i="10"/>
  <c r="H214" i="10"/>
  <c r="H217" i="1"/>
  <c r="J217" i="1" s="1"/>
  <c r="F220" i="9" l="1"/>
  <c r="F214" i="10"/>
  <c r="G214" i="10" s="1"/>
  <c r="K215" i="10" s="1"/>
  <c r="F217" i="1"/>
  <c r="G217" i="1" s="1"/>
  <c r="K218" i="1" s="1"/>
  <c r="I218" i="1" s="1"/>
  <c r="G220" i="9" l="1"/>
  <c r="K221" i="9" s="1"/>
  <c r="B23" i="9"/>
  <c r="H215" i="10"/>
  <c r="J215" i="10"/>
  <c r="I215" i="10"/>
  <c r="H218" i="1"/>
  <c r="J218" i="1" s="1"/>
  <c r="J221" i="9" l="1"/>
  <c r="I221" i="9"/>
  <c r="H221" i="9"/>
  <c r="F215" i="10"/>
  <c r="G215" i="10" s="1"/>
  <c r="K216" i="10" s="1"/>
  <c r="F218" i="1"/>
  <c r="G218" i="1" s="1"/>
  <c r="K219" i="1" s="1"/>
  <c r="F221" i="9" l="1"/>
  <c r="G221" i="9" s="1"/>
  <c r="K222" i="9" s="1"/>
  <c r="H216" i="10"/>
  <c r="I216" i="10"/>
  <c r="J216" i="10"/>
  <c r="H219" i="1"/>
  <c r="J219" i="1" s="1"/>
  <c r="I219" i="1"/>
  <c r="I222" i="9" l="1"/>
  <c r="F222" i="9" s="1"/>
  <c r="H222" i="9"/>
  <c r="C24" i="9" s="1"/>
  <c r="J222" i="9"/>
  <c r="F216" i="10"/>
  <c r="G216" i="10" s="1"/>
  <c r="K217" i="10" s="1"/>
  <c r="F219" i="1"/>
  <c r="G219" i="1" s="1"/>
  <c r="K220" i="1" s="1"/>
  <c r="G222" i="9" l="1"/>
  <c r="K223" i="9" s="1"/>
  <c r="J223" i="9" s="1"/>
  <c r="I223" i="9"/>
  <c r="F223" i="9" s="1"/>
  <c r="H223" i="9"/>
  <c r="J217" i="10"/>
  <c r="H217" i="10"/>
  <c r="I217" i="10"/>
  <c r="I220" i="1"/>
  <c r="H220" i="1"/>
  <c r="G223" i="9" l="1"/>
  <c r="K224" i="9" s="1"/>
  <c r="H224" i="9"/>
  <c r="J224" i="9"/>
  <c r="I224" i="9"/>
  <c r="F224" i="9" s="1"/>
  <c r="F217" i="10"/>
  <c r="G217" i="10" s="1"/>
  <c r="K218" i="10" s="1"/>
  <c r="J220" i="1"/>
  <c r="F220" i="1"/>
  <c r="B23" i="1" s="1"/>
  <c r="G224" i="9" l="1"/>
  <c r="K225" i="9" s="1"/>
  <c r="J218" i="10"/>
  <c r="I218" i="10"/>
  <c r="H218" i="10"/>
  <c r="G220" i="1"/>
  <c r="K221" i="1" s="1"/>
  <c r="H221" i="1" s="1"/>
  <c r="J225" i="9" l="1"/>
  <c r="I225" i="9"/>
  <c r="F225" i="9" s="1"/>
  <c r="H225" i="9"/>
  <c r="F218" i="10"/>
  <c r="G218" i="10" s="1"/>
  <c r="K219" i="10" s="1"/>
  <c r="J221" i="1"/>
  <c r="I221" i="1"/>
  <c r="F221" i="1" s="1"/>
  <c r="G221" i="1" s="1"/>
  <c r="K222" i="1" s="1"/>
  <c r="I222" i="1" s="1"/>
  <c r="G225" i="9" l="1"/>
  <c r="K226" i="9" s="1"/>
  <c r="I226" i="9"/>
  <c r="J226" i="9"/>
  <c r="H226" i="9"/>
  <c r="H219" i="10"/>
  <c r="J219" i="10"/>
  <c r="I219" i="10"/>
  <c r="H222" i="1"/>
  <c r="C24" i="1" s="1"/>
  <c r="F226" i="9" l="1"/>
  <c r="G226" i="9" s="1"/>
  <c r="K227" i="9" s="1"/>
  <c r="F219" i="10"/>
  <c r="G219" i="10" s="1"/>
  <c r="K220" i="10" s="1"/>
  <c r="H20" i="2"/>
  <c r="J222" i="1"/>
  <c r="F222" i="1"/>
  <c r="G222" i="1" s="1"/>
  <c r="K223" i="1" s="1"/>
  <c r="J227" i="9" l="1"/>
  <c r="I227" i="9"/>
  <c r="H227" i="9"/>
  <c r="H220" i="10"/>
  <c r="J220" i="10"/>
  <c r="I220" i="10"/>
  <c r="I223" i="1"/>
  <c r="H223" i="1"/>
  <c r="F227" i="9" l="1"/>
  <c r="F220" i="10"/>
  <c r="J223" i="1"/>
  <c r="F223" i="1"/>
  <c r="G223" i="1" s="1"/>
  <c r="K224" i="1" s="1"/>
  <c r="G227" i="9" l="1"/>
  <c r="K228" i="9" s="1"/>
  <c r="G220" i="10"/>
  <c r="K221" i="10" s="1"/>
  <c r="B23" i="10"/>
  <c r="D20" i="4" s="1"/>
  <c r="T20" i="4" s="1"/>
  <c r="U20" i="4" s="1"/>
  <c r="I224" i="1"/>
  <c r="H224" i="1"/>
  <c r="H228" i="9" l="1"/>
  <c r="J228" i="9"/>
  <c r="I228" i="9"/>
  <c r="F228" i="9" s="1"/>
  <c r="I221" i="10"/>
  <c r="J221" i="10"/>
  <c r="H221" i="10"/>
  <c r="J224" i="1"/>
  <c r="F224" i="1"/>
  <c r="G224" i="1" s="1"/>
  <c r="K225" i="1" s="1"/>
  <c r="H225" i="1" s="1"/>
  <c r="J225" i="1" s="1"/>
  <c r="G228" i="9" l="1"/>
  <c r="K229" i="9" s="1"/>
  <c r="F221" i="10"/>
  <c r="I225" i="1"/>
  <c r="F225" i="1" s="1"/>
  <c r="J229" i="9" l="1"/>
  <c r="I229" i="9"/>
  <c r="F229" i="9" s="1"/>
  <c r="H229" i="9"/>
  <c r="G221" i="10"/>
  <c r="K222" i="10" s="1"/>
  <c r="G225" i="1"/>
  <c r="K226" i="1" s="1"/>
  <c r="G229" i="9" l="1"/>
  <c r="K230" i="9" s="1"/>
  <c r="J222" i="10"/>
  <c r="H222" i="10"/>
  <c r="C24" i="10" s="1"/>
  <c r="I222" i="10"/>
  <c r="F222" i="10" s="1"/>
  <c r="I226" i="1"/>
  <c r="H226" i="1"/>
  <c r="J226" i="1" s="1"/>
  <c r="H230" i="9" l="1"/>
  <c r="J230" i="9"/>
  <c r="I230" i="9"/>
  <c r="G222" i="10"/>
  <c r="K223" i="10" s="1"/>
  <c r="F226" i="1"/>
  <c r="G226" i="1" s="1"/>
  <c r="K227" i="1" s="1"/>
  <c r="I227" i="1" s="1"/>
  <c r="F230" i="9" l="1"/>
  <c r="G230" i="9" s="1"/>
  <c r="K231" i="9" s="1"/>
  <c r="J223" i="10"/>
  <c r="I223" i="10"/>
  <c r="H223" i="10"/>
  <c r="H227" i="1"/>
  <c r="J227" i="1" s="1"/>
  <c r="H231" i="9" l="1"/>
  <c r="J231" i="9"/>
  <c r="I231" i="9"/>
  <c r="F231" i="9" s="1"/>
  <c r="F223" i="10"/>
  <c r="F227" i="1"/>
  <c r="G227" i="1" s="1"/>
  <c r="K228" i="1" s="1"/>
  <c r="H228" i="1" s="1"/>
  <c r="J228" i="1" s="1"/>
  <c r="G231" i="9" l="1"/>
  <c r="K232" i="9" s="1"/>
  <c r="G223" i="10"/>
  <c r="K224" i="10" s="1"/>
  <c r="I228" i="1"/>
  <c r="F228" i="1" s="1"/>
  <c r="G228" i="1" s="1"/>
  <c r="K229" i="1" s="1"/>
  <c r="H229" i="1" s="1"/>
  <c r="H232" i="9" l="1"/>
  <c r="I232" i="9"/>
  <c r="J232" i="9"/>
  <c r="H224" i="10"/>
  <c r="I224" i="10"/>
  <c r="J224" i="10"/>
  <c r="I229" i="1"/>
  <c r="F229" i="1" s="1"/>
  <c r="G229" i="1" s="1"/>
  <c r="K230" i="1" s="1"/>
  <c r="H230" i="1" s="1"/>
  <c r="J229" i="1"/>
  <c r="F232" i="9" l="1"/>
  <c r="F224" i="10"/>
  <c r="J230" i="1"/>
  <c r="I230" i="1"/>
  <c r="F230" i="1" s="1"/>
  <c r="G230" i="1" s="1"/>
  <c r="K231" i="1" s="1"/>
  <c r="I231" i="1" s="1"/>
  <c r="G232" i="9" l="1"/>
  <c r="K233" i="9" s="1"/>
  <c r="B24" i="9"/>
  <c r="G224" i="10"/>
  <c r="K225" i="10" s="1"/>
  <c r="H231" i="1"/>
  <c r="J231" i="1" s="1"/>
  <c r="H233" i="9" l="1"/>
  <c r="I233" i="9"/>
  <c r="F233" i="9" s="1"/>
  <c r="G233" i="9" s="1"/>
  <c r="K234" i="9" s="1"/>
  <c r="J233" i="9"/>
  <c r="I225" i="10"/>
  <c r="J225" i="10"/>
  <c r="H225" i="10"/>
  <c r="F231" i="1"/>
  <c r="G231" i="1" s="1"/>
  <c r="K232" i="1" s="1"/>
  <c r="J234" i="9" l="1"/>
  <c r="I234" i="9"/>
  <c r="F234" i="9" s="1"/>
  <c r="H234" i="9"/>
  <c r="C25" i="9" s="1"/>
  <c r="F225" i="10"/>
  <c r="I232" i="1"/>
  <c r="H232" i="1"/>
  <c r="G234" i="9" l="1"/>
  <c r="K235" i="9" s="1"/>
  <c r="I235" i="9"/>
  <c r="F235" i="9" s="1"/>
  <c r="H235" i="9"/>
  <c r="J235" i="9"/>
  <c r="G225" i="10"/>
  <c r="K226" i="10" s="1"/>
  <c r="F232" i="1"/>
  <c r="G232" i="1" s="1"/>
  <c r="K233" i="1" s="1"/>
  <c r="J232" i="1"/>
  <c r="G235" i="9" l="1"/>
  <c r="K236" i="9" s="1"/>
  <c r="J236" i="9" s="1"/>
  <c r="I236" i="9"/>
  <c r="F236" i="9" s="1"/>
  <c r="H236" i="9"/>
  <c r="H226" i="10"/>
  <c r="J226" i="10"/>
  <c r="I226" i="10"/>
  <c r="B24" i="1"/>
  <c r="I233" i="1"/>
  <c r="H233" i="1"/>
  <c r="G236" i="9" l="1"/>
  <c r="K237" i="9" s="1"/>
  <c r="I237" i="9"/>
  <c r="F237" i="9" s="1"/>
  <c r="J237" i="9"/>
  <c r="H237" i="9"/>
  <c r="F226" i="10"/>
  <c r="G226" i="10" s="1"/>
  <c r="K227" i="10" s="1"/>
  <c r="J233" i="1"/>
  <c r="F233" i="1"/>
  <c r="G233" i="1" s="1"/>
  <c r="K234" i="1" s="1"/>
  <c r="G237" i="9" l="1"/>
  <c r="K238" i="9" s="1"/>
  <c r="J227" i="10"/>
  <c r="I227" i="10"/>
  <c r="H227" i="10"/>
  <c r="H234" i="1"/>
  <c r="C25" i="1" s="1"/>
  <c r="I234" i="1"/>
  <c r="H238" i="9" l="1"/>
  <c r="J238" i="9"/>
  <c r="I238" i="9"/>
  <c r="F238" i="9" s="1"/>
  <c r="F227" i="10"/>
  <c r="G227" i="10" s="1"/>
  <c r="K228" i="10" s="1"/>
  <c r="H21" i="2"/>
  <c r="J234" i="1"/>
  <c r="F234" i="1"/>
  <c r="G234" i="1" s="1"/>
  <c r="K235" i="1" s="1"/>
  <c r="H235" i="1" s="1"/>
  <c r="G238" i="9" l="1"/>
  <c r="K239" i="9" s="1"/>
  <c r="J228" i="10"/>
  <c r="I228" i="10"/>
  <c r="H228" i="10"/>
  <c r="J235" i="1"/>
  <c r="I235" i="1"/>
  <c r="F235" i="1" s="1"/>
  <c r="G235" i="1" s="1"/>
  <c r="K236" i="1" s="1"/>
  <c r="H236" i="1" s="1"/>
  <c r="J236" i="1" s="1"/>
  <c r="H239" i="9" l="1"/>
  <c r="J239" i="9"/>
  <c r="I239" i="9"/>
  <c r="F239" i="9" s="1"/>
  <c r="F228" i="10"/>
  <c r="G228" i="10" s="1"/>
  <c r="K229" i="10" s="1"/>
  <c r="I236" i="1"/>
  <c r="F236" i="1" s="1"/>
  <c r="G236" i="1" s="1"/>
  <c r="K237" i="1" s="1"/>
  <c r="H237" i="1" s="1"/>
  <c r="J237" i="1" s="1"/>
  <c r="G239" i="9" l="1"/>
  <c r="K240" i="9" s="1"/>
  <c r="I229" i="10"/>
  <c r="H229" i="10"/>
  <c r="J229" i="10"/>
  <c r="I237" i="1"/>
  <c r="F237" i="1" s="1"/>
  <c r="G237" i="1" s="1"/>
  <c r="K238" i="1" s="1"/>
  <c r="H240" i="9" l="1"/>
  <c r="I240" i="9"/>
  <c r="J240" i="9"/>
  <c r="F229" i="10"/>
  <c r="G229" i="10" s="1"/>
  <c r="K230" i="10" s="1"/>
  <c r="I238" i="1"/>
  <c r="H238" i="1"/>
  <c r="J238" i="1" s="1"/>
  <c r="F240" i="9" l="1"/>
  <c r="J230" i="10"/>
  <c r="I230" i="10"/>
  <c r="H230" i="10"/>
  <c r="F238" i="1"/>
  <c r="G238" i="1" s="1"/>
  <c r="K239" i="1" s="1"/>
  <c r="G240" i="9" l="1"/>
  <c r="K241" i="9" s="1"/>
  <c r="F230" i="10"/>
  <c r="G230" i="10" s="1"/>
  <c r="K231" i="10" s="1"/>
  <c r="I239" i="1"/>
  <c r="H239" i="1"/>
  <c r="J241" i="9" l="1"/>
  <c r="H241" i="9"/>
  <c r="I241" i="9"/>
  <c r="F241" i="9" s="1"/>
  <c r="H231" i="10"/>
  <c r="J231" i="10"/>
  <c r="I231" i="10"/>
  <c r="F239" i="1"/>
  <c r="G239" i="1" s="1"/>
  <c r="K240" i="1" s="1"/>
  <c r="J239" i="1"/>
  <c r="G241" i="9" l="1"/>
  <c r="K242" i="9" s="1"/>
  <c r="F231" i="10"/>
  <c r="G231" i="10" s="1"/>
  <c r="K232" i="10" s="1"/>
  <c r="H240" i="1"/>
  <c r="J240" i="1" s="1"/>
  <c r="I240" i="1"/>
  <c r="H242" i="9" l="1"/>
  <c r="I242" i="9"/>
  <c r="J242" i="9"/>
  <c r="I232" i="10"/>
  <c r="J232" i="10"/>
  <c r="H232" i="10"/>
  <c r="F240" i="1"/>
  <c r="G240" i="1" s="1"/>
  <c r="K241" i="1" s="1"/>
  <c r="H241" i="1" s="1"/>
  <c r="J241" i="1" s="1"/>
  <c r="F242" i="9" l="1"/>
  <c r="G242" i="9" s="1"/>
  <c r="K243" i="9" s="1"/>
  <c r="J243" i="9" s="1"/>
  <c r="I243" i="9"/>
  <c r="F243" i="9" s="1"/>
  <c r="H243" i="9"/>
  <c r="F232" i="10"/>
  <c r="I241" i="1"/>
  <c r="F241" i="1" s="1"/>
  <c r="G241" i="1" s="1"/>
  <c r="K242" i="1" s="1"/>
  <c r="I242" i="1" s="1"/>
  <c r="G243" i="9" l="1"/>
  <c r="K244" i="9" s="1"/>
  <c r="I244" i="9" s="1"/>
  <c r="H244" i="9"/>
  <c r="J244" i="9"/>
  <c r="G232" i="10"/>
  <c r="K233" i="10" s="1"/>
  <c r="B24" i="10"/>
  <c r="D21" i="4" s="1"/>
  <c r="T21" i="4" s="1"/>
  <c r="U21" i="4" s="1"/>
  <c r="H242" i="1"/>
  <c r="J242" i="1" s="1"/>
  <c r="F244" i="9" l="1"/>
  <c r="G244" i="9" s="1"/>
  <c r="K245" i="9" s="1"/>
  <c r="I245" i="9"/>
  <c r="F245" i="9" s="1"/>
  <c r="H245" i="9"/>
  <c r="J245" i="9"/>
  <c r="H233" i="10"/>
  <c r="J233" i="10"/>
  <c r="I233" i="10"/>
  <c r="F242" i="1"/>
  <c r="G242" i="1" s="1"/>
  <c r="K243" i="1" s="1"/>
  <c r="G245" i="9" l="1"/>
  <c r="K246" i="9" s="1"/>
  <c r="B25" i="9"/>
  <c r="F233" i="10"/>
  <c r="G233" i="10" s="1"/>
  <c r="K234" i="10" s="1"/>
  <c r="I243" i="1"/>
  <c r="H243" i="1"/>
  <c r="J246" i="9" l="1"/>
  <c r="I246" i="9"/>
  <c r="F246" i="9" s="1"/>
  <c r="H246" i="9"/>
  <c r="C26" i="9" s="1"/>
  <c r="H234" i="10"/>
  <c r="C25" i="10" s="1"/>
  <c r="I234" i="10"/>
  <c r="F234" i="10" s="1"/>
  <c r="J234" i="10"/>
  <c r="F243" i="1"/>
  <c r="G243" i="1" s="1"/>
  <c r="K244" i="1" s="1"/>
  <c r="J243" i="1"/>
  <c r="G246" i="9" l="1"/>
  <c r="K247" i="9" s="1"/>
  <c r="I247" i="9" s="1"/>
  <c r="F247" i="9" s="1"/>
  <c r="G247" i="9" s="1"/>
  <c r="K248" i="9" s="1"/>
  <c r="H247" i="9"/>
  <c r="J247" i="9"/>
  <c r="G234" i="10"/>
  <c r="K235" i="10" s="1"/>
  <c r="H244" i="1"/>
  <c r="I244" i="1"/>
  <c r="J248" i="9" l="1"/>
  <c r="H248" i="9"/>
  <c r="I248" i="9"/>
  <c r="F248" i="9" s="1"/>
  <c r="G248" i="9" s="1"/>
  <c r="K249" i="9" s="1"/>
  <c r="H235" i="10"/>
  <c r="J235" i="10"/>
  <c r="I235" i="10"/>
  <c r="J244" i="1"/>
  <c r="F244" i="1"/>
  <c r="G244" i="1" s="1"/>
  <c r="K245" i="1" s="1"/>
  <c r="I245" i="1" s="1"/>
  <c r="H249" i="9" l="1"/>
  <c r="J249" i="9"/>
  <c r="I249" i="9"/>
  <c r="F249" i="9" s="1"/>
  <c r="F235" i="10"/>
  <c r="H245" i="1"/>
  <c r="G249" i="9" l="1"/>
  <c r="K250" i="9" s="1"/>
  <c r="G235" i="10"/>
  <c r="K236" i="10" s="1"/>
  <c r="F245" i="1"/>
  <c r="B25" i="1" s="1"/>
  <c r="J245" i="1"/>
  <c r="J250" i="9" l="1"/>
  <c r="I250" i="9"/>
  <c r="F250" i="9" s="1"/>
  <c r="H250" i="9"/>
  <c r="H236" i="10"/>
  <c r="I236" i="10"/>
  <c r="J236" i="10"/>
  <c r="G245" i="1"/>
  <c r="K246" i="1" s="1"/>
  <c r="H246" i="1" s="1"/>
  <c r="C26" i="1" s="1"/>
  <c r="G250" i="9" l="1"/>
  <c r="K251" i="9" s="1"/>
  <c r="F236" i="10"/>
  <c r="H22" i="2"/>
  <c r="J246" i="1"/>
  <c r="I246" i="1"/>
  <c r="F246" i="1" s="1"/>
  <c r="G246" i="1" s="1"/>
  <c r="K247" i="1" s="1"/>
  <c r="I247" i="1" s="1"/>
  <c r="H251" i="9" l="1"/>
  <c r="J251" i="9"/>
  <c r="I251" i="9"/>
  <c r="G236" i="10"/>
  <c r="K237" i="10" s="1"/>
  <c r="H247" i="1"/>
  <c r="F247" i="1" s="1"/>
  <c r="G247" i="1" s="1"/>
  <c r="K248" i="1" s="1"/>
  <c r="F251" i="9" l="1"/>
  <c r="G251" i="9"/>
  <c r="K252" i="9" s="1"/>
  <c r="H237" i="10"/>
  <c r="J237" i="10"/>
  <c r="I237" i="10"/>
  <c r="J247" i="1"/>
  <c r="I248" i="1"/>
  <c r="H248" i="1"/>
  <c r="J252" i="9" l="1"/>
  <c r="H252" i="9"/>
  <c r="I252" i="9"/>
  <c r="F252" i="9" s="1"/>
  <c r="F237" i="10"/>
  <c r="J248" i="1"/>
  <c r="F248" i="1"/>
  <c r="G252" i="9" l="1"/>
  <c r="K253" i="9" s="1"/>
  <c r="G237" i="10"/>
  <c r="K238" i="10" s="1"/>
  <c r="G248" i="1"/>
  <c r="K249" i="1" s="1"/>
  <c r="J253" i="9" l="1"/>
  <c r="H253" i="9"/>
  <c r="I253" i="9"/>
  <c r="F253" i="9" s="1"/>
  <c r="H238" i="10"/>
  <c r="I238" i="10"/>
  <c r="J238" i="10"/>
  <c r="I249" i="1"/>
  <c r="H249" i="1"/>
  <c r="J249" i="1" s="1"/>
  <c r="G253" i="9" l="1"/>
  <c r="K254" i="9" s="1"/>
  <c r="F238" i="10"/>
  <c r="F249" i="1"/>
  <c r="G249" i="1" s="1"/>
  <c r="K250" i="1" s="1"/>
  <c r="J254" i="9" l="1"/>
  <c r="I254" i="9"/>
  <c r="H254" i="9"/>
  <c r="G238" i="10"/>
  <c r="K239" i="10" s="1"/>
  <c r="I250" i="1"/>
  <c r="H250" i="1"/>
  <c r="J250" i="1" s="1"/>
  <c r="F254" i="9" l="1"/>
  <c r="G254" i="9" s="1"/>
  <c r="K255" i="9" s="1"/>
  <c r="H239" i="10"/>
  <c r="J239" i="10"/>
  <c r="I239" i="10"/>
  <c r="F250" i="1"/>
  <c r="G250" i="1" s="1"/>
  <c r="K251" i="1" s="1"/>
  <c r="I255" i="9" l="1"/>
  <c r="F255" i="9" s="1"/>
  <c r="H255" i="9"/>
  <c r="J255" i="9"/>
  <c r="F239" i="10"/>
  <c r="G239" i="10" s="1"/>
  <c r="K240" i="10" s="1"/>
  <c r="I251" i="1"/>
  <c r="H251" i="1"/>
  <c r="G255" i="9" l="1"/>
  <c r="K256" i="9" s="1"/>
  <c r="I240" i="10"/>
  <c r="J240" i="10"/>
  <c r="H240" i="10"/>
  <c r="F251" i="1"/>
  <c r="G251" i="1" s="1"/>
  <c r="K252" i="1" s="1"/>
  <c r="H252" i="1" s="1"/>
  <c r="J251" i="1"/>
  <c r="I256" i="9" l="1"/>
  <c r="J256" i="9"/>
  <c r="H256" i="9"/>
  <c r="F240" i="10"/>
  <c r="G240" i="10" s="1"/>
  <c r="K241" i="10" s="1"/>
  <c r="J252" i="1"/>
  <c r="I252" i="1"/>
  <c r="F252" i="1" s="1"/>
  <c r="G252" i="1" s="1"/>
  <c r="K253" i="1" s="1"/>
  <c r="F256" i="9" l="1"/>
  <c r="G256" i="9" s="1"/>
  <c r="K257" i="9" s="1"/>
  <c r="H241" i="10"/>
  <c r="J241" i="10"/>
  <c r="I241" i="10"/>
  <c r="H253" i="1"/>
  <c r="I253" i="1"/>
  <c r="F257" i="9" l="1"/>
  <c r="B26" i="9" s="1"/>
  <c r="J257" i="9"/>
  <c r="H257" i="9"/>
  <c r="I257" i="9"/>
  <c r="F241" i="10"/>
  <c r="G241" i="10" s="1"/>
  <c r="K242" i="10" s="1"/>
  <c r="F253" i="1"/>
  <c r="G253" i="1" s="1"/>
  <c r="K254" i="1" s="1"/>
  <c r="J253" i="1"/>
  <c r="G257" i="9" l="1"/>
  <c r="K258" i="9" s="1"/>
  <c r="H242" i="10"/>
  <c r="J242" i="10"/>
  <c r="I242" i="10"/>
  <c r="H254" i="1"/>
  <c r="J254" i="1" s="1"/>
  <c r="I254" i="1"/>
  <c r="H258" i="9" l="1"/>
  <c r="C27" i="9" s="1"/>
  <c r="J258" i="9"/>
  <c r="I258" i="9"/>
  <c r="F258" i="9" s="1"/>
  <c r="F242" i="10"/>
  <c r="G242" i="10" s="1"/>
  <c r="K243" i="10" s="1"/>
  <c r="F254" i="1"/>
  <c r="G254" i="1" s="1"/>
  <c r="K255" i="1" s="1"/>
  <c r="I255" i="1" s="1"/>
  <c r="G258" i="9" l="1"/>
  <c r="K259" i="9" s="1"/>
  <c r="J243" i="10"/>
  <c r="I243" i="10"/>
  <c r="H243" i="10"/>
  <c r="H255" i="1"/>
  <c r="J255" i="1" s="1"/>
  <c r="H259" i="9" l="1"/>
  <c r="J259" i="9"/>
  <c r="I259" i="9"/>
  <c r="F259" i="9" s="1"/>
  <c r="F243" i="10"/>
  <c r="G243" i="10" s="1"/>
  <c r="K244" i="10" s="1"/>
  <c r="F255" i="1"/>
  <c r="G255" i="1" s="1"/>
  <c r="K256" i="1" s="1"/>
  <c r="I256" i="1" s="1"/>
  <c r="G259" i="9" l="1"/>
  <c r="K260" i="9" s="1"/>
  <c r="I244" i="10"/>
  <c r="H244" i="10"/>
  <c r="J244" i="10"/>
  <c r="H256" i="1"/>
  <c r="I260" i="9" l="1"/>
  <c r="F260" i="9" s="1"/>
  <c r="H260" i="9"/>
  <c r="J260" i="9"/>
  <c r="F244" i="10"/>
  <c r="G244" i="10" s="1"/>
  <c r="K245" i="10" s="1"/>
  <c r="J256" i="1"/>
  <c r="F256" i="1"/>
  <c r="G256" i="1" s="1"/>
  <c r="K257" i="1" s="1"/>
  <c r="I257" i="1" s="1"/>
  <c r="G260" i="9" l="1"/>
  <c r="K261" i="9" s="1"/>
  <c r="H245" i="10"/>
  <c r="J245" i="10"/>
  <c r="I245" i="10"/>
  <c r="H257" i="1"/>
  <c r="J261" i="9" l="1"/>
  <c r="I261" i="9"/>
  <c r="H261" i="9"/>
  <c r="F245" i="10"/>
  <c r="J257" i="1"/>
  <c r="F257" i="1"/>
  <c r="B26" i="1" s="1"/>
  <c r="F261" i="9" l="1"/>
  <c r="G245" i="10"/>
  <c r="K246" i="10" s="1"/>
  <c r="B25" i="10"/>
  <c r="D22" i="4" s="1"/>
  <c r="T22" i="4" s="1"/>
  <c r="U22" i="4" s="1"/>
  <c r="G257" i="1"/>
  <c r="K258" i="1" s="1"/>
  <c r="I258" i="1" s="1"/>
  <c r="G261" i="9" l="1"/>
  <c r="K262" i="9" s="1"/>
  <c r="H246" i="10"/>
  <c r="C26" i="10" s="1"/>
  <c r="J246" i="10"/>
  <c r="I246" i="10"/>
  <c r="F246" i="10" s="1"/>
  <c r="H258" i="1"/>
  <c r="C27" i="1" s="1"/>
  <c r="I262" i="9" l="1"/>
  <c r="F262" i="9" s="1"/>
  <c r="H262" i="9"/>
  <c r="J262" i="9"/>
  <c r="G246" i="10"/>
  <c r="K247" i="10" s="1"/>
  <c r="H23" i="2"/>
  <c r="J258" i="1"/>
  <c r="F258" i="1"/>
  <c r="G258" i="1" s="1"/>
  <c r="K259" i="1" s="1"/>
  <c r="G262" i="9" l="1"/>
  <c r="K263" i="9" s="1"/>
  <c r="J247" i="10"/>
  <c r="I247" i="10"/>
  <c r="H247" i="10"/>
  <c r="H259" i="1"/>
  <c r="I259" i="1"/>
  <c r="H263" i="9" l="1"/>
  <c r="J263" i="9"/>
  <c r="I263" i="9"/>
  <c r="F263" i="9" s="1"/>
  <c r="G263" i="9" s="1"/>
  <c r="K264" i="9" s="1"/>
  <c r="F247" i="10"/>
  <c r="F259" i="1"/>
  <c r="G259" i="1" s="1"/>
  <c r="K260" i="1" s="1"/>
  <c r="H260" i="1" s="1"/>
  <c r="J259" i="1"/>
  <c r="H264" i="9" l="1"/>
  <c r="I264" i="9"/>
  <c r="J264" i="9"/>
  <c r="G247" i="10"/>
  <c r="K248" i="10" s="1"/>
  <c r="I260" i="1"/>
  <c r="F260" i="1" s="1"/>
  <c r="G260" i="1" s="1"/>
  <c r="K261" i="1" s="1"/>
  <c r="H261" i="1" s="1"/>
  <c r="J260" i="1"/>
  <c r="F264" i="9" l="1"/>
  <c r="G264" i="9" s="1"/>
  <c r="K265" i="9" s="1"/>
  <c r="H248" i="10"/>
  <c r="I248" i="10"/>
  <c r="J248" i="10"/>
  <c r="I261" i="1"/>
  <c r="F261" i="1" s="1"/>
  <c r="G261" i="1" s="1"/>
  <c r="K262" i="1" s="1"/>
  <c r="I262" i="1" s="1"/>
  <c r="J261" i="1"/>
  <c r="H265" i="9" l="1"/>
  <c r="J265" i="9"/>
  <c r="I265" i="9"/>
  <c r="F265" i="9" s="1"/>
  <c r="G265" i="9" s="1"/>
  <c r="K266" i="9" s="1"/>
  <c r="F248" i="10"/>
  <c r="H262" i="1"/>
  <c r="F262" i="1" s="1"/>
  <c r="I266" i="9" l="1"/>
  <c r="F266" i="9" s="1"/>
  <c r="J266" i="9"/>
  <c r="H266" i="9"/>
  <c r="G248" i="10"/>
  <c r="K249" i="10" s="1"/>
  <c r="J262" i="1"/>
  <c r="G262" i="1"/>
  <c r="K263" i="1" s="1"/>
  <c r="H263" i="1" s="1"/>
  <c r="G266" i="9" l="1"/>
  <c r="K267" i="9" s="1"/>
  <c r="I267" i="9" s="1"/>
  <c r="F267" i="9" s="1"/>
  <c r="J267" i="9"/>
  <c r="H267" i="9"/>
  <c r="J249" i="10"/>
  <c r="H249" i="10"/>
  <c r="I249" i="10"/>
  <c r="J263" i="1"/>
  <c r="I263" i="1"/>
  <c r="F263" i="1" s="1"/>
  <c r="G263" i="1" s="1"/>
  <c r="K264" i="1" s="1"/>
  <c r="I264" i="1" s="1"/>
  <c r="G267" i="9" l="1"/>
  <c r="K268" i="9" s="1"/>
  <c r="J268" i="9" s="1"/>
  <c r="H268" i="9"/>
  <c r="I268" i="9"/>
  <c r="F249" i="10"/>
  <c r="H264" i="1"/>
  <c r="J264" i="1" s="1"/>
  <c r="F268" i="9" l="1"/>
  <c r="G268" i="9" s="1"/>
  <c r="K269" i="9" s="1"/>
  <c r="G249" i="10"/>
  <c r="K250" i="10" s="1"/>
  <c r="F264" i="1"/>
  <c r="G264" i="1" s="1"/>
  <c r="K265" i="1" s="1"/>
  <c r="H265" i="1" s="1"/>
  <c r="J265" i="1" s="1"/>
  <c r="J269" i="9" l="1"/>
  <c r="H269" i="9"/>
  <c r="I269" i="9"/>
  <c r="F269" i="9" s="1"/>
  <c r="H250" i="10"/>
  <c r="I250" i="10"/>
  <c r="J250" i="10"/>
  <c r="I265" i="1"/>
  <c r="F265" i="1" s="1"/>
  <c r="G265" i="1" s="1"/>
  <c r="K266" i="1" s="1"/>
  <c r="H266" i="1" s="1"/>
  <c r="G269" i="9" l="1"/>
  <c r="K270" i="9" s="1"/>
  <c r="B27" i="9"/>
  <c r="F250" i="10"/>
  <c r="I266" i="1"/>
  <c r="F266" i="1" s="1"/>
  <c r="G266" i="1" s="1"/>
  <c r="K267" i="1" s="1"/>
  <c r="I267" i="1" s="1"/>
  <c r="J266" i="1"/>
  <c r="J270" i="9" l="1"/>
  <c r="I270" i="9"/>
  <c r="F270" i="9" s="1"/>
  <c r="H270" i="9"/>
  <c r="C28" i="9" s="1"/>
  <c r="G250" i="10"/>
  <c r="K251" i="10" s="1"/>
  <c r="H267" i="1"/>
  <c r="F267" i="1" s="1"/>
  <c r="G267" i="1" s="1"/>
  <c r="K268" i="1" s="1"/>
  <c r="H268" i="1" s="1"/>
  <c r="G270" i="9" l="1"/>
  <c r="K271" i="9" s="1"/>
  <c r="I251" i="10"/>
  <c r="H251" i="10"/>
  <c r="J251" i="10"/>
  <c r="J267" i="1"/>
  <c r="J268" i="1" s="1"/>
  <c r="I268" i="1"/>
  <c r="F268" i="1" s="1"/>
  <c r="G268" i="1" s="1"/>
  <c r="K269" i="1" s="1"/>
  <c r="I269" i="1" s="1"/>
  <c r="F251" i="10" l="1"/>
  <c r="G251" i="10" s="1"/>
  <c r="K252" i="10" s="1"/>
  <c r="I252" i="10" s="1"/>
  <c r="I271" i="9"/>
  <c r="F271" i="9" s="1"/>
  <c r="H271" i="9"/>
  <c r="J271" i="9"/>
  <c r="J252" i="10"/>
  <c r="H252" i="10"/>
  <c r="H269" i="1"/>
  <c r="G271" i="9" l="1"/>
  <c r="K272" i="9" s="1"/>
  <c r="F252" i="10"/>
  <c r="G252" i="10" s="1"/>
  <c r="K253" i="10" s="1"/>
  <c r="J269" i="1"/>
  <c r="F269" i="1"/>
  <c r="B27" i="1" s="1"/>
  <c r="J272" i="9" l="1"/>
  <c r="H272" i="9"/>
  <c r="I272" i="9"/>
  <c r="F272" i="9" s="1"/>
  <c r="J253" i="10"/>
  <c r="I253" i="10"/>
  <c r="H253" i="10"/>
  <c r="G269" i="1"/>
  <c r="K270" i="1" s="1"/>
  <c r="H270" i="1" s="1"/>
  <c r="C28" i="1" s="1"/>
  <c r="F253" i="10" l="1"/>
  <c r="G253" i="10" s="1"/>
  <c r="K254" i="10" s="1"/>
  <c r="J254" i="10" s="1"/>
  <c r="G272" i="9"/>
  <c r="K273" i="9" s="1"/>
  <c r="I254" i="10"/>
  <c r="H24" i="2"/>
  <c r="J270" i="1"/>
  <c r="I270" i="1"/>
  <c r="F270" i="1" s="1"/>
  <c r="G270" i="1" s="1"/>
  <c r="K271" i="1" s="1"/>
  <c r="I271" i="1" s="1"/>
  <c r="H254" i="10" l="1"/>
  <c r="F254" i="10" s="1"/>
  <c r="G254" i="10" s="1"/>
  <c r="K255" i="10" s="1"/>
  <c r="I255" i="10" s="1"/>
  <c r="I273" i="9"/>
  <c r="F273" i="9" s="1"/>
  <c r="H273" i="9"/>
  <c r="J273" i="9"/>
  <c r="J255" i="10"/>
  <c r="H271" i="1"/>
  <c r="H255" i="10" l="1"/>
  <c r="G273" i="9"/>
  <c r="K274" i="9" s="1"/>
  <c r="F255" i="10"/>
  <c r="G255" i="10" s="1"/>
  <c r="K256" i="10" s="1"/>
  <c r="J271" i="1"/>
  <c r="F271" i="1"/>
  <c r="G271" i="1" s="1"/>
  <c r="K272" i="1" s="1"/>
  <c r="J274" i="9" l="1"/>
  <c r="H274" i="9"/>
  <c r="I274" i="9"/>
  <c r="I256" i="10"/>
  <c r="H256" i="10"/>
  <c r="J256" i="10"/>
  <c r="I272" i="1"/>
  <c r="H272" i="1"/>
  <c r="F256" i="10" l="1"/>
  <c r="G256" i="10" s="1"/>
  <c r="K257" i="10" s="1"/>
  <c r="H257" i="10" s="1"/>
  <c r="F274" i="9"/>
  <c r="I257" i="10"/>
  <c r="J272" i="1"/>
  <c r="F272" i="1"/>
  <c r="J257" i="10" l="1"/>
  <c r="G274" i="9"/>
  <c r="K275" i="9" s="1"/>
  <c r="F257" i="10"/>
  <c r="G272" i="1"/>
  <c r="K273" i="1" s="1"/>
  <c r="J275" i="9" l="1"/>
  <c r="H275" i="9"/>
  <c r="I275" i="9"/>
  <c r="F275" i="9" s="1"/>
  <c r="G275" i="9" s="1"/>
  <c r="K276" i="9" s="1"/>
  <c r="G257" i="10"/>
  <c r="K258" i="10" s="1"/>
  <c r="B26" i="10"/>
  <c r="D23" i="4" s="1"/>
  <c r="T23" i="4" s="1"/>
  <c r="U23" i="4" s="1"/>
  <c r="H273" i="1"/>
  <c r="J273" i="1" s="1"/>
  <c r="I273" i="1"/>
  <c r="H276" i="9" l="1"/>
  <c r="I276" i="9"/>
  <c r="J276" i="9"/>
  <c r="I258" i="10"/>
  <c r="F258" i="10" s="1"/>
  <c r="J258" i="10"/>
  <c r="H258" i="10"/>
  <c r="C27" i="10" s="1"/>
  <c r="F273" i="1"/>
  <c r="G273" i="1" s="1"/>
  <c r="K274" i="1" s="1"/>
  <c r="F276" i="9" l="1"/>
  <c r="G276" i="9" s="1"/>
  <c r="K277" i="9" s="1"/>
  <c r="G258" i="10"/>
  <c r="K259" i="10" s="1"/>
  <c r="I274" i="1"/>
  <c r="H274" i="1"/>
  <c r="J274" i="1" s="1"/>
  <c r="I277" i="9" l="1"/>
  <c r="F277" i="9" s="1"/>
  <c r="J277" i="9"/>
  <c r="H277" i="9"/>
  <c r="J259" i="10"/>
  <c r="I259" i="10"/>
  <c r="H259" i="10"/>
  <c r="F274" i="1"/>
  <c r="G274" i="1" s="1"/>
  <c r="K275" i="1" s="1"/>
  <c r="G277" i="9" l="1"/>
  <c r="K278" i="9" s="1"/>
  <c r="J278" i="9" s="1"/>
  <c r="H278" i="9"/>
  <c r="I278" i="9"/>
  <c r="F259" i="10"/>
  <c r="I275" i="1"/>
  <c r="H275" i="1"/>
  <c r="J275" i="1" s="1"/>
  <c r="F278" i="9" l="1"/>
  <c r="G278" i="9" s="1"/>
  <c r="K279" i="9" s="1"/>
  <c r="G259" i="10"/>
  <c r="K260" i="10" s="1"/>
  <c r="F275" i="1"/>
  <c r="G275" i="1" s="1"/>
  <c r="K276" i="1" s="1"/>
  <c r="I276" i="1" s="1"/>
  <c r="J279" i="9" l="1"/>
  <c r="H279" i="9"/>
  <c r="I279" i="9"/>
  <c r="F279" i="9" s="1"/>
  <c r="G279" i="9" s="1"/>
  <c r="K280" i="9" s="1"/>
  <c r="I260" i="10"/>
  <c r="H260" i="10"/>
  <c r="J260" i="10"/>
  <c r="H276" i="1"/>
  <c r="J276" i="1" s="1"/>
  <c r="J280" i="9" l="1"/>
  <c r="H280" i="9"/>
  <c r="I280" i="9"/>
  <c r="F280" i="9" s="1"/>
  <c r="G280" i="9" s="1"/>
  <c r="K281" i="9" s="1"/>
  <c r="F260" i="10"/>
  <c r="F276" i="1"/>
  <c r="G276" i="1" s="1"/>
  <c r="K277" i="1" s="1"/>
  <c r="I277" i="1" s="1"/>
  <c r="J281" i="9" l="1"/>
  <c r="H281" i="9"/>
  <c r="I281" i="9"/>
  <c r="F281" i="9" s="1"/>
  <c r="G260" i="10"/>
  <c r="K261" i="10" s="1"/>
  <c r="H277" i="1"/>
  <c r="J277" i="1" s="1"/>
  <c r="G281" i="9" l="1"/>
  <c r="K282" i="9" s="1"/>
  <c r="B28" i="9"/>
  <c r="I261" i="10"/>
  <c r="J261" i="10"/>
  <c r="H261" i="10"/>
  <c r="F277" i="1"/>
  <c r="G277" i="1" s="1"/>
  <c r="K278" i="1" s="1"/>
  <c r="I278" i="1" s="1"/>
  <c r="J282" i="9" l="1"/>
  <c r="H282" i="9"/>
  <c r="C29" i="9" s="1"/>
  <c r="I282" i="9"/>
  <c r="F282" i="9" s="1"/>
  <c r="G282" i="9" s="1"/>
  <c r="K283" i="9" s="1"/>
  <c r="F261" i="10"/>
  <c r="H278" i="1"/>
  <c r="J278" i="1" s="1"/>
  <c r="I283" i="9" l="1"/>
  <c r="F283" i="9" s="1"/>
  <c r="J283" i="9"/>
  <c r="H283" i="9"/>
  <c r="G261" i="10"/>
  <c r="K262" i="10" s="1"/>
  <c r="F278" i="1"/>
  <c r="G278" i="1" s="1"/>
  <c r="K279" i="1" s="1"/>
  <c r="G283" i="9" l="1"/>
  <c r="K284" i="9" s="1"/>
  <c r="I262" i="10"/>
  <c r="H262" i="10"/>
  <c r="J262" i="10"/>
  <c r="H279" i="1"/>
  <c r="J279" i="1" s="1"/>
  <c r="I279" i="1"/>
  <c r="I284" i="9" l="1"/>
  <c r="J284" i="9"/>
  <c r="H284" i="9"/>
  <c r="F262" i="10"/>
  <c r="F279" i="1"/>
  <c r="G279" i="1" s="1"/>
  <c r="K280" i="1" s="1"/>
  <c r="I280" i="1" s="1"/>
  <c r="F284" i="9" l="1"/>
  <c r="G262" i="10"/>
  <c r="K263" i="10" s="1"/>
  <c r="H280" i="1"/>
  <c r="G284" i="9" l="1"/>
  <c r="K285" i="9" s="1"/>
  <c r="H263" i="10"/>
  <c r="J263" i="10"/>
  <c r="I263" i="10"/>
  <c r="J280" i="1"/>
  <c r="F280" i="1"/>
  <c r="G280" i="1" s="1"/>
  <c r="K281" i="1" s="1"/>
  <c r="I281" i="1" s="1"/>
  <c r="H285" i="9" l="1"/>
  <c r="I285" i="9"/>
  <c r="F285" i="9" s="1"/>
  <c r="J285" i="9"/>
  <c r="F263" i="10"/>
  <c r="G263" i="10" s="1"/>
  <c r="K264" i="10" s="1"/>
  <c r="H281" i="1"/>
  <c r="G285" i="9" l="1"/>
  <c r="K286" i="9" s="1"/>
  <c r="I264" i="10"/>
  <c r="J264" i="10"/>
  <c r="H264" i="10"/>
  <c r="J281" i="1"/>
  <c r="F281" i="1"/>
  <c r="B28" i="1" s="1"/>
  <c r="J286" i="9" l="1"/>
  <c r="I286" i="9"/>
  <c r="F286" i="9" s="1"/>
  <c r="H286" i="9"/>
  <c r="F264" i="10"/>
  <c r="G264" i="10" s="1"/>
  <c r="K265" i="10" s="1"/>
  <c r="G281" i="1"/>
  <c r="K282" i="1" s="1"/>
  <c r="H282" i="1" s="1"/>
  <c r="C29" i="1" s="1"/>
  <c r="G286" i="9" l="1"/>
  <c r="K287" i="9" s="1"/>
  <c r="I265" i="10"/>
  <c r="J265" i="10"/>
  <c r="H265" i="10"/>
  <c r="H25" i="2"/>
  <c r="J282" i="1"/>
  <c r="I282" i="1"/>
  <c r="F282" i="1" s="1"/>
  <c r="G282" i="1" s="1"/>
  <c r="K283" i="1" s="1"/>
  <c r="H283" i="1" s="1"/>
  <c r="F265" i="10" l="1"/>
  <c r="G265" i="10" s="1"/>
  <c r="K266" i="10" s="1"/>
  <c r="H266" i="10" s="1"/>
  <c r="H287" i="9"/>
  <c r="I287" i="9"/>
  <c r="F287" i="9" s="1"/>
  <c r="G287" i="9" s="1"/>
  <c r="K288" i="9" s="1"/>
  <c r="J287" i="9"/>
  <c r="I266" i="10"/>
  <c r="J283" i="1"/>
  <c r="I283" i="1"/>
  <c r="F283" i="1" s="1"/>
  <c r="G283" i="1" s="1"/>
  <c r="K284" i="1" s="1"/>
  <c r="H284" i="1" s="1"/>
  <c r="J284" i="1" s="1"/>
  <c r="J266" i="10" l="1"/>
  <c r="J288" i="9"/>
  <c r="I288" i="9"/>
  <c r="F288" i="9" s="1"/>
  <c r="H288" i="9"/>
  <c r="F266" i="10"/>
  <c r="G266" i="10" s="1"/>
  <c r="K267" i="10" s="1"/>
  <c r="I284" i="1"/>
  <c r="F284" i="1" s="1"/>
  <c r="G284" i="1" s="1"/>
  <c r="K285" i="1" s="1"/>
  <c r="I285" i="1" s="1"/>
  <c r="G288" i="9" l="1"/>
  <c r="K289" i="9" s="1"/>
  <c r="I289" i="9" s="1"/>
  <c r="F289" i="9" s="1"/>
  <c r="J289" i="9"/>
  <c r="H289" i="9"/>
  <c r="H267" i="10"/>
  <c r="J267" i="10"/>
  <c r="I267" i="10"/>
  <c r="H285" i="1"/>
  <c r="G289" i="9" l="1"/>
  <c r="K290" i="9" s="1"/>
  <c r="I290" i="9" s="1"/>
  <c r="F290" i="9" s="1"/>
  <c r="G290" i="9" s="1"/>
  <c r="K291" i="9" s="1"/>
  <c r="H290" i="9"/>
  <c r="J290" i="9"/>
  <c r="F267" i="10"/>
  <c r="G267" i="10" s="1"/>
  <c r="K268" i="10" s="1"/>
  <c r="J285" i="1"/>
  <c r="F285" i="1"/>
  <c r="G285" i="1" s="1"/>
  <c r="K286" i="1" s="1"/>
  <c r="H286" i="1" s="1"/>
  <c r="J291" i="9" l="1"/>
  <c r="I291" i="9"/>
  <c r="F291" i="9" s="1"/>
  <c r="H291" i="9"/>
  <c r="J268" i="10"/>
  <c r="I268" i="10"/>
  <c r="H268" i="10"/>
  <c r="J286" i="1"/>
  <c r="I286" i="1"/>
  <c r="F286" i="1" s="1"/>
  <c r="G286" i="1" s="1"/>
  <c r="K287" i="1" s="1"/>
  <c r="G291" i="9" l="1"/>
  <c r="K292" i="9" s="1"/>
  <c r="J292" i="9" s="1"/>
  <c r="I292" i="9"/>
  <c r="F292" i="9" s="1"/>
  <c r="H292" i="9"/>
  <c r="F268" i="10"/>
  <c r="G268" i="10" s="1"/>
  <c r="K269" i="10" s="1"/>
  <c r="I287" i="1"/>
  <c r="H287" i="1"/>
  <c r="G292" i="9" l="1"/>
  <c r="K293" i="9" s="1"/>
  <c r="I293" i="9" s="1"/>
  <c r="H293" i="9"/>
  <c r="F293" i="9" s="1"/>
  <c r="J293" i="9"/>
  <c r="I269" i="10"/>
  <c r="J269" i="10"/>
  <c r="H269" i="10"/>
  <c r="F287" i="1"/>
  <c r="G287" i="1" s="1"/>
  <c r="K288" i="1" s="1"/>
  <c r="I288" i="1" s="1"/>
  <c r="J287" i="1"/>
  <c r="G293" i="9" l="1"/>
  <c r="K294" i="9" s="1"/>
  <c r="B29" i="9"/>
  <c r="F269" i="10"/>
  <c r="H288" i="1"/>
  <c r="J288" i="1" s="1"/>
  <c r="J294" i="9" l="1"/>
  <c r="I294" i="9"/>
  <c r="F294" i="9" s="1"/>
  <c r="H294" i="9"/>
  <c r="C30" i="9" s="1"/>
  <c r="G269" i="10"/>
  <c r="K270" i="10" s="1"/>
  <c r="B27" i="10"/>
  <c r="D24" i="4" s="1"/>
  <c r="T24" i="4" s="1"/>
  <c r="U24" i="4" s="1"/>
  <c r="F288" i="1"/>
  <c r="G288" i="1" s="1"/>
  <c r="K289" i="1" s="1"/>
  <c r="H289" i="1" s="1"/>
  <c r="G294" i="9" l="1"/>
  <c r="K295" i="9" s="1"/>
  <c r="I295" i="9" s="1"/>
  <c r="I270" i="10"/>
  <c r="F270" i="10" s="1"/>
  <c r="J270" i="10"/>
  <c r="H270" i="10"/>
  <c r="C28" i="10" s="1"/>
  <c r="I289" i="1"/>
  <c r="F289" i="1" s="1"/>
  <c r="G289" i="1" s="1"/>
  <c r="K290" i="1" s="1"/>
  <c r="I290" i="1" s="1"/>
  <c r="J289" i="1"/>
  <c r="J295" i="9" l="1"/>
  <c r="H295" i="9"/>
  <c r="F295" i="9"/>
  <c r="G295" i="9" s="1"/>
  <c r="K296" i="9" s="1"/>
  <c r="G270" i="10"/>
  <c r="K271" i="10" s="1"/>
  <c r="H290" i="1"/>
  <c r="F290" i="1" s="1"/>
  <c r="G290" i="1" s="1"/>
  <c r="K291" i="1" s="1"/>
  <c r="H291" i="1" s="1"/>
  <c r="J296" i="9" l="1"/>
  <c r="I296" i="9"/>
  <c r="F296" i="9" s="1"/>
  <c r="H296" i="9"/>
  <c r="J271" i="10"/>
  <c r="H271" i="10"/>
  <c r="I271" i="10"/>
  <c r="J290" i="1"/>
  <c r="J291" i="1" s="1"/>
  <c r="I291" i="1"/>
  <c r="F291" i="1" s="1"/>
  <c r="G291" i="1" s="1"/>
  <c r="K292" i="1" s="1"/>
  <c r="H292" i="1" s="1"/>
  <c r="G296" i="9" l="1"/>
  <c r="K297" i="9" s="1"/>
  <c r="J297" i="9" s="1"/>
  <c r="I297" i="9"/>
  <c r="F297" i="9" s="1"/>
  <c r="H297" i="9"/>
  <c r="F271" i="10"/>
  <c r="J292" i="1"/>
  <c r="I292" i="1"/>
  <c r="F292" i="1" s="1"/>
  <c r="G292" i="1" s="1"/>
  <c r="K293" i="1" s="1"/>
  <c r="H293" i="1" s="1"/>
  <c r="G297" i="9" l="1"/>
  <c r="K298" i="9" s="1"/>
  <c r="G271" i="10"/>
  <c r="K272" i="10" s="1"/>
  <c r="I293" i="1"/>
  <c r="F293" i="1" s="1"/>
  <c r="B29" i="1" s="1"/>
  <c r="J293" i="1"/>
  <c r="J298" i="9" l="1"/>
  <c r="H298" i="9"/>
  <c r="I298" i="9"/>
  <c r="I272" i="10"/>
  <c r="J272" i="10"/>
  <c r="H272" i="10"/>
  <c r="G293" i="1"/>
  <c r="K294" i="1" s="1"/>
  <c r="F298" i="9" l="1"/>
  <c r="F272" i="10"/>
  <c r="H294" i="1"/>
  <c r="C30" i="1" s="1"/>
  <c r="I294" i="1"/>
  <c r="G298" i="9" l="1"/>
  <c r="K299" i="9" s="1"/>
  <c r="G272" i="10"/>
  <c r="K273" i="10" s="1"/>
  <c r="H26" i="2"/>
  <c r="J294" i="1"/>
  <c r="F294" i="1"/>
  <c r="G294" i="1" s="1"/>
  <c r="K295" i="1" s="1"/>
  <c r="I295" i="1" s="1"/>
  <c r="J299" i="9" l="1"/>
  <c r="H299" i="9"/>
  <c r="I299" i="9"/>
  <c r="J273" i="10"/>
  <c r="I273" i="10"/>
  <c r="H273" i="10"/>
  <c r="H295" i="1"/>
  <c r="F273" i="10" l="1"/>
  <c r="G273" i="10" s="1"/>
  <c r="K274" i="10" s="1"/>
  <c r="F299" i="9"/>
  <c r="J295" i="1"/>
  <c r="F295" i="1"/>
  <c r="G295" i="1" s="1"/>
  <c r="K296" i="1" s="1"/>
  <c r="G299" i="9" l="1"/>
  <c r="K300" i="9" s="1"/>
  <c r="I274" i="10"/>
  <c r="H274" i="10"/>
  <c r="J274" i="10"/>
  <c r="I296" i="1"/>
  <c r="H296" i="1"/>
  <c r="J300" i="9" l="1"/>
  <c r="H300" i="9"/>
  <c r="I300" i="9"/>
  <c r="F274" i="10"/>
  <c r="J296" i="1"/>
  <c r="F296" i="1"/>
  <c r="G296" i="1" s="1"/>
  <c r="K297" i="1" s="1"/>
  <c r="F300" i="9" l="1"/>
  <c r="G274" i="10"/>
  <c r="K275" i="10" s="1"/>
  <c r="I297" i="1"/>
  <c r="H297" i="1"/>
  <c r="J297" i="1" s="1"/>
  <c r="G300" i="9" l="1"/>
  <c r="K301" i="9" s="1"/>
  <c r="H275" i="10"/>
  <c r="I275" i="10"/>
  <c r="J275" i="10"/>
  <c r="F297" i="1"/>
  <c r="G297" i="1" s="1"/>
  <c r="K298" i="1" s="1"/>
  <c r="J301" i="9" l="1"/>
  <c r="H301" i="9"/>
  <c r="I301" i="9"/>
  <c r="F275" i="10"/>
  <c r="G275" i="10" s="1"/>
  <c r="K276" i="10" s="1"/>
  <c r="I298" i="1"/>
  <c r="H298" i="1"/>
  <c r="J298" i="1" s="1"/>
  <c r="F301" i="9" l="1"/>
  <c r="J276" i="10"/>
  <c r="H276" i="10"/>
  <c r="I276" i="10"/>
  <c r="F298" i="1"/>
  <c r="G298" i="1" s="1"/>
  <c r="K299" i="1" s="1"/>
  <c r="G301" i="9" l="1"/>
  <c r="K302" i="9" s="1"/>
  <c r="F276" i="10"/>
  <c r="G276" i="10" s="1"/>
  <c r="K277" i="10" s="1"/>
  <c r="I299" i="1"/>
  <c r="H299" i="1"/>
  <c r="J299" i="1" s="1"/>
  <c r="I302" i="9" l="1"/>
  <c r="F302" i="9" s="1"/>
  <c r="J302" i="9"/>
  <c r="H302" i="9"/>
  <c r="I277" i="10"/>
  <c r="H277" i="10"/>
  <c r="J277" i="10"/>
  <c r="F299" i="1"/>
  <c r="G299" i="1" s="1"/>
  <c r="K300" i="1" s="1"/>
  <c r="H300" i="1" s="1"/>
  <c r="J300" i="1" s="1"/>
  <c r="G302" i="9" l="1"/>
  <c r="K303" i="9" s="1"/>
  <c r="H303" i="9" s="1"/>
  <c r="J303" i="9"/>
  <c r="I303" i="9"/>
  <c r="F303" i="9" s="1"/>
  <c r="F277" i="10"/>
  <c r="G277" i="10" s="1"/>
  <c r="K278" i="10" s="1"/>
  <c r="I300" i="1"/>
  <c r="F300" i="1" s="1"/>
  <c r="G300" i="1" s="1"/>
  <c r="K301" i="1" s="1"/>
  <c r="G303" i="9" l="1"/>
  <c r="K304" i="9" s="1"/>
  <c r="H304" i="9" s="1"/>
  <c r="I304" i="9"/>
  <c r="F304" i="9" s="1"/>
  <c r="J304" i="9"/>
  <c r="H278" i="10"/>
  <c r="J278" i="10"/>
  <c r="I278" i="10"/>
  <c r="H301" i="1"/>
  <c r="J301" i="1" s="1"/>
  <c r="I301" i="1"/>
  <c r="G304" i="9" l="1"/>
  <c r="K305" i="9" s="1"/>
  <c r="I305" i="9" s="1"/>
  <c r="F305" i="9" s="1"/>
  <c r="H305" i="9"/>
  <c r="J305" i="9"/>
  <c r="F278" i="10"/>
  <c r="G278" i="10" s="1"/>
  <c r="K279" i="10" s="1"/>
  <c r="F301" i="1"/>
  <c r="G301" i="1" s="1"/>
  <c r="K302" i="1" s="1"/>
  <c r="H302" i="1" s="1"/>
  <c r="J302" i="1" s="1"/>
  <c r="G305" i="9" l="1"/>
  <c r="K306" i="9" s="1"/>
  <c r="B30" i="9"/>
  <c r="J279" i="10"/>
  <c r="I279" i="10"/>
  <c r="H279" i="10"/>
  <c r="I302" i="1"/>
  <c r="F302" i="1" s="1"/>
  <c r="G302" i="1" s="1"/>
  <c r="K303" i="1" s="1"/>
  <c r="H303" i="1" s="1"/>
  <c r="I306" i="9" l="1"/>
  <c r="F306" i="9" s="1"/>
  <c r="J306" i="9"/>
  <c r="H306" i="9"/>
  <c r="C31" i="9" s="1"/>
  <c r="F279" i="10"/>
  <c r="G279" i="10" s="1"/>
  <c r="K280" i="10" s="1"/>
  <c r="J303" i="1"/>
  <c r="I303" i="1"/>
  <c r="F303" i="1" s="1"/>
  <c r="G303" i="1" s="1"/>
  <c r="K304" i="1" s="1"/>
  <c r="I304" i="1" s="1"/>
  <c r="G306" i="9" l="1"/>
  <c r="K307" i="9" s="1"/>
  <c r="H307" i="9" s="1"/>
  <c r="J307" i="9"/>
  <c r="I307" i="9"/>
  <c r="J280" i="10"/>
  <c r="H280" i="10"/>
  <c r="I280" i="10"/>
  <c r="H304" i="1"/>
  <c r="F307" i="9" l="1"/>
  <c r="G307" i="9" s="1"/>
  <c r="K308" i="9" s="1"/>
  <c r="F280" i="10"/>
  <c r="G280" i="10" s="1"/>
  <c r="K281" i="10" s="1"/>
  <c r="F304" i="1"/>
  <c r="G304" i="1" s="1"/>
  <c r="K305" i="1" s="1"/>
  <c r="I305" i="1" s="1"/>
  <c r="J304" i="1"/>
  <c r="J308" i="9" l="1"/>
  <c r="I308" i="9"/>
  <c r="F308" i="9" s="1"/>
  <c r="H308" i="9"/>
  <c r="H281" i="10"/>
  <c r="J281" i="10"/>
  <c r="I281" i="10"/>
  <c r="H305" i="1"/>
  <c r="G308" i="9" l="1"/>
  <c r="K309" i="9" s="1"/>
  <c r="J309" i="9" s="1"/>
  <c r="I309" i="9"/>
  <c r="F309" i="9" s="1"/>
  <c r="H309" i="9"/>
  <c r="F281" i="10"/>
  <c r="F305" i="1"/>
  <c r="B30" i="1" s="1"/>
  <c r="J305" i="1"/>
  <c r="G309" i="9" l="1"/>
  <c r="K310" i="9" s="1"/>
  <c r="J310" i="9" s="1"/>
  <c r="I310" i="9"/>
  <c r="F310" i="9" s="1"/>
  <c r="H310" i="9"/>
  <c r="G281" i="10"/>
  <c r="K282" i="10" s="1"/>
  <c r="B28" i="10"/>
  <c r="D25" i="4" s="1"/>
  <c r="T25" i="4" s="1"/>
  <c r="U25" i="4" s="1"/>
  <c r="G305" i="1"/>
  <c r="K306" i="1" s="1"/>
  <c r="I306" i="1" s="1"/>
  <c r="G310" i="9" l="1"/>
  <c r="K311" i="9" s="1"/>
  <c r="J311" i="9" s="1"/>
  <c r="I311" i="9"/>
  <c r="F311" i="9" s="1"/>
  <c r="H311" i="9"/>
  <c r="J282" i="10"/>
  <c r="I282" i="10"/>
  <c r="F282" i="10" s="1"/>
  <c r="H282" i="10"/>
  <c r="C29" i="10" s="1"/>
  <c r="H306" i="1"/>
  <c r="C31" i="1" s="1"/>
  <c r="G311" i="9" l="1"/>
  <c r="K312" i="9" s="1"/>
  <c r="I312" i="9" s="1"/>
  <c r="F312" i="9" s="1"/>
  <c r="J312" i="9"/>
  <c r="H312" i="9"/>
  <c r="G282" i="10"/>
  <c r="K283" i="10" s="1"/>
  <c r="H27" i="2"/>
  <c r="J306" i="1"/>
  <c r="F306" i="1"/>
  <c r="G306" i="1" s="1"/>
  <c r="K307" i="1" s="1"/>
  <c r="I307" i="1" s="1"/>
  <c r="G312" i="9" l="1"/>
  <c r="K313" i="9" s="1"/>
  <c r="J313" i="9" s="1"/>
  <c r="I313" i="9"/>
  <c r="F313" i="9" s="1"/>
  <c r="H283" i="10"/>
  <c r="J283" i="10"/>
  <c r="I283" i="10"/>
  <c r="H307" i="1"/>
  <c r="F307" i="1" s="1"/>
  <c r="G307" i="1" s="1"/>
  <c r="K308" i="1" s="1"/>
  <c r="H313" i="9" l="1"/>
  <c r="G313" i="9" s="1"/>
  <c r="K314" i="9" s="1"/>
  <c r="F283" i="10"/>
  <c r="J307" i="1"/>
  <c r="I308" i="1"/>
  <c r="H308" i="1"/>
  <c r="H314" i="9" l="1"/>
  <c r="I314" i="9"/>
  <c r="F314" i="9"/>
  <c r="G314" i="9" s="1"/>
  <c r="K315" i="9" s="1"/>
  <c r="H315" i="9" s="1"/>
  <c r="J314" i="9"/>
  <c r="I315" i="9"/>
  <c r="F315" i="9" s="1"/>
  <c r="G283" i="10"/>
  <c r="K284" i="10" s="1"/>
  <c r="J308" i="1"/>
  <c r="F308" i="1"/>
  <c r="G308" i="1" s="1"/>
  <c r="K309" i="1" s="1"/>
  <c r="J315" i="9" l="1"/>
  <c r="G315" i="9"/>
  <c r="K316" i="9" s="1"/>
  <c r="H284" i="10"/>
  <c r="J284" i="10"/>
  <c r="I284" i="10"/>
  <c r="I309" i="1"/>
  <c r="H309" i="1"/>
  <c r="H316" i="9" l="1"/>
  <c r="J316" i="9"/>
  <c r="I316" i="9"/>
  <c r="F316" i="9" s="1"/>
  <c r="F284" i="10"/>
  <c r="J309" i="1"/>
  <c r="F309" i="1"/>
  <c r="G316" i="9" l="1"/>
  <c r="K317" i="9" s="1"/>
  <c r="G284" i="10"/>
  <c r="K285" i="10" s="1"/>
  <c r="G309" i="1"/>
  <c r="K310" i="1" s="1"/>
  <c r="H317" i="9" l="1"/>
  <c r="J317" i="9"/>
  <c r="I317" i="9"/>
  <c r="F317" i="9" s="1"/>
  <c r="I285" i="10"/>
  <c r="J285" i="10"/>
  <c r="H285" i="10"/>
  <c r="I310" i="1"/>
  <c r="H310" i="1"/>
  <c r="F285" i="10" l="1"/>
  <c r="G285" i="10" s="1"/>
  <c r="K286" i="10" s="1"/>
  <c r="G317" i="9"/>
  <c r="K318" i="9" s="1"/>
  <c r="B31" i="9"/>
  <c r="F310" i="1"/>
  <c r="G310" i="1" s="1"/>
  <c r="K311" i="1" s="1"/>
  <c r="J310" i="1"/>
  <c r="I318" i="9" l="1"/>
  <c r="F318" i="9" s="1"/>
  <c r="H318" i="9"/>
  <c r="C32" i="9" s="1"/>
  <c r="J318" i="9"/>
  <c r="I286" i="10"/>
  <c r="J286" i="10"/>
  <c r="H286" i="10"/>
  <c r="I311" i="1"/>
  <c r="H311" i="1"/>
  <c r="G318" i="9" l="1"/>
  <c r="K319" i="9" s="1"/>
  <c r="H319" i="9" s="1"/>
  <c r="J319" i="9"/>
  <c r="I319" i="9"/>
  <c r="F319" i="9" s="1"/>
  <c r="F286" i="10"/>
  <c r="F311" i="1"/>
  <c r="G311" i="1" s="1"/>
  <c r="K312" i="1" s="1"/>
  <c r="I312" i="1" s="1"/>
  <c r="J311" i="1"/>
  <c r="G319" i="9" l="1"/>
  <c r="K320" i="9" s="1"/>
  <c r="J320" i="9" s="1"/>
  <c r="H320" i="9"/>
  <c r="I320" i="9"/>
  <c r="G286" i="10"/>
  <c r="K287" i="10" s="1"/>
  <c r="H312" i="1"/>
  <c r="F320" i="9" l="1"/>
  <c r="G320" i="9" s="1"/>
  <c r="K321" i="9" s="1"/>
  <c r="H287" i="10"/>
  <c r="J287" i="10"/>
  <c r="I287" i="10"/>
  <c r="F312" i="1"/>
  <c r="G312" i="1" s="1"/>
  <c r="K313" i="1" s="1"/>
  <c r="J312" i="1"/>
  <c r="H321" i="9" l="1"/>
  <c r="J321" i="9"/>
  <c r="I321" i="9"/>
  <c r="F287" i="10"/>
  <c r="H313" i="1"/>
  <c r="J313" i="1" s="1"/>
  <c r="I313" i="1"/>
  <c r="F321" i="9" l="1"/>
  <c r="G321" i="9" s="1"/>
  <c r="K322" i="9" s="1"/>
  <c r="G287" i="10"/>
  <c r="K288" i="10" s="1"/>
  <c r="F313" i="1"/>
  <c r="G313" i="1" s="1"/>
  <c r="K314" i="1" s="1"/>
  <c r="H314" i="1" s="1"/>
  <c r="J314" i="1" s="1"/>
  <c r="J322" i="9" l="1"/>
  <c r="I322" i="9"/>
  <c r="F322" i="9" s="1"/>
  <c r="H322" i="9"/>
  <c r="J288" i="10"/>
  <c r="I288" i="10"/>
  <c r="H288" i="10"/>
  <c r="I314" i="1"/>
  <c r="F314" i="1" s="1"/>
  <c r="G314" i="1" s="1"/>
  <c r="K315" i="1" s="1"/>
  <c r="G322" i="9" l="1"/>
  <c r="K323" i="9" s="1"/>
  <c r="I323" i="9" s="1"/>
  <c r="H323" i="9"/>
  <c r="J323" i="9"/>
  <c r="F288" i="10"/>
  <c r="H315" i="1"/>
  <c r="J315" i="1" s="1"/>
  <c r="I315" i="1"/>
  <c r="F323" i="9" l="1"/>
  <c r="G323" i="9" s="1"/>
  <c r="K324" i="9" s="1"/>
  <c r="H324" i="9" s="1"/>
  <c r="J324" i="9"/>
  <c r="G288" i="10"/>
  <c r="K289" i="10" s="1"/>
  <c r="F315" i="1"/>
  <c r="G315" i="1" s="1"/>
  <c r="K316" i="1" s="1"/>
  <c r="H316" i="1" s="1"/>
  <c r="I324" i="9" l="1"/>
  <c r="F324" i="9" s="1"/>
  <c r="G324" i="9" s="1"/>
  <c r="K325" i="9" s="1"/>
  <c r="I325" i="9" s="1"/>
  <c r="J325" i="9"/>
  <c r="H325" i="9"/>
  <c r="F325" i="9" s="1"/>
  <c r="G325" i="9" s="1"/>
  <c r="K326" i="9" s="1"/>
  <c r="H326" i="9" s="1"/>
  <c r="J289" i="10"/>
  <c r="I289" i="10"/>
  <c r="H289" i="10"/>
  <c r="J316" i="1"/>
  <c r="I316" i="1"/>
  <c r="F316" i="1" s="1"/>
  <c r="G316" i="1" s="1"/>
  <c r="K317" i="1" s="1"/>
  <c r="H317" i="1" s="1"/>
  <c r="I326" i="9" l="1"/>
  <c r="F326" i="9" s="1"/>
  <c r="G326" i="9" s="1"/>
  <c r="K327" i="9" s="1"/>
  <c r="J327" i="9" s="1"/>
  <c r="J326" i="9"/>
  <c r="F289" i="10"/>
  <c r="J317" i="1"/>
  <c r="I317" i="1"/>
  <c r="F317" i="1" s="1"/>
  <c r="B31" i="1" s="1"/>
  <c r="I327" i="9" l="1"/>
  <c r="H327" i="9"/>
  <c r="G289" i="10"/>
  <c r="K290" i="10" s="1"/>
  <c r="G317" i="1"/>
  <c r="K318" i="1" s="1"/>
  <c r="F327" i="9" l="1"/>
  <c r="G327" i="9" s="1"/>
  <c r="K328" i="9" s="1"/>
  <c r="J290" i="10"/>
  <c r="I290" i="10"/>
  <c r="H290" i="10"/>
  <c r="H318" i="1"/>
  <c r="C32" i="1" s="1"/>
  <c r="I318" i="1"/>
  <c r="H328" i="9" l="1"/>
  <c r="J328" i="9"/>
  <c r="I328" i="9"/>
  <c r="F328" i="9" s="1"/>
  <c r="G328" i="9" s="1"/>
  <c r="K329" i="9" s="1"/>
  <c r="F290" i="10"/>
  <c r="H28" i="2"/>
  <c r="J318" i="1"/>
  <c r="F318" i="1"/>
  <c r="G318" i="1" s="1"/>
  <c r="K319" i="1" s="1"/>
  <c r="I319" i="1" s="1"/>
  <c r="H329" i="9" l="1"/>
  <c r="J329" i="9"/>
  <c r="I329" i="9"/>
  <c r="F329" i="9" s="1"/>
  <c r="G329" i="9" s="1"/>
  <c r="K330" i="9" s="1"/>
  <c r="H330" i="9" s="1"/>
  <c r="G290" i="10"/>
  <c r="K291" i="10" s="1"/>
  <c r="H319" i="1"/>
  <c r="I330" i="9" l="1"/>
  <c r="J330" i="9"/>
  <c r="B32" i="9"/>
  <c r="J291" i="10"/>
  <c r="H291" i="10"/>
  <c r="I291" i="10"/>
  <c r="F330" i="9"/>
  <c r="C33" i="9"/>
  <c r="J319" i="1"/>
  <c r="F319" i="1"/>
  <c r="G319" i="1" s="1"/>
  <c r="K320" i="1" s="1"/>
  <c r="H320" i="1" s="1"/>
  <c r="F291" i="10" l="1"/>
  <c r="G291" i="10" s="1"/>
  <c r="K292" i="10" s="1"/>
  <c r="G330" i="9"/>
  <c r="K331" i="9" s="1"/>
  <c r="J320" i="1"/>
  <c r="I320" i="1"/>
  <c r="F320" i="1" s="1"/>
  <c r="G320" i="1" s="1"/>
  <c r="K321" i="1" s="1"/>
  <c r="H292" i="10" l="1"/>
  <c r="I292" i="10"/>
  <c r="J292" i="10"/>
  <c r="I331" i="9"/>
  <c r="F331" i="9" s="1"/>
  <c r="H331" i="9"/>
  <c r="J331" i="9"/>
  <c r="I321" i="1"/>
  <c r="H321" i="1"/>
  <c r="J321" i="1" s="1"/>
  <c r="F292" i="10" l="1"/>
  <c r="G292" i="10" s="1"/>
  <c r="K293" i="10" s="1"/>
  <c r="G331" i="9"/>
  <c r="K332" i="9" s="1"/>
  <c r="F321" i="1"/>
  <c r="J293" i="10" l="1"/>
  <c r="H293" i="10"/>
  <c r="I293" i="10"/>
  <c r="I332" i="9"/>
  <c r="F332" i="9" s="1"/>
  <c r="H332" i="9"/>
  <c r="J332" i="9"/>
  <c r="G321" i="1"/>
  <c r="K322" i="1" s="1"/>
  <c r="F293" i="10" l="1"/>
  <c r="G332" i="9"/>
  <c r="K333" i="9" s="1"/>
  <c r="I322" i="1"/>
  <c r="H322" i="1"/>
  <c r="J322" i="1" s="1"/>
  <c r="G293" i="10" l="1"/>
  <c r="K294" i="10" s="1"/>
  <c r="B29" i="10"/>
  <c r="D26" i="4" s="1"/>
  <c r="T26" i="4" s="1"/>
  <c r="U26" i="4" s="1"/>
  <c r="J333" i="9"/>
  <c r="H333" i="9"/>
  <c r="I333" i="9"/>
  <c r="F322" i="1"/>
  <c r="G322" i="1" s="1"/>
  <c r="K323" i="1" s="1"/>
  <c r="F333" i="9" l="1"/>
  <c r="G333" i="9" s="1"/>
  <c r="K334" i="9" s="1"/>
  <c r="J294" i="10"/>
  <c r="I294" i="10"/>
  <c r="F294" i="10" s="1"/>
  <c r="H294" i="10"/>
  <c r="C30" i="10" s="1"/>
  <c r="I323" i="1"/>
  <c r="H323" i="1"/>
  <c r="J323" i="1" s="1"/>
  <c r="G294" i="10" l="1"/>
  <c r="K295" i="10" s="1"/>
  <c r="I334" i="9"/>
  <c r="J334" i="9"/>
  <c r="H334" i="9"/>
  <c r="F323" i="1"/>
  <c r="G323" i="1" s="1"/>
  <c r="K324" i="1" s="1"/>
  <c r="I324" i="1" s="1"/>
  <c r="H295" i="10" l="1"/>
  <c r="J295" i="10"/>
  <c r="I295" i="10"/>
  <c r="F334" i="9"/>
  <c r="H324" i="1"/>
  <c r="J324" i="1" s="1"/>
  <c r="F295" i="10" l="1"/>
  <c r="G334" i="9"/>
  <c r="K335" i="9" s="1"/>
  <c r="F324" i="1"/>
  <c r="G324" i="1" s="1"/>
  <c r="K325" i="1" s="1"/>
  <c r="I325" i="1" s="1"/>
  <c r="G295" i="10" l="1"/>
  <c r="K296" i="10" s="1"/>
  <c r="J335" i="9"/>
  <c r="I335" i="9"/>
  <c r="H335" i="9"/>
  <c r="H325" i="1"/>
  <c r="J325" i="1" s="1"/>
  <c r="I296" i="10" l="1"/>
  <c r="H296" i="10"/>
  <c r="J296" i="10"/>
  <c r="F335" i="9"/>
  <c r="G335" i="9" s="1"/>
  <c r="K336" i="9" s="1"/>
  <c r="F325" i="1"/>
  <c r="G325" i="1" s="1"/>
  <c r="K326" i="1" s="1"/>
  <c r="I326" i="1" s="1"/>
  <c r="F296" i="10" l="1"/>
  <c r="J336" i="9"/>
  <c r="H336" i="9"/>
  <c r="I336" i="9"/>
  <c r="H326" i="1"/>
  <c r="J326" i="1" s="1"/>
  <c r="F336" i="9" l="1"/>
  <c r="G336" i="9" s="1"/>
  <c r="K337" i="9" s="1"/>
  <c r="I337" i="9" s="1"/>
  <c r="G296" i="10"/>
  <c r="K297" i="10" s="1"/>
  <c r="F326" i="1"/>
  <c r="G326" i="1" s="1"/>
  <c r="K327" i="1" s="1"/>
  <c r="H327" i="1" s="1"/>
  <c r="H337" i="9" l="1"/>
  <c r="J337" i="9"/>
  <c r="F337" i="9"/>
  <c r="G337" i="9" s="1"/>
  <c r="K338" i="9" s="1"/>
  <c r="H338" i="9" s="1"/>
  <c r="H297" i="10"/>
  <c r="J297" i="10"/>
  <c r="I297" i="10"/>
  <c r="J327" i="1"/>
  <c r="I327" i="1"/>
  <c r="F327" i="1" s="1"/>
  <c r="G327" i="1" s="1"/>
  <c r="K328" i="1" s="1"/>
  <c r="I328" i="1" s="1"/>
  <c r="I338" i="9" l="1"/>
  <c r="F338" i="9" s="1"/>
  <c r="G338" i="9" s="1"/>
  <c r="K339" i="9" s="1"/>
  <c r="J338" i="9"/>
  <c r="F297" i="10"/>
  <c r="H328" i="1"/>
  <c r="G297" i="10" l="1"/>
  <c r="K298" i="10" s="1"/>
  <c r="I339" i="9"/>
  <c r="H339" i="9"/>
  <c r="J339" i="9"/>
  <c r="J328" i="1"/>
  <c r="F328" i="1"/>
  <c r="G328" i="1" s="1"/>
  <c r="K329" i="1" s="1"/>
  <c r="H329" i="1" s="1"/>
  <c r="H298" i="10" l="1"/>
  <c r="J298" i="10"/>
  <c r="I298" i="10"/>
  <c r="F339" i="9"/>
  <c r="G339" i="9" s="1"/>
  <c r="K340" i="9" s="1"/>
  <c r="J329" i="1"/>
  <c r="I329" i="1"/>
  <c r="F329" i="1" s="1"/>
  <c r="G329" i="1" s="1"/>
  <c r="K330" i="1" s="1"/>
  <c r="F298" i="10" l="1"/>
  <c r="H340" i="9"/>
  <c r="J340" i="9"/>
  <c r="I340" i="9"/>
  <c r="B32" i="1"/>
  <c r="I330" i="1"/>
  <c r="H330" i="1"/>
  <c r="C33" i="1" s="1"/>
  <c r="F340" i="9" l="1"/>
  <c r="G340" i="9" s="1"/>
  <c r="K341" i="9" s="1"/>
  <c r="H341" i="9" s="1"/>
  <c r="G298" i="10"/>
  <c r="K299" i="10" s="1"/>
  <c r="I341" i="9"/>
  <c r="H29" i="2"/>
  <c r="J330" i="1"/>
  <c r="F330" i="1"/>
  <c r="G330" i="1" s="1"/>
  <c r="K331" i="1" s="1"/>
  <c r="H331" i="1" s="1"/>
  <c r="F341" i="9" l="1"/>
  <c r="G341" i="9" s="1"/>
  <c r="K342" i="9" s="1"/>
  <c r="J341" i="9"/>
  <c r="J299" i="10"/>
  <c r="H299" i="10"/>
  <c r="I299" i="10"/>
  <c r="B33" i="9"/>
  <c r="J331" i="1"/>
  <c r="I331" i="1"/>
  <c r="F331" i="1" s="1"/>
  <c r="G331" i="1" s="1"/>
  <c r="K332" i="1" s="1"/>
  <c r="I332" i="1" s="1"/>
  <c r="F299" i="10" l="1"/>
  <c r="G299" i="10" s="1"/>
  <c r="K300" i="10" s="1"/>
  <c r="I342" i="9"/>
  <c r="F342" i="9" s="1"/>
  <c r="H342" i="9"/>
  <c r="C34" i="9" s="1"/>
  <c r="J342" i="9"/>
  <c r="H332" i="1"/>
  <c r="I300" i="10" l="1"/>
  <c r="J300" i="10"/>
  <c r="H300" i="10"/>
  <c r="G342" i="9"/>
  <c r="K343" i="9" s="1"/>
  <c r="J332" i="1"/>
  <c r="F332" i="1"/>
  <c r="G332" i="1" s="1"/>
  <c r="K333" i="1" s="1"/>
  <c r="F300" i="10" l="1"/>
  <c r="G300" i="10" s="1"/>
  <c r="K301" i="10" s="1"/>
  <c r="H343" i="9"/>
  <c r="J343" i="9"/>
  <c r="I343" i="9"/>
  <c r="I333" i="1"/>
  <c r="H333" i="1"/>
  <c r="J333" i="1" s="1"/>
  <c r="F343" i="9" l="1"/>
  <c r="G343" i="9" s="1"/>
  <c r="K344" i="9" s="1"/>
  <c r="J301" i="10"/>
  <c r="I301" i="10"/>
  <c r="H301" i="10"/>
  <c r="F333" i="1"/>
  <c r="G333" i="1" s="1"/>
  <c r="K334" i="1" s="1"/>
  <c r="I334" i="1" s="1"/>
  <c r="F301" i="10" l="1"/>
  <c r="G301" i="10" s="1"/>
  <c r="K302" i="10" s="1"/>
  <c r="H344" i="9"/>
  <c r="J344" i="9"/>
  <c r="I344" i="9"/>
  <c r="H334" i="1"/>
  <c r="J334" i="1" s="1"/>
  <c r="I302" i="10" l="1"/>
  <c r="H302" i="10"/>
  <c r="J302" i="10"/>
  <c r="F344" i="9"/>
  <c r="F334" i="1"/>
  <c r="G334" i="1" s="1"/>
  <c r="K335" i="1" s="1"/>
  <c r="I335" i="1" s="1"/>
  <c r="F302" i="10" l="1"/>
  <c r="G302" i="10" s="1"/>
  <c r="K303" i="10" s="1"/>
  <c r="H303" i="10" s="1"/>
  <c r="I303" i="10"/>
  <c r="G344" i="9"/>
  <c r="K345" i="9" s="1"/>
  <c r="H335" i="1"/>
  <c r="F335" i="1" s="1"/>
  <c r="G335" i="1" s="1"/>
  <c r="K336" i="1" s="1"/>
  <c r="I336" i="1" s="1"/>
  <c r="J303" i="10" l="1"/>
  <c r="F303" i="10"/>
  <c r="G303" i="10" s="1"/>
  <c r="K304" i="10" s="1"/>
  <c r="J345" i="9"/>
  <c r="I345" i="9"/>
  <c r="H345" i="9"/>
  <c r="J335" i="1"/>
  <c r="H336" i="1"/>
  <c r="F336" i="1" s="1"/>
  <c r="G336" i="1" s="1"/>
  <c r="K337" i="1" s="1"/>
  <c r="H304" i="10" l="1"/>
  <c r="J304" i="10"/>
  <c r="I304" i="10"/>
  <c r="F345" i="9"/>
  <c r="H337" i="1"/>
  <c r="I337" i="1"/>
  <c r="J336" i="1"/>
  <c r="F304" i="10" l="1"/>
  <c r="G304" i="10" s="1"/>
  <c r="K305" i="10" s="1"/>
  <c r="G345" i="9"/>
  <c r="K346" i="9" s="1"/>
  <c r="F337" i="1"/>
  <c r="G337" i="1" s="1"/>
  <c r="K338" i="1" s="1"/>
  <c r="I338" i="1" s="1"/>
  <c r="J337" i="1"/>
  <c r="H305" i="10" l="1"/>
  <c r="I305" i="10"/>
  <c r="J305" i="10"/>
  <c r="J346" i="9"/>
  <c r="I346" i="9"/>
  <c r="H346" i="9"/>
  <c r="H338" i="1"/>
  <c r="F338" i="1" s="1"/>
  <c r="G338" i="1" s="1"/>
  <c r="K339" i="1" s="1"/>
  <c r="F305" i="10" l="1"/>
  <c r="F346" i="9"/>
  <c r="J338" i="1"/>
  <c r="I339" i="1"/>
  <c r="H339" i="1"/>
  <c r="G305" i="10" l="1"/>
  <c r="K306" i="10" s="1"/>
  <c r="B30" i="10"/>
  <c r="D27" i="4" s="1"/>
  <c r="T27" i="4" s="1"/>
  <c r="U27" i="4" s="1"/>
  <c r="G346" i="9"/>
  <c r="K347" i="9" s="1"/>
  <c r="J339" i="1"/>
  <c r="F339" i="1"/>
  <c r="G339" i="1" s="1"/>
  <c r="K340" i="1" s="1"/>
  <c r="H340" i="1" s="1"/>
  <c r="J306" i="10" l="1"/>
  <c r="H306" i="10"/>
  <c r="C31" i="10" s="1"/>
  <c r="I306" i="10"/>
  <c r="F306" i="10" s="1"/>
  <c r="J347" i="9"/>
  <c r="H347" i="9"/>
  <c r="I347" i="9"/>
  <c r="I340" i="1"/>
  <c r="F340" i="1" s="1"/>
  <c r="G340" i="1" s="1"/>
  <c r="K341" i="1" s="1"/>
  <c r="J340" i="1"/>
  <c r="G306" i="10" l="1"/>
  <c r="K307" i="10" s="1"/>
  <c r="F347" i="9"/>
  <c r="G347" i="9" s="1"/>
  <c r="K348" i="9" s="1"/>
  <c r="I341" i="1"/>
  <c r="H341" i="1"/>
  <c r="J307" i="10" l="1"/>
  <c r="I307" i="10"/>
  <c r="H307" i="10"/>
  <c r="I348" i="9"/>
  <c r="H348" i="9"/>
  <c r="J348" i="9"/>
  <c r="F341" i="1"/>
  <c r="B33" i="1" s="1"/>
  <c r="J341" i="1"/>
  <c r="F348" i="9" l="1"/>
  <c r="G348" i="9" s="1"/>
  <c r="K349" i="9" s="1"/>
  <c r="J349" i="9" s="1"/>
  <c r="F307" i="10"/>
  <c r="I349" i="9"/>
  <c r="H349" i="9"/>
  <c r="G341" i="1"/>
  <c r="K342" i="1" s="1"/>
  <c r="G307" i="10" l="1"/>
  <c r="K308" i="10" s="1"/>
  <c r="F349" i="9"/>
  <c r="G349" i="9" s="1"/>
  <c r="K350" i="9" s="1"/>
  <c r="I342" i="1"/>
  <c r="H342" i="1"/>
  <c r="C34" i="1" s="1"/>
  <c r="J308" i="10" l="1"/>
  <c r="H308" i="10"/>
  <c r="I308" i="10"/>
  <c r="J350" i="9"/>
  <c r="I350" i="9"/>
  <c r="H350" i="9"/>
  <c r="H30" i="2"/>
  <c r="J342" i="1"/>
  <c r="F342" i="1"/>
  <c r="G342" i="1" s="1"/>
  <c r="K343" i="1" s="1"/>
  <c r="H343" i="1" s="1"/>
  <c r="J343" i="1" s="1"/>
  <c r="F308" i="10" l="1"/>
  <c r="F350" i="9"/>
  <c r="G350" i="9" s="1"/>
  <c r="K351" i="9" s="1"/>
  <c r="I343" i="1"/>
  <c r="F343" i="1" s="1"/>
  <c r="G343" i="1" s="1"/>
  <c r="K344" i="1" s="1"/>
  <c r="G308" i="10" l="1"/>
  <c r="K309" i="10" s="1"/>
  <c r="J351" i="9"/>
  <c r="I351" i="9"/>
  <c r="H351" i="9"/>
  <c r="I344" i="1"/>
  <c r="H344" i="1"/>
  <c r="H309" i="10" l="1"/>
  <c r="J309" i="10"/>
  <c r="I309" i="10"/>
  <c r="F351" i="9"/>
  <c r="G351" i="9" s="1"/>
  <c r="K352" i="9" s="1"/>
  <c r="J344" i="1"/>
  <c r="F344" i="1"/>
  <c r="G344" i="1" s="1"/>
  <c r="K345" i="1" s="1"/>
  <c r="H345" i="1" s="1"/>
  <c r="J345" i="1" s="1"/>
  <c r="F309" i="10" l="1"/>
  <c r="J352" i="9"/>
  <c r="H352" i="9"/>
  <c r="I352" i="9"/>
  <c r="I345" i="1"/>
  <c r="F345" i="1" s="1"/>
  <c r="G345" i="1" s="1"/>
  <c r="K346" i="1" s="1"/>
  <c r="I346" i="1" s="1"/>
  <c r="G309" i="10" l="1"/>
  <c r="K310" i="10" s="1"/>
  <c r="F352" i="9"/>
  <c r="G352" i="9" s="1"/>
  <c r="K353" i="9" s="1"/>
  <c r="H346" i="1"/>
  <c r="J346" i="1" s="1"/>
  <c r="H310" i="10" l="1"/>
  <c r="J310" i="10"/>
  <c r="I310" i="10"/>
  <c r="I353" i="9"/>
  <c r="J353" i="9"/>
  <c r="H353" i="9"/>
  <c r="F346" i="1"/>
  <c r="G346" i="1" s="1"/>
  <c r="K347" i="1" s="1"/>
  <c r="F310" i="10" l="1"/>
  <c r="F353" i="9"/>
  <c r="I347" i="1"/>
  <c r="H347" i="1"/>
  <c r="J347" i="1" s="1"/>
  <c r="G310" i="10" l="1"/>
  <c r="K311" i="10" s="1"/>
  <c r="G353" i="9"/>
  <c r="K354" i="9" s="1"/>
  <c r="B34" i="9"/>
  <c r="F347" i="1"/>
  <c r="G347" i="1" s="1"/>
  <c r="K348" i="1" s="1"/>
  <c r="I348" i="1" s="1"/>
  <c r="J311" i="10" l="1"/>
  <c r="I311" i="10"/>
  <c r="H311" i="10"/>
  <c r="I354" i="9"/>
  <c r="J354" i="9"/>
  <c r="H354" i="9"/>
  <c r="H348" i="1"/>
  <c r="F348" i="1" s="1"/>
  <c r="G348" i="1" s="1"/>
  <c r="K349" i="1" s="1"/>
  <c r="I349" i="1" s="1"/>
  <c r="F311" i="10" l="1"/>
  <c r="G311" i="10" s="1"/>
  <c r="K312" i="10" s="1"/>
  <c r="F354" i="9"/>
  <c r="J348" i="1"/>
  <c r="H349" i="1"/>
  <c r="F349" i="1" s="1"/>
  <c r="G349" i="1" s="1"/>
  <c r="K350" i="1" s="1"/>
  <c r="I350" i="1" s="1"/>
  <c r="I312" i="10" l="1"/>
  <c r="H312" i="10"/>
  <c r="J312" i="10"/>
  <c r="G354" i="9"/>
  <c r="K355" i="9" s="1"/>
  <c r="J349" i="1"/>
  <c r="H350" i="1"/>
  <c r="F350" i="1" s="1"/>
  <c r="G350" i="1" s="1"/>
  <c r="K351" i="1" s="1"/>
  <c r="H351" i="1" s="1"/>
  <c r="F312" i="10" l="1"/>
  <c r="G312" i="10" s="1"/>
  <c r="K313" i="10" s="1"/>
  <c r="H355" i="9"/>
  <c r="J355" i="9"/>
  <c r="I355" i="9"/>
  <c r="J350" i="1"/>
  <c r="J351" i="1" s="1"/>
  <c r="I351" i="1"/>
  <c r="F351" i="1" s="1"/>
  <c r="G351" i="1" s="1"/>
  <c r="K352" i="1" s="1"/>
  <c r="H352" i="1" s="1"/>
  <c r="I313" i="10" l="1"/>
  <c r="J313" i="10"/>
  <c r="H313" i="10"/>
  <c r="F355" i="9"/>
  <c r="J352" i="1"/>
  <c r="I352" i="1"/>
  <c r="F352" i="1" s="1"/>
  <c r="G352" i="1" s="1"/>
  <c r="K353" i="1" s="1"/>
  <c r="H353" i="1" s="1"/>
  <c r="F313" i="10" l="1"/>
  <c r="G313" i="10" s="1"/>
  <c r="K314" i="10" s="1"/>
  <c r="G355" i="9"/>
  <c r="K356" i="9" s="1"/>
  <c r="I353" i="1"/>
  <c r="F353" i="1" s="1"/>
  <c r="J353" i="1"/>
  <c r="I314" i="10" l="1"/>
  <c r="J314" i="10"/>
  <c r="H314" i="10"/>
  <c r="H356" i="9"/>
  <c r="J356" i="9"/>
  <c r="I356" i="9"/>
  <c r="F356" i="9" s="1"/>
  <c r="G353" i="1"/>
  <c r="K354" i="1" s="1"/>
  <c r="B34" i="1"/>
  <c r="F314" i="10" l="1"/>
  <c r="G314" i="10" s="1"/>
  <c r="K315" i="10" s="1"/>
  <c r="C35" i="9"/>
  <c r="G356" i="9"/>
  <c r="K357" i="9" s="1"/>
  <c r="I354" i="1"/>
  <c r="H354" i="1"/>
  <c r="J315" i="10" l="1"/>
  <c r="H315" i="10"/>
  <c r="I315" i="10"/>
  <c r="J357" i="9"/>
  <c r="H357" i="9"/>
  <c r="I357" i="9"/>
  <c r="F357" i="9" s="1"/>
  <c r="J354" i="1"/>
  <c r="F354" i="1"/>
  <c r="G354" i="1" s="1"/>
  <c r="K355" i="1" s="1"/>
  <c r="H355" i="1" s="1"/>
  <c r="F315" i="10" l="1"/>
  <c r="G315" i="10" s="1"/>
  <c r="K316" i="10" s="1"/>
  <c r="G357" i="9"/>
  <c r="K358" i="9" s="1"/>
  <c r="C36" i="9"/>
  <c r="J355" i="1"/>
  <c r="I355" i="1"/>
  <c r="F355" i="1" s="1"/>
  <c r="I316" i="10" l="1"/>
  <c r="H316" i="10"/>
  <c r="J316" i="10"/>
  <c r="J358" i="9"/>
  <c r="H358" i="9"/>
  <c r="I358" i="9"/>
  <c r="F358" i="9" s="1"/>
  <c r="G355" i="1"/>
  <c r="K356" i="1" s="1"/>
  <c r="H356" i="1" s="1"/>
  <c r="C35" i="1" s="1"/>
  <c r="F316" i="10" l="1"/>
  <c r="G316" i="10" s="1"/>
  <c r="K317" i="10" s="1"/>
  <c r="G358" i="9"/>
  <c r="K359" i="9" s="1"/>
  <c r="C37" i="9"/>
  <c r="H31" i="2"/>
  <c r="I356" i="1"/>
  <c r="F356" i="1" s="1"/>
  <c r="J356" i="1"/>
  <c r="J317" i="10" l="1"/>
  <c r="H317" i="10"/>
  <c r="I317" i="10"/>
  <c r="H359" i="9"/>
  <c r="C38" i="9" s="1"/>
  <c r="J359" i="9"/>
  <c r="I359" i="9"/>
  <c r="F359" i="9" s="1"/>
  <c r="G356" i="1"/>
  <c r="K357" i="1" s="1"/>
  <c r="I357" i="1" s="1"/>
  <c r="F317" i="10" l="1"/>
  <c r="G359" i="9"/>
  <c r="K360" i="9" s="1"/>
  <c r="H357" i="1"/>
  <c r="G317" i="10" l="1"/>
  <c r="K318" i="10" s="1"/>
  <c r="B31" i="10"/>
  <c r="D28" i="4" s="1"/>
  <c r="T28" i="4" s="1"/>
  <c r="U28" i="4" s="1"/>
  <c r="I360" i="9"/>
  <c r="F360" i="9" s="1"/>
  <c r="J360" i="9"/>
  <c r="H360" i="9"/>
  <c r="C39" i="9" s="1"/>
  <c r="J357" i="1"/>
  <c r="C36" i="1"/>
  <c r="F357" i="1"/>
  <c r="G357" i="1" s="1"/>
  <c r="K358" i="1" s="1"/>
  <c r="J318" i="10" l="1"/>
  <c r="H318" i="10"/>
  <c r="C32" i="10" s="1"/>
  <c r="I318" i="10"/>
  <c r="F318" i="10" s="1"/>
  <c r="G360" i="9"/>
  <c r="K361" i="9" s="1"/>
  <c r="H32" i="2"/>
  <c r="F32" i="2" s="1"/>
  <c r="D55" i="6" s="1"/>
  <c r="E55" i="6" s="1"/>
  <c r="J32" i="2" s="1"/>
  <c r="I32" i="2" s="1"/>
  <c r="G32" i="2" s="1"/>
  <c r="B55" i="6" s="1"/>
  <c r="C55" i="6" s="1"/>
  <c r="K32" i="2" s="1"/>
  <c r="N32" i="2" s="1"/>
  <c r="I358" i="1"/>
  <c r="H358" i="1"/>
  <c r="G318" i="10" l="1"/>
  <c r="K319" i="10" s="1"/>
  <c r="H361" i="9"/>
  <c r="C40" i="9" s="1"/>
  <c r="I361" i="9"/>
  <c r="F361" i="9" s="1"/>
  <c r="J361" i="9"/>
  <c r="S32" i="2"/>
  <c r="O32" i="2"/>
  <c r="R32" i="2"/>
  <c r="T32" i="2" s="1"/>
  <c r="J358" i="1"/>
  <c r="C37" i="1"/>
  <c r="F358" i="1"/>
  <c r="H319" i="10" l="1"/>
  <c r="J319" i="10"/>
  <c r="I319" i="10"/>
  <c r="G361" i="9"/>
  <c r="K362" i="9" s="1"/>
  <c r="H33" i="2"/>
  <c r="F33" i="2" s="1"/>
  <c r="D56" i="6" s="1"/>
  <c r="E56" i="6" s="1"/>
  <c r="J33" i="2" s="1"/>
  <c r="I33" i="2" s="1"/>
  <c r="G33" i="2" s="1"/>
  <c r="B56" i="6" s="1"/>
  <c r="C56" i="6" s="1"/>
  <c r="K33" i="2" s="1"/>
  <c r="N33" i="2" s="1"/>
  <c r="G358" i="1"/>
  <c r="K359" i="1" s="1"/>
  <c r="I359" i="1" s="1"/>
  <c r="F319" i="10" l="1"/>
  <c r="H362" i="9"/>
  <c r="C41" i="9" s="1"/>
  <c r="J362" i="9"/>
  <c r="I362" i="9"/>
  <c r="F362" i="9" s="1"/>
  <c r="S33" i="2"/>
  <c r="R33" i="2"/>
  <c r="T33" i="2" s="1"/>
  <c r="O33" i="2"/>
  <c r="H359" i="1"/>
  <c r="F359" i="1"/>
  <c r="G319" i="10" l="1"/>
  <c r="K320" i="10" s="1"/>
  <c r="G362" i="9"/>
  <c r="K363" i="9" s="1"/>
  <c r="G359" i="1"/>
  <c r="K360" i="1" s="1"/>
  <c r="I360" i="1" s="1"/>
  <c r="J359" i="1"/>
  <c r="C38" i="1"/>
  <c r="H320" i="10" l="1"/>
  <c r="I320" i="10"/>
  <c r="J320" i="10"/>
  <c r="J363" i="9"/>
  <c r="H363" i="9"/>
  <c r="C42" i="9" s="1"/>
  <c r="I363" i="9"/>
  <c r="F363" i="9" s="1"/>
  <c r="H34" i="2"/>
  <c r="F34" i="2" s="1"/>
  <c r="D57" i="6" s="1"/>
  <c r="E57" i="6" s="1"/>
  <c r="J34" i="2" s="1"/>
  <c r="I34" i="2" s="1"/>
  <c r="G34" i="2" s="1"/>
  <c r="B57" i="6" s="1"/>
  <c r="C57" i="6" s="1"/>
  <c r="K34" i="2" s="1"/>
  <c r="N34" i="2" s="1"/>
  <c r="H360" i="1"/>
  <c r="J360" i="1" s="1"/>
  <c r="F320" i="10" l="1"/>
  <c r="G363" i="9"/>
  <c r="K364" i="9" s="1"/>
  <c r="R34" i="2"/>
  <c r="T34" i="2" s="1"/>
  <c r="O34" i="2"/>
  <c r="S34" i="2"/>
  <c r="F360" i="1"/>
  <c r="C39" i="1"/>
  <c r="G320" i="10" l="1"/>
  <c r="K321" i="10" s="1"/>
  <c r="I364" i="9"/>
  <c r="J364" i="9"/>
  <c r="H364" i="9"/>
  <c r="H35" i="2"/>
  <c r="F35" i="2" s="1"/>
  <c r="D58" i="6" s="1"/>
  <c r="E58" i="6" s="1"/>
  <c r="J35" i="2" s="1"/>
  <c r="I35" i="2" s="1"/>
  <c r="G35" i="2" s="1"/>
  <c r="B58" i="6" s="1"/>
  <c r="C58" i="6" s="1"/>
  <c r="K35" i="2" s="1"/>
  <c r="N35" i="2" s="1"/>
  <c r="G360" i="1"/>
  <c r="K361" i="1" s="1"/>
  <c r="J321" i="10" l="1"/>
  <c r="I321" i="10"/>
  <c r="H321" i="10"/>
  <c r="F364" i="9"/>
  <c r="C43" i="9"/>
  <c r="I3" i="9"/>
  <c r="I2" i="9"/>
  <c r="R35" i="2"/>
  <c r="T35" i="2" s="1"/>
  <c r="S35" i="2"/>
  <c r="O35" i="2"/>
  <c r="H361" i="1"/>
  <c r="C40" i="1" s="1"/>
  <c r="I361" i="1"/>
  <c r="F321" i="10" l="1"/>
  <c r="B45" i="9"/>
  <c r="G364" i="9"/>
  <c r="K1" i="9"/>
  <c r="B35" i="9"/>
  <c r="B36" i="9"/>
  <c r="B37" i="9"/>
  <c r="B38" i="9"/>
  <c r="B39" i="9"/>
  <c r="B44" i="9"/>
  <c r="B41" i="9"/>
  <c r="B40" i="9"/>
  <c r="B43" i="9"/>
  <c r="B42" i="9"/>
  <c r="J361" i="1"/>
  <c r="H36" i="2"/>
  <c r="F36" i="2" s="1"/>
  <c r="D59" i="6" s="1"/>
  <c r="E59" i="6" s="1"/>
  <c r="J36" i="2" s="1"/>
  <c r="I36" i="2" s="1"/>
  <c r="G36" i="2" s="1"/>
  <c r="B59" i="6" s="1"/>
  <c r="C59" i="6" s="1"/>
  <c r="K36" i="2" s="1"/>
  <c r="N36" i="2" s="1"/>
  <c r="F361" i="1"/>
  <c r="G321" i="10" l="1"/>
  <c r="K322" i="10" s="1"/>
  <c r="G361" i="1"/>
  <c r="K362" i="1" s="1"/>
  <c r="O36" i="2"/>
  <c r="S36" i="2"/>
  <c r="R36" i="2"/>
  <c r="T36" i="2" s="1"/>
  <c r="H322" i="10" l="1"/>
  <c r="J322" i="10"/>
  <c r="I322" i="10"/>
  <c r="I362" i="1"/>
  <c r="H362" i="1"/>
  <c r="F322" i="10" l="1"/>
  <c r="F362" i="1"/>
  <c r="G362" i="1" s="1"/>
  <c r="K363" i="1" s="1"/>
  <c r="J362" i="1"/>
  <c r="C41" i="1"/>
  <c r="G322" i="10" l="1"/>
  <c r="K323" i="10" s="1"/>
  <c r="H37" i="2"/>
  <c r="F37" i="2" s="1"/>
  <c r="D60" i="6" s="1"/>
  <c r="E60" i="6" s="1"/>
  <c r="J37" i="2" s="1"/>
  <c r="I37" i="2" s="1"/>
  <c r="H363" i="1"/>
  <c r="I363" i="1"/>
  <c r="J323" i="10" l="1"/>
  <c r="H323" i="10"/>
  <c r="I323" i="10"/>
  <c r="G37" i="2"/>
  <c r="B60" i="6" s="1"/>
  <c r="C60" i="6" s="1"/>
  <c r="K37" i="2" s="1"/>
  <c r="N37" i="2" s="1"/>
  <c r="J363" i="1"/>
  <c r="C42" i="1"/>
  <c r="F363" i="1"/>
  <c r="F323" i="10" l="1"/>
  <c r="G323" i="10" s="1"/>
  <c r="K324" i="10" s="1"/>
  <c r="H38" i="2"/>
  <c r="F38" i="2" s="1"/>
  <c r="D61" i="6" s="1"/>
  <c r="E61" i="6" s="1"/>
  <c r="J38" i="2" s="1"/>
  <c r="I38" i="2" s="1"/>
  <c r="G38" i="2" s="1"/>
  <c r="B61" i="6" s="1"/>
  <c r="C61" i="6" s="1"/>
  <c r="K38" i="2" s="1"/>
  <c r="N38" i="2" s="1"/>
  <c r="O37" i="2"/>
  <c r="S37" i="2"/>
  <c r="R37" i="2"/>
  <c r="G363" i="1"/>
  <c r="K364" i="1" s="1"/>
  <c r="T6" i="4"/>
  <c r="J324" i="10" l="1"/>
  <c r="I324" i="10"/>
  <c r="H324" i="10"/>
  <c r="T37" i="2"/>
  <c r="H364" i="1"/>
  <c r="J364" i="1" s="1"/>
  <c r="I364" i="1"/>
  <c r="O38" i="2"/>
  <c r="R38" i="2"/>
  <c r="T38" i="2" s="1"/>
  <c r="S38" i="2"/>
  <c r="U6" i="4"/>
  <c r="F324" i="10" l="1"/>
  <c r="G324" i="10" s="1"/>
  <c r="K325" i="10" s="1"/>
  <c r="C43" i="1"/>
  <c r="I2" i="1"/>
  <c r="I3" i="1"/>
  <c r="F364" i="1"/>
  <c r="T4" i="4"/>
  <c r="I325" i="10" l="1"/>
  <c r="H325" i="10"/>
  <c r="J325" i="10"/>
  <c r="H39" i="2"/>
  <c r="F39" i="2" s="1"/>
  <c r="D62" i="6" s="1"/>
  <c r="E62" i="6" s="1"/>
  <c r="J39" i="2" s="1"/>
  <c r="I39" i="2" s="1"/>
  <c r="G39" i="2" s="1"/>
  <c r="B62" i="6" s="1"/>
  <c r="C62" i="6" s="1"/>
  <c r="K39" i="2" s="1"/>
  <c r="N39" i="2" s="1"/>
  <c r="B35" i="1"/>
  <c r="B45" i="1"/>
  <c r="B36" i="1"/>
  <c r="B37" i="1"/>
  <c r="B38" i="1"/>
  <c r="G364" i="1"/>
  <c r="B39" i="1"/>
  <c r="B44" i="1"/>
  <c r="B42" i="1"/>
  <c r="B43" i="1"/>
  <c r="B40" i="1"/>
  <c r="B41" i="1"/>
  <c r="K1" i="1"/>
  <c r="U4" i="4"/>
  <c r="F20" i="2"/>
  <c r="D43" i="6" s="1"/>
  <c r="F29" i="2"/>
  <c r="D52" i="6" s="1"/>
  <c r="F6" i="2"/>
  <c r="D29" i="6" s="1"/>
  <c r="F30" i="2"/>
  <c r="D53" i="6" s="1"/>
  <c r="F16" i="2"/>
  <c r="D39" i="6" s="1"/>
  <c r="F22" i="2"/>
  <c r="D45" i="6" s="1"/>
  <c r="F21" i="2"/>
  <c r="D44" i="6" s="1"/>
  <c r="F17" i="2"/>
  <c r="D40" i="6" s="1"/>
  <c r="F23" i="2"/>
  <c r="D46" i="6" s="1"/>
  <c r="F28" i="2"/>
  <c r="D51" i="6" s="1"/>
  <c r="F4" i="2"/>
  <c r="D27" i="6" s="1"/>
  <c r="F26" i="2"/>
  <c r="D49" i="6" s="1"/>
  <c r="F15" i="2"/>
  <c r="D38" i="6" s="1"/>
  <c r="F14" i="2"/>
  <c r="D37" i="6" s="1"/>
  <c r="F9" i="2"/>
  <c r="D32" i="6" s="1"/>
  <c r="F13" i="2"/>
  <c r="D36" i="6" s="1"/>
  <c r="F19" i="2"/>
  <c r="D42" i="6" s="1"/>
  <c r="F27" i="2"/>
  <c r="D50" i="6" s="1"/>
  <c r="F8" i="2"/>
  <c r="D31" i="6" s="1"/>
  <c r="F25" i="2"/>
  <c r="D48" i="6" s="1"/>
  <c r="F7" i="2"/>
  <c r="D30" i="6" s="1"/>
  <c r="F5" i="2"/>
  <c r="D28" i="6" s="1"/>
  <c r="F3" i="2"/>
  <c r="D26" i="6" s="1"/>
  <c r="F24" i="2"/>
  <c r="D47" i="6" s="1"/>
  <c r="F31" i="2"/>
  <c r="D54" i="6" s="1"/>
  <c r="F18" i="2"/>
  <c r="D41" i="6" s="1"/>
  <c r="F11" i="2"/>
  <c r="D34" i="6" s="1"/>
  <c r="F12" i="2"/>
  <c r="D35" i="6" s="1"/>
  <c r="F10" i="2"/>
  <c r="D33" i="6" s="1"/>
  <c r="F325" i="10" l="1"/>
  <c r="G325" i="10" s="1"/>
  <c r="K326" i="10" s="1"/>
  <c r="S39" i="2"/>
  <c r="O39" i="2"/>
  <c r="R39" i="2"/>
  <c r="T39" i="2" s="1"/>
  <c r="E37" i="6"/>
  <c r="J14" i="2" s="1"/>
  <c r="I14" i="2" s="1"/>
  <c r="E48" i="6"/>
  <c r="J25" i="2" s="1"/>
  <c r="I25" i="2" s="1"/>
  <c r="E31" i="6"/>
  <c r="J8" i="2" s="1"/>
  <c r="I8" i="2" s="1"/>
  <c r="E27" i="6"/>
  <c r="J4" i="2" s="1"/>
  <c r="I4" i="2" s="1"/>
  <c r="E35" i="6"/>
  <c r="J12" i="2" s="1"/>
  <c r="I12" i="2" s="1"/>
  <c r="E30" i="6"/>
  <c r="J7" i="2" s="1"/>
  <c r="I7" i="2" s="1"/>
  <c r="E45" i="6"/>
  <c r="J22" i="2" s="1"/>
  <c r="I22" i="2" s="1"/>
  <c r="E38" i="6"/>
  <c r="J15" i="2" s="1"/>
  <c r="I15" i="2" s="1"/>
  <c r="E49" i="6"/>
  <c r="J26" i="2" s="1"/>
  <c r="I26" i="2" s="1"/>
  <c r="E50" i="6"/>
  <c r="J27" i="2" s="1"/>
  <c r="I27" i="2" s="1"/>
  <c r="E47" i="6"/>
  <c r="J24" i="2" s="1"/>
  <c r="I24" i="2" s="1"/>
  <c r="E42" i="6"/>
  <c r="J19" i="2" s="1"/>
  <c r="I19" i="2" s="1"/>
  <c r="E51" i="6"/>
  <c r="J28" i="2" s="1"/>
  <c r="I28" i="2" s="1"/>
  <c r="E52" i="6"/>
  <c r="J29" i="2" s="1"/>
  <c r="I29" i="2" s="1"/>
  <c r="E36" i="6"/>
  <c r="J13" i="2" s="1"/>
  <c r="I13" i="2" s="1"/>
  <c r="E46" i="6"/>
  <c r="J23" i="2" s="1"/>
  <c r="I23" i="2" s="1"/>
  <c r="E34" i="6"/>
  <c r="J11" i="2" s="1"/>
  <c r="I11" i="2" s="1"/>
  <c r="E41" i="6"/>
  <c r="J18" i="2" s="1"/>
  <c r="I18" i="2" s="1"/>
  <c r="E54" i="6"/>
  <c r="E32" i="6"/>
  <c r="J9" i="2" s="1"/>
  <c r="I9" i="2" s="1"/>
  <c r="E43" i="6"/>
  <c r="J20" i="2" s="1"/>
  <c r="I20" i="2" s="1"/>
  <c r="E39" i="6"/>
  <c r="J16" i="2" s="1"/>
  <c r="I16" i="2" s="1"/>
  <c r="E53" i="6"/>
  <c r="E29" i="6"/>
  <c r="J6" i="2" s="1"/>
  <c r="I6" i="2" s="1"/>
  <c r="E26" i="6"/>
  <c r="J3" i="2" s="1"/>
  <c r="I3" i="2" s="1"/>
  <c r="E40" i="6"/>
  <c r="J17" i="2" s="1"/>
  <c r="I17" i="2" s="1"/>
  <c r="E33" i="6"/>
  <c r="J10" i="2" s="1"/>
  <c r="I10" i="2" s="1"/>
  <c r="E28" i="6"/>
  <c r="J5" i="2" s="1"/>
  <c r="I5" i="2" s="1"/>
  <c r="E44" i="6"/>
  <c r="J21" i="2" s="1"/>
  <c r="I21" i="2" s="1"/>
  <c r="I326" i="10" l="1"/>
  <c r="H326" i="10"/>
  <c r="J326" i="10"/>
  <c r="G11" i="2"/>
  <c r="B34" i="6" s="1"/>
  <c r="C34" i="6" s="1"/>
  <c r="K11" i="2" s="1"/>
  <c r="N11" i="2" s="1"/>
  <c r="G26" i="2"/>
  <c r="B49" i="6" s="1"/>
  <c r="C49" i="6" s="1"/>
  <c r="K26" i="2" s="1"/>
  <c r="N26" i="2" s="1"/>
  <c r="G12" i="2"/>
  <c r="B35" i="6" s="1"/>
  <c r="C35" i="6" s="1"/>
  <c r="K12" i="2" s="1"/>
  <c r="N12" i="2" s="1"/>
  <c r="G5" i="2"/>
  <c r="B28" i="6" s="1"/>
  <c r="C28" i="6" s="1"/>
  <c r="K5" i="2" s="1"/>
  <c r="N5" i="2" s="1"/>
  <c r="G6" i="2"/>
  <c r="B29" i="6" s="1"/>
  <c r="C29" i="6" s="1"/>
  <c r="K6" i="2" s="1"/>
  <c r="N6" i="2" s="1"/>
  <c r="G9" i="2"/>
  <c r="B32" i="6" s="1"/>
  <c r="C32" i="6" s="1"/>
  <c r="K9" i="2" s="1"/>
  <c r="N9" i="2" s="1"/>
  <c r="G23" i="2"/>
  <c r="B46" i="6" s="1"/>
  <c r="C46" i="6" s="1"/>
  <c r="K23" i="2" s="1"/>
  <c r="N23" i="2" s="1"/>
  <c r="G19" i="2"/>
  <c r="B42" i="6" s="1"/>
  <c r="C42" i="6" s="1"/>
  <c r="K19" i="2" s="1"/>
  <c r="N19" i="2" s="1"/>
  <c r="G15" i="2"/>
  <c r="B38" i="6" s="1"/>
  <c r="C38" i="6" s="1"/>
  <c r="K15" i="2" s="1"/>
  <c r="N15" i="2" s="1"/>
  <c r="G4" i="2"/>
  <c r="B27" i="6" s="1"/>
  <c r="C27" i="6" s="1"/>
  <c r="K4" i="2" s="1"/>
  <c r="N4" i="2" s="1"/>
  <c r="G10" i="2"/>
  <c r="B33" i="6" s="1"/>
  <c r="C33" i="6" s="1"/>
  <c r="K10" i="2" s="1"/>
  <c r="N10" i="2" s="1"/>
  <c r="G22" i="2"/>
  <c r="B45" i="6" s="1"/>
  <c r="C45" i="6" s="1"/>
  <c r="K22" i="2" s="1"/>
  <c r="N22" i="2" s="1"/>
  <c r="G28" i="2"/>
  <c r="B51" i="6" s="1"/>
  <c r="C51" i="6" s="1"/>
  <c r="K28" i="2" s="1"/>
  <c r="N28" i="2" s="1"/>
  <c r="G16" i="2"/>
  <c r="B39" i="6" s="1"/>
  <c r="C39" i="6" s="1"/>
  <c r="K16" i="2" s="1"/>
  <c r="N16" i="2" s="1"/>
  <c r="G18" i="2"/>
  <c r="B41" i="6" s="1"/>
  <c r="C41" i="6" s="1"/>
  <c r="K18" i="2" s="1"/>
  <c r="N18" i="2" s="1"/>
  <c r="G25" i="2"/>
  <c r="B48" i="6" s="1"/>
  <c r="C48" i="6" s="1"/>
  <c r="K25" i="2" s="1"/>
  <c r="N25" i="2" s="1"/>
  <c r="J30" i="2"/>
  <c r="I30" i="2" s="1"/>
  <c r="J31" i="2"/>
  <c r="I31" i="2" s="1"/>
  <c r="G17" i="2"/>
  <c r="B40" i="6" s="1"/>
  <c r="C40" i="6" s="1"/>
  <c r="K17" i="2" s="1"/>
  <c r="N17" i="2" s="1"/>
  <c r="G24" i="2"/>
  <c r="B47" i="6" s="1"/>
  <c r="C47" i="6" s="1"/>
  <c r="K24" i="2" s="1"/>
  <c r="N24" i="2" s="1"/>
  <c r="G21" i="2"/>
  <c r="B44" i="6" s="1"/>
  <c r="C44" i="6" s="1"/>
  <c r="K21" i="2" s="1"/>
  <c r="N21" i="2" s="1"/>
  <c r="G27" i="2"/>
  <c r="B50" i="6" s="1"/>
  <c r="C50" i="6" s="1"/>
  <c r="K27" i="2" s="1"/>
  <c r="N27" i="2" s="1"/>
  <c r="S27" i="2" s="1"/>
  <c r="G8" i="2"/>
  <c r="B31" i="6" s="1"/>
  <c r="C31" i="6" s="1"/>
  <c r="K8" i="2" s="1"/>
  <c r="N8" i="2" s="1"/>
  <c r="G20" i="2"/>
  <c r="B43" i="6" s="1"/>
  <c r="C43" i="6" s="1"/>
  <c r="K20" i="2" s="1"/>
  <c r="N20" i="2" s="1"/>
  <c r="R20" i="2" s="1"/>
  <c r="T20" i="2" s="1"/>
  <c r="G13" i="2"/>
  <c r="B36" i="6" s="1"/>
  <c r="C36" i="6" s="1"/>
  <c r="K13" i="2" s="1"/>
  <c r="N13" i="2" s="1"/>
  <c r="G3" i="2"/>
  <c r="B26" i="6" s="1"/>
  <c r="C26" i="6" s="1"/>
  <c r="K3" i="2" s="1"/>
  <c r="N3" i="2" s="1"/>
  <c r="G7" i="2"/>
  <c r="B30" i="6" s="1"/>
  <c r="C30" i="6" s="1"/>
  <c r="K7" i="2" s="1"/>
  <c r="N7" i="2" s="1"/>
  <c r="S7" i="2" s="1"/>
  <c r="G29" i="2"/>
  <c r="B52" i="6" s="1"/>
  <c r="C52" i="6" s="1"/>
  <c r="K29" i="2" s="1"/>
  <c r="N29" i="2" s="1"/>
  <c r="G14" i="2"/>
  <c r="B37" i="6" s="1"/>
  <c r="C37" i="6" s="1"/>
  <c r="K14" i="2" s="1"/>
  <c r="N14" i="2" s="1"/>
  <c r="F326" i="10" l="1"/>
  <c r="G326" i="10" s="1"/>
  <c r="K327" i="10" s="1"/>
  <c r="S10" i="2"/>
  <c r="R10" i="2"/>
  <c r="O10" i="2"/>
  <c r="S23" i="2"/>
  <c r="O23" i="2"/>
  <c r="R23" i="2"/>
  <c r="R16" i="2"/>
  <c r="S16" i="2"/>
  <c r="O16" i="2"/>
  <c r="S4" i="2"/>
  <c r="R4" i="2"/>
  <c r="O4" i="2"/>
  <c r="S26" i="2"/>
  <c r="O26" i="2"/>
  <c r="R26" i="2"/>
  <c r="O28" i="2"/>
  <c r="R28" i="2"/>
  <c r="T28" i="2" s="1"/>
  <c r="S28" i="2"/>
  <c r="R25" i="2"/>
  <c r="S25" i="2"/>
  <c r="O25" i="2"/>
  <c r="O22" i="2"/>
  <c r="R22" i="2"/>
  <c r="S22" i="2"/>
  <c r="R19" i="2"/>
  <c r="O19" i="2"/>
  <c r="S19" i="2"/>
  <c r="R5" i="2"/>
  <c r="S5" i="2"/>
  <c r="O5" i="2"/>
  <c r="R18" i="2"/>
  <c r="S18" i="2"/>
  <c r="O18" i="2"/>
  <c r="S12" i="2"/>
  <c r="O12" i="2"/>
  <c r="R12" i="2"/>
  <c r="O9" i="2"/>
  <c r="R9" i="2"/>
  <c r="S9" i="2"/>
  <c r="S15" i="2"/>
  <c r="O15" i="2"/>
  <c r="R15" i="2"/>
  <c r="O6" i="2"/>
  <c r="R6" i="2"/>
  <c r="S6" i="2"/>
  <c r="S11" i="2"/>
  <c r="R11" i="2"/>
  <c r="O11" i="2"/>
  <c r="G31" i="2"/>
  <c r="B54" i="6" s="1"/>
  <c r="C54" i="6" s="1"/>
  <c r="K31" i="2" s="1"/>
  <c r="N31" i="2" s="1"/>
  <c r="G30" i="2"/>
  <c r="B53" i="6" s="1"/>
  <c r="C53" i="6" s="1"/>
  <c r="K30" i="2" s="1"/>
  <c r="N30" i="2" s="1"/>
  <c r="O29" i="2"/>
  <c r="S29" i="2"/>
  <c r="O8" i="2"/>
  <c r="R8" i="2"/>
  <c r="S8" i="2"/>
  <c r="O21" i="2"/>
  <c r="R21" i="2"/>
  <c r="S21" i="2"/>
  <c r="O3" i="2"/>
  <c r="S3" i="2"/>
  <c r="R3" i="2"/>
  <c r="S14" i="2"/>
  <c r="O14" i="2"/>
  <c r="R14" i="2"/>
  <c r="R24" i="2"/>
  <c r="O24" i="2"/>
  <c r="S24" i="2"/>
  <c r="R13" i="2"/>
  <c r="S13" i="2"/>
  <c r="O13" i="2"/>
  <c r="S17" i="2"/>
  <c r="O17" i="2"/>
  <c r="R17" i="2"/>
  <c r="O20" i="2"/>
  <c r="S20" i="2"/>
  <c r="O27" i="2"/>
  <c r="O7" i="2"/>
  <c r="R27" i="2"/>
  <c r="R29" i="2"/>
  <c r="R7" i="2"/>
  <c r="V20" i="2"/>
  <c r="J327" i="10" l="1"/>
  <c r="H327" i="10"/>
  <c r="I327" i="10"/>
  <c r="T29" i="2"/>
  <c r="T27" i="2"/>
  <c r="U27" i="2" s="1"/>
  <c r="T8" i="2"/>
  <c r="V8" i="2" s="1"/>
  <c r="T11" i="2"/>
  <c r="V11" i="2" s="1"/>
  <c r="T18" i="2"/>
  <c r="V18" i="2" s="1"/>
  <c r="T22" i="2"/>
  <c r="U22" i="2" s="1"/>
  <c r="T17" i="2"/>
  <c r="V17" i="2" s="1"/>
  <c r="T24" i="2"/>
  <c r="V24" i="2" s="1"/>
  <c r="T3" i="2"/>
  <c r="V3" i="2" s="1"/>
  <c r="T21" i="2"/>
  <c r="V21" i="2" s="1"/>
  <c r="T15" i="2"/>
  <c r="V15" i="2" s="1"/>
  <c r="T9" i="2"/>
  <c r="U9" i="2" s="1"/>
  <c r="T23" i="2"/>
  <c r="V23" i="2" s="1"/>
  <c r="T10" i="2"/>
  <c r="V10" i="2" s="1"/>
  <c r="T6" i="2"/>
  <c r="V6" i="2" s="1"/>
  <c r="T12" i="2"/>
  <c r="U12" i="2" s="1"/>
  <c r="T5" i="2"/>
  <c r="V5" i="2" s="1"/>
  <c r="T25" i="2"/>
  <c r="V25" i="2" s="1"/>
  <c r="T26" i="2"/>
  <c r="V26" i="2" s="1"/>
  <c r="T4" i="2"/>
  <c r="V4" i="2" s="1"/>
  <c r="T16" i="2"/>
  <c r="V16" i="2" s="1"/>
  <c r="T7" i="2"/>
  <c r="U7" i="2" s="1"/>
  <c r="T13" i="2"/>
  <c r="V13" i="2" s="1"/>
  <c r="T14" i="2"/>
  <c r="V14" i="2" s="1"/>
  <c r="T19" i="2"/>
  <c r="U19" i="2" s="1"/>
  <c r="R31" i="2"/>
  <c r="O31" i="2"/>
  <c r="S31" i="2"/>
  <c r="S30" i="2"/>
  <c r="O30" i="2"/>
  <c r="R30" i="2"/>
  <c r="U20" i="2"/>
  <c r="U23" i="2"/>
  <c r="F2" i="2"/>
  <c r="D25" i="6" s="1"/>
  <c r="F327" i="10" l="1"/>
  <c r="G327" i="10" s="1"/>
  <c r="K328" i="10" s="1"/>
  <c r="U17" i="2"/>
  <c r="U16" i="2"/>
  <c r="U18" i="2"/>
  <c r="U3" i="2"/>
  <c r="U4" i="2"/>
  <c r="U8" i="2"/>
  <c r="U11" i="2"/>
  <c r="U13" i="2"/>
  <c r="U26" i="2"/>
  <c r="U24" i="2"/>
  <c r="U14" i="2"/>
  <c r="U21" i="2"/>
  <c r="V12" i="2"/>
  <c r="V9" i="2"/>
  <c r="V22" i="2"/>
  <c r="V27" i="2"/>
  <c r="U10" i="2"/>
  <c r="T30" i="2"/>
  <c r="U25" i="2"/>
  <c r="T31" i="2"/>
  <c r="V7" i="2"/>
  <c r="U6" i="2"/>
  <c r="U15" i="2"/>
  <c r="U5" i="2"/>
  <c r="V19" i="2"/>
  <c r="E25" i="6"/>
  <c r="J2" i="2" s="1"/>
  <c r="I2" i="2" s="1"/>
  <c r="J328" i="10" l="1"/>
  <c r="H328" i="10"/>
  <c r="I328" i="10"/>
  <c r="G2" i="2"/>
  <c r="B25" i="6" s="1"/>
  <c r="C25" i="6" s="1"/>
  <c r="K2" i="2" s="1"/>
  <c r="N2" i="2" s="1"/>
  <c r="F328" i="10" l="1"/>
  <c r="G328" i="10" s="1"/>
  <c r="K329" i="10" s="1"/>
  <c r="J329" i="10" s="1"/>
  <c r="I329" i="10"/>
  <c r="O2" i="2"/>
  <c r="S2" i="2"/>
  <c r="R2" i="2"/>
  <c r="H329" i="10" l="1"/>
  <c r="F329" i="10"/>
  <c r="T2" i="2"/>
  <c r="V2" i="2" s="1"/>
  <c r="W2" i="2" s="1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G329" i="10" l="1"/>
  <c r="K330" i="10" s="1"/>
  <c r="B32" i="10"/>
  <c r="D29" i="4" s="1"/>
  <c r="T29" i="4" s="1"/>
  <c r="U2" i="2"/>
  <c r="U29" i="4" l="1"/>
  <c r="V28" i="2" s="1"/>
  <c r="W28" i="2" s="1"/>
  <c r="U28" i="2"/>
  <c r="I330" i="10"/>
  <c r="F330" i="10" s="1"/>
  <c r="H330" i="10"/>
  <c r="C33" i="10" s="1"/>
  <c r="J330" i="10"/>
  <c r="G330" i="10" l="1"/>
  <c r="K331" i="10" s="1"/>
  <c r="J331" i="10" l="1"/>
  <c r="H331" i="10"/>
  <c r="I331" i="10"/>
  <c r="F331" i="10" l="1"/>
  <c r="G331" i="10" l="1"/>
  <c r="K332" i="10" s="1"/>
  <c r="H332" i="10" l="1"/>
  <c r="I332" i="10"/>
  <c r="J332" i="10"/>
  <c r="F332" i="10" l="1"/>
  <c r="G332" i="10" l="1"/>
  <c r="K333" i="10" s="1"/>
  <c r="J333" i="10" l="1"/>
  <c r="H333" i="10"/>
  <c r="I333" i="10"/>
  <c r="F333" i="10" l="1"/>
  <c r="G333" i="10" l="1"/>
  <c r="K334" i="10" s="1"/>
  <c r="J334" i="10" l="1"/>
  <c r="I334" i="10"/>
  <c r="H334" i="10"/>
  <c r="F334" i="10" l="1"/>
  <c r="G334" i="10" l="1"/>
  <c r="K335" i="10" s="1"/>
  <c r="I335" i="10" l="1"/>
  <c r="H335" i="10"/>
  <c r="J335" i="10"/>
  <c r="F335" i="10" l="1"/>
  <c r="G335" i="10" s="1"/>
  <c r="K336" i="10" s="1"/>
  <c r="H336" i="10" l="1"/>
  <c r="J336" i="10"/>
  <c r="I336" i="10"/>
  <c r="F336" i="10" l="1"/>
  <c r="G336" i="10" s="1"/>
  <c r="K337" i="10" s="1"/>
  <c r="H337" i="10" l="1"/>
  <c r="I337" i="10"/>
  <c r="J337" i="10"/>
  <c r="F337" i="10" l="1"/>
  <c r="G337" i="10" s="1"/>
  <c r="K338" i="10" s="1"/>
  <c r="H338" i="10" l="1"/>
  <c r="J338" i="10"/>
  <c r="I338" i="10"/>
  <c r="F338" i="10" l="1"/>
  <c r="G338" i="10" s="1"/>
  <c r="K339" i="10" s="1"/>
  <c r="I339" i="10" l="1"/>
  <c r="H339" i="10"/>
  <c r="J339" i="10"/>
  <c r="F339" i="10" l="1"/>
  <c r="G339" i="10" s="1"/>
  <c r="K340" i="10" s="1"/>
  <c r="J340" i="10" l="1"/>
  <c r="H340" i="10"/>
  <c r="I340" i="10"/>
  <c r="F340" i="10" l="1"/>
  <c r="G340" i="10" s="1"/>
  <c r="K341" i="10" s="1"/>
  <c r="H341" i="10" l="1"/>
  <c r="J341" i="10"/>
  <c r="I341" i="10"/>
  <c r="F341" i="10" l="1"/>
  <c r="G341" i="10" l="1"/>
  <c r="K342" i="10" s="1"/>
  <c r="B33" i="10"/>
  <c r="D30" i="4" s="1"/>
  <c r="T30" i="4" s="1"/>
  <c r="U30" i="4" l="1"/>
  <c r="V29" i="2" s="1"/>
  <c r="W29" i="2" s="1"/>
  <c r="U29" i="2"/>
  <c r="I342" i="10"/>
  <c r="F342" i="10" s="1"/>
  <c r="H342" i="10"/>
  <c r="C34" i="10" s="1"/>
  <c r="J342" i="10"/>
  <c r="G342" i="10" l="1"/>
  <c r="K343" i="10" s="1"/>
  <c r="H343" i="10" l="1"/>
  <c r="I343" i="10"/>
  <c r="J343" i="10"/>
  <c r="F343" i="10" l="1"/>
  <c r="G343" i="10" l="1"/>
  <c r="K344" i="10" s="1"/>
  <c r="I344" i="10" l="1"/>
  <c r="H344" i="10"/>
  <c r="J344" i="10"/>
  <c r="F344" i="10" l="1"/>
  <c r="G344" i="10" l="1"/>
  <c r="K345" i="10" s="1"/>
  <c r="I345" i="10" l="1"/>
  <c r="H345" i="10"/>
  <c r="J345" i="10"/>
  <c r="F345" i="10" l="1"/>
  <c r="G345" i="10" l="1"/>
  <c r="K346" i="10" s="1"/>
  <c r="J346" i="10" l="1"/>
  <c r="I346" i="10"/>
  <c r="H346" i="10"/>
  <c r="F346" i="10" l="1"/>
  <c r="G346" i="10" l="1"/>
  <c r="K347" i="10" s="1"/>
  <c r="J347" i="10" l="1"/>
  <c r="I347" i="10"/>
  <c r="H347" i="10"/>
  <c r="F347" i="10" l="1"/>
  <c r="G347" i="10" s="1"/>
  <c r="K348" i="10" s="1"/>
  <c r="J348" i="10" l="1"/>
  <c r="I348" i="10"/>
  <c r="H348" i="10"/>
  <c r="F348" i="10" l="1"/>
  <c r="G348" i="10" s="1"/>
  <c r="K349" i="10" s="1"/>
  <c r="H349" i="10" l="1"/>
  <c r="J349" i="10"/>
  <c r="I349" i="10"/>
  <c r="F349" i="10" l="1"/>
  <c r="G349" i="10" s="1"/>
  <c r="K350" i="10" s="1"/>
  <c r="J350" i="10" l="1"/>
  <c r="I350" i="10"/>
  <c r="H350" i="10"/>
  <c r="F350" i="10" l="1"/>
  <c r="G350" i="10" s="1"/>
  <c r="K351" i="10" s="1"/>
  <c r="H351" i="10" l="1"/>
  <c r="J351" i="10"/>
  <c r="I351" i="10"/>
  <c r="F351" i="10" l="1"/>
  <c r="G351" i="10" s="1"/>
  <c r="K352" i="10" s="1"/>
  <c r="I352" i="10" l="1"/>
  <c r="J352" i="10"/>
  <c r="H352" i="10"/>
  <c r="F352" i="10" l="1"/>
  <c r="G352" i="10" s="1"/>
  <c r="K353" i="10" s="1"/>
  <c r="J353" i="10" l="1"/>
  <c r="H353" i="10"/>
  <c r="I353" i="10"/>
  <c r="F353" i="10" l="1"/>
  <c r="G353" i="10" l="1"/>
  <c r="K354" i="10" s="1"/>
  <c r="B34" i="10"/>
  <c r="D31" i="4" s="1"/>
  <c r="T31" i="4" s="1"/>
  <c r="U31" i="4" l="1"/>
  <c r="V30" i="2" s="1"/>
  <c r="W30" i="2" s="1"/>
  <c r="U30" i="2"/>
  <c r="I354" i="10"/>
  <c r="H354" i="10"/>
  <c r="J354" i="10"/>
  <c r="F354" i="10" l="1"/>
  <c r="G354" i="10" l="1"/>
  <c r="K355" i="10" s="1"/>
  <c r="J355" i="10" l="1"/>
  <c r="I355" i="10"/>
  <c r="H355" i="10"/>
  <c r="F355" i="10" l="1"/>
  <c r="G355" i="10" l="1"/>
  <c r="K356" i="10" s="1"/>
  <c r="I356" i="10" l="1"/>
  <c r="F356" i="10" s="1"/>
  <c r="H356" i="10"/>
  <c r="C35" i="10" s="1"/>
  <c r="J356" i="10"/>
  <c r="G356" i="10" l="1"/>
  <c r="K357" i="10" s="1"/>
  <c r="J357" i="10" l="1"/>
  <c r="H357" i="10"/>
  <c r="C36" i="10" s="1"/>
  <c r="I357" i="10"/>
  <c r="F357" i="10" s="1"/>
  <c r="G357" i="10" l="1"/>
  <c r="K358" i="10" s="1"/>
  <c r="J358" i="10" l="1"/>
  <c r="H358" i="10"/>
  <c r="C37" i="10" s="1"/>
  <c r="I358" i="10"/>
  <c r="F358" i="10" s="1"/>
  <c r="G358" i="10" l="1"/>
  <c r="K359" i="10" s="1"/>
  <c r="H359" i="10" l="1"/>
  <c r="C38" i="10" s="1"/>
  <c r="J359" i="10"/>
  <c r="I359" i="10"/>
  <c r="F359" i="10" s="1"/>
  <c r="G359" i="10" l="1"/>
  <c r="K360" i="10" s="1"/>
  <c r="H360" i="10" l="1"/>
  <c r="C39" i="10" s="1"/>
  <c r="J360" i="10"/>
  <c r="I360" i="10"/>
  <c r="F360" i="10" s="1"/>
  <c r="G360" i="10" l="1"/>
  <c r="K361" i="10" s="1"/>
  <c r="I361" i="10" l="1"/>
  <c r="H361" i="10"/>
  <c r="J361" i="10"/>
  <c r="F361" i="10" l="1"/>
  <c r="C40" i="10"/>
  <c r="G361" i="10" l="1"/>
  <c r="K362" i="10" s="1"/>
  <c r="H362" i="10" l="1"/>
  <c r="C41" i="10" s="1"/>
  <c r="J362" i="10"/>
  <c r="I362" i="10"/>
  <c r="F362" i="10" s="1"/>
  <c r="G362" i="10" l="1"/>
  <c r="K363" i="10" s="1"/>
  <c r="H363" i="10" l="1"/>
  <c r="C42" i="10" s="1"/>
  <c r="I363" i="10"/>
  <c r="F363" i="10" s="1"/>
  <c r="J363" i="10"/>
  <c r="G363" i="10" l="1"/>
  <c r="K364" i="10" s="1"/>
  <c r="J364" i="10" l="1"/>
  <c r="I364" i="10"/>
  <c r="F364" i="10" s="1"/>
  <c r="H364" i="10"/>
  <c r="G364" i="10" l="1"/>
  <c r="B45" i="10"/>
  <c r="D42" i="4" s="1"/>
  <c r="T42" i="4" s="1"/>
  <c r="K1" i="10"/>
  <c r="B35" i="10"/>
  <c r="D32" i="4" s="1"/>
  <c r="T32" i="4" s="1"/>
  <c r="B36" i="10"/>
  <c r="D33" i="4" s="1"/>
  <c r="T33" i="4" s="1"/>
  <c r="B37" i="10"/>
  <c r="D34" i="4" s="1"/>
  <c r="T34" i="4" s="1"/>
  <c r="B38" i="10"/>
  <c r="D35" i="4" s="1"/>
  <c r="T35" i="4" s="1"/>
  <c r="B39" i="10"/>
  <c r="D36" i="4" s="1"/>
  <c r="T36" i="4" s="1"/>
  <c r="B40" i="10"/>
  <c r="D37" i="4" s="1"/>
  <c r="T37" i="4" s="1"/>
  <c r="B43" i="10"/>
  <c r="D40" i="4" s="1"/>
  <c r="T40" i="4" s="1"/>
  <c r="B44" i="10"/>
  <c r="D41" i="4" s="1"/>
  <c r="T41" i="4" s="1"/>
  <c r="B42" i="10"/>
  <c r="D39" i="4" s="1"/>
  <c r="T39" i="4" s="1"/>
  <c r="B41" i="10"/>
  <c r="D38" i="4" s="1"/>
  <c r="T38" i="4" s="1"/>
  <c r="C43" i="10"/>
  <c r="I3" i="10"/>
  <c r="I2" i="10"/>
  <c r="U36" i="4" l="1"/>
  <c r="V35" i="2" s="1"/>
  <c r="U35" i="2"/>
  <c r="U40" i="4"/>
  <c r="V39" i="2" s="1"/>
  <c r="U39" i="2"/>
  <c r="U34" i="4"/>
  <c r="V33" i="2" s="1"/>
  <c r="U33" i="2"/>
  <c r="U41" i="2"/>
  <c r="U42" i="4"/>
  <c r="V41" i="2" s="1"/>
  <c r="U39" i="4"/>
  <c r="V38" i="2" s="1"/>
  <c r="U38" i="2"/>
  <c r="U32" i="4"/>
  <c r="V31" i="2" s="1"/>
  <c r="W31" i="2" s="1"/>
  <c r="U31" i="2"/>
  <c r="U40" i="2"/>
  <c r="U41" i="4"/>
  <c r="V40" i="2" s="1"/>
  <c r="U34" i="2"/>
  <c r="U35" i="4"/>
  <c r="V34" i="2" s="1"/>
  <c r="U38" i="4"/>
  <c r="V37" i="2" s="1"/>
  <c r="U37" i="2"/>
  <c r="U37" i="4"/>
  <c r="V36" i="2" s="1"/>
  <c r="U36" i="2"/>
  <c r="U33" i="4"/>
  <c r="V32" i="2" s="1"/>
  <c r="U32" i="2"/>
  <c r="W32" i="2" l="1"/>
  <c r="W33" i="2" s="1"/>
  <c r="W34" i="2" s="1"/>
  <c r="W35" i="2" s="1"/>
  <c r="W36" i="2" s="1"/>
  <c r="W37" i="2" s="1"/>
  <c r="W38" i="2" s="1"/>
  <c r="W39" i="2" s="1"/>
  <c r="W40" i="2" s="1"/>
  <c r="W41" i="2" s="1"/>
</calcChain>
</file>

<file path=xl/sharedStrings.xml><?xml version="1.0" encoding="utf-8"?>
<sst xmlns="http://schemas.openxmlformats.org/spreadsheetml/2006/main" count="252" uniqueCount="167">
  <si>
    <t>Month</t>
  </si>
  <si>
    <t>Interest</t>
  </si>
  <si>
    <t>Payment</t>
  </si>
  <si>
    <t>Additional Payment</t>
  </si>
  <si>
    <t>Month &amp; Year</t>
  </si>
  <si>
    <t>Loan Amount</t>
  </si>
  <si>
    <t>Interest Rate</t>
  </si>
  <si>
    <t>Loan Balance @ start of month</t>
  </si>
  <si>
    <t>Loan Term</t>
  </si>
  <si>
    <t>Total Interest</t>
  </si>
  <si>
    <t># of Payments</t>
  </si>
  <si>
    <t>Total Monthly payment</t>
  </si>
  <si>
    <t>CA Taxable</t>
  </si>
  <si>
    <t>Fed Taxable</t>
  </si>
  <si>
    <t>CA Taxes</t>
  </si>
  <si>
    <t>Fed Taxes</t>
  </si>
  <si>
    <t>Gross Income</t>
  </si>
  <si>
    <t>Net Income</t>
  </si>
  <si>
    <t>Tax Rate</t>
  </si>
  <si>
    <t>Bonuses</t>
  </si>
  <si>
    <t>Year</t>
  </si>
  <si>
    <t>Total</t>
  </si>
  <si>
    <t>Monthly Gross Income</t>
  </si>
  <si>
    <t>Monthly Net Income</t>
  </si>
  <si>
    <t>Monthly Income After Housing</t>
  </si>
  <si>
    <t>Income Per Paycheck</t>
  </si>
  <si>
    <t>Monthly Savings</t>
  </si>
  <si>
    <t>Savings @ End of Year</t>
  </si>
  <si>
    <t>Total Cost of Loan</t>
  </si>
  <si>
    <t>Property Tax + Insurance</t>
  </si>
  <si>
    <t>year</t>
  </si>
  <si>
    <t>payment sum</t>
  </si>
  <si>
    <t>Utilities</t>
  </si>
  <si>
    <t>Car Insurance &amp; Reg</t>
  </si>
  <si>
    <t>Cell Phones</t>
  </si>
  <si>
    <t>Internet</t>
  </si>
  <si>
    <t>Petrol</t>
  </si>
  <si>
    <t>Groceries</t>
  </si>
  <si>
    <t>Meals Out</t>
  </si>
  <si>
    <t>House Supplies</t>
  </si>
  <si>
    <t>Vacation</t>
  </si>
  <si>
    <t>Pocket Money</t>
  </si>
  <si>
    <t>Clothing</t>
  </si>
  <si>
    <t>Entertainment</t>
  </si>
  <si>
    <t>Gifts</t>
  </si>
  <si>
    <t>Misc. Housing costs</t>
  </si>
  <si>
    <t>Income</t>
  </si>
  <si>
    <t>Savings</t>
  </si>
  <si>
    <t>Gas</t>
  </si>
  <si>
    <t>Monthly Total</t>
  </si>
  <si>
    <t>Car Repairs &amp; Car Payment</t>
  </si>
  <si>
    <t>Total Yearly Spending</t>
  </si>
  <si>
    <t>Principal</t>
  </si>
  <si>
    <t>SS &amp; Med &amp; CA Dis</t>
  </si>
  <si>
    <t>Name</t>
  </si>
  <si>
    <t>Yearly Raise (%)</t>
  </si>
  <si>
    <t>Bonuses ($)</t>
  </si>
  <si>
    <t>Bonuses (% of income)</t>
  </si>
  <si>
    <t>Children</t>
  </si>
  <si>
    <t>Child 2 year born</t>
  </si>
  <si>
    <t>Child 1 year born</t>
  </si>
  <si>
    <t>Child 3 year born</t>
  </si>
  <si>
    <t>Child 4 year born</t>
  </si>
  <si>
    <t>Standard Deduction</t>
  </si>
  <si>
    <t>Federal</t>
  </si>
  <si>
    <t>Personal Exemption</t>
  </si>
  <si>
    <t>Children in year</t>
  </si>
  <si>
    <t>Top of Bracket</t>
  </si>
  <si>
    <t>Bottom of Bracket</t>
  </si>
  <si>
    <t>Taxes paid before bracket</t>
  </si>
  <si>
    <t>$0 - $15,700</t>
  </si>
  <si>
    <t>$15,700 - $37,220</t>
  </si>
  <si>
    <t>$37,220 - $58,744</t>
  </si>
  <si>
    <t>$58,744 - $81,546</t>
  </si>
  <si>
    <t>$81,546 - $103,060</t>
  </si>
  <si>
    <t>$103,060 - $526,444</t>
  </si>
  <si>
    <t>$526,444 - $631,732</t>
  </si>
  <si>
    <t>$631,732 - $1,052,886</t>
  </si>
  <si>
    <t>$1,052,886+</t>
  </si>
  <si>
    <t>For earnings between $0.00 and $15,700.00, you'll pay 1%</t>
  </si>
  <si>
    <t>For earnings between $15,700.00 and $37,220.00, you'll pay 2% plus $157.00</t>
  </si>
  <si>
    <t>For earnings between $37,220.00 and $58,744.00, you'll pay 4% plus $587.40</t>
  </si>
  <si>
    <t>For earnings between $58,744.00 and $81,546.00, you'll pay 6% plus $1,448.36</t>
  </si>
  <si>
    <t>For earnings between $81,546.00 and $103,060.00, you'll pay 8% plus $2,816.48</t>
  </si>
  <si>
    <t>For earnings between $103,060.00 and $526,444.00, you'll pay 9.3% plus $4,537.60</t>
  </si>
  <si>
    <t>For earnings between $526,444.00 and $631,732.00, you'll pay 10.3% plus $43,912.31</t>
  </si>
  <si>
    <t>For earnings between $631,732.00 and $1,000,000.00, you'll pay 11.3% plus $54,756.98</t>
  </si>
  <si>
    <t>For earnings between $1,000,000.00 and $1,052,886.00, you'll pay 12.3% plus $96,371.26</t>
  </si>
  <si>
    <t>For earnings over $1,052,886.00, you'll pay 13.3% plus $102,876.24</t>
  </si>
  <si>
    <t>California</t>
  </si>
  <si>
    <t>Federal Deductions</t>
  </si>
  <si>
    <t>CA Deductions</t>
  </si>
  <si>
    <t>Federal Tax</t>
  </si>
  <si>
    <t>Federal Taxable Income</t>
  </si>
  <si>
    <t>CA Taxable Income</t>
  </si>
  <si>
    <t>CA Tax</t>
  </si>
  <si>
    <t>$0—$18,550</t>
  </si>
  <si>
    <t>$18,551—$75,300</t>
  </si>
  <si>
    <t>$1,855 plus 15% of the amount over $18,550</t>
  </si>
  <si>
    <t>$75,301—$151,900</t>
  </si>
  <si>
    <t>$10,367.50 plus 25% of the amount over $75,300</t>
  </si>
  <si>
    <t>$151,901—$231,450</t>
  </si>
  <si>
    <t>$29,517.50 plus 28% of the amount over $151,900</t>
  </si>
  <si>
    <t>$231,451—$413,350</t>
  </si>
  <si>
    <t>$51,791.50 plus 33% of the amount over $231,450</t>
  </si>
  <si>
    <t>$413,351—$466,950</t>
  </si>
  <si>
    <t>$111,818.50 plus 35% of the amount over $413,350</t>
  </si>
  <si>
    <t>$466,951 or more</t>
  </si>
  <si>
    <t>$130,578.50 plus 39.6% of the amount over $466,950</t>
  </si>
  <si>
    <t>Paychecks per Year</t>
  </si>
  <si>
    <t>Cars</t>
  </si>
  <si>
    <t>Car 1 payment</t>
  </si>
  <si>
    <t>Car 1 payment year end</t>
  </si>
  <si>
    <t>Car 2 payment</t>
  </si>
  <si>
    <t>Car 2 payment year end</t>
  </si>
  <si>
    <t>Monthly Car Payment by year</t>
  </si>
  <si>
    <t>$/gallon</t>
  </si>
  <si>
    <t>miles/gallon</t>
  </si>
  <si>
    <t>milage/year</t>
  </si>
  <si>
    <t>$/year</t>
  </si>
  <si>
    <t>$/month</t>
  </si>
  <si>
    <t>Mortgage</t>
  </si>
  <si>
    <t>Loan Term (yrs)</t>
  </si>
  <si>
    <t>Calculated Monthly Payment</t>
  </si>
  <si>
    <t>Retirement Savings</t>
  </si>
  <si>
    <t>Years left on mortgage</t>
  </si>
  <si>
    <t>Property Tax per year</t>
  </si>
  <si>
    <t>Home Insurance per year</t>
  </si>
  <si>
    <t>Johnny</t>
  </si>
  <si>
    <t>Ellis</t>
  </si>
  <si>
    <t>approx Interest + property tax</t>
  </si>
  <si>
    <t>Charity</t>
  </si>
  <si>
    <t>Total standard deduction</t>
  </si>
  <si>
    <t>Child Standard Deduction</t>
  </si>
  <si>
    <t>Number</t>
  </si>
  <si>
    <t>Description</t>
  </si>
  <si>
    <t>Fix CA &amp; Fed deductions. Only deduct maximum of standard deduction &amp; itemized deduction</t>
  </si>
  <si>
    <t>Fixed CA tax calculator. Extra term for 4% tax bracket removed</t>
  </si>
  <si>
    <t>Added formula for # of payments on mortgage sheet</t>
  </si>
  <si>
    <t>Added Charity to monthly costs</t>
  </si>
  <si>
    <t>Fixed monthly income after housing to include property tax and insurance after mortgage is paid off</t>
  </si>
  <si>
    <t>Fixed in Rev</t>
  </si>
  <si>
    <t>B</t>
  </si>
  <si>
    <t>C</t>
  </si>
  <si>
    <t>Added feature to save post-tax money</t>
  </si>
  <si>
    <t>Added feature to rent for a time before you buy a house</t>
  </si>
  <si>
    <t>Added credit card debt calculator</t>
  </si>
  <si>
    <t>Added student debt calculator</t>
  </si>
  <si>
    <t>Added monthly cost for student &amp; credit card debt</t>
  </si>
  <si>
    <t>Debt Payments</t>
  </si>
  <si>
    <t>Student Loan</t>
  </si>
  <si>
    <t>Pay off in (yrs)</t>
  </si>
  <si>
    <t>Year mortgage starts</t>
  </si>
  <si>
    <t># of additional payments</t>
  </si>
  <si>
    <t>Credit Card Debt</t>
  </si>
  <si>
    <t>Debt Amount</t>
  </si>
  <si>
    <t>approx Interest</t>
  </si>
  <si>
    <t>Monthly Rent</t>
  </si>
  <si>
    <t>Rent increase</t>
  </si>
  <si>
    <t>Rent</t>
  </si>
  <si>
    <t>Extend time from 30 years to 40 years</t>
  </si>
  <si>
    <t>Pre-Tax Savings ($)</t>
  </si>
  <si>
    <t>Pre-Tax Savings (% of income)</t>
  </si>
  <si>
    <t>Post-Tax Savings (IRA)</t>
  </si>
  <si>
    <t>Post-Tax Savings, IRA ($)</t>
  </si>
  <si>
    <t>Post-Tax Savings, IRA (% of income)</t>
  </si>
  <si>
    <t>If no loans, only change loan amount to 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</si>
</sst>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&quot;$&quot;#,##0"/>
    <numFmt numFmtId="167" formatCode="0.0%"/>
    <numFmt numFmtId="168" formatCode="&quot;$&quot;#,##0;[Red]&quot;$&quot;#,##0"/>
    <numFmt numFmtId="169" formatCode="_(&quot;$&quot;* #,##0_);_(&quot;$&quot;* \(#,##0\);_(&quot;$&quot;* &quot;-&quot;??_);_(@_)"/>
    <numFmt numFmtId="170" formatCode="&quot;$&quot;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"/>
      <family val="2"/>
    </font>
    <font>
      <sz val="10"/>
      <name val="San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1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2" borderId="0" xfId="0" applyNumberFormat="1" applyFill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169" fontId="0" fillId="0" borderId="0" xfId="3" applyNumberFormat="1" applyFont="1"/>
    <xf numFmtId="44" fontId="0" fillId="0" borderId="0" xfId="0" applyNumberFormat="1"/>
    <xf numFmtId="165" fontId="1" fillId="0" borderId="0" xfId="0" applyNumberFormat="1" applyFont="1"/>
    <xf numFmtId="170" fontId="0" fillId="0" borderId="0" xfId="0" applyNumberFormat="1"/>
    <xf numFmtId="10" fontId="0" fillId="0" borderId="0" xfId="4" applyNumberFormat="1" applyFont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69" fontId="0" fillId="0" borderId="0" xfId="3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9" fontId="0" fillId="0" borderId="2" xfId="0" applyNumberFormat="1" applyBorder="1" applyAlignment="1">
      <alignment horizontal="left"/>
    </xf>
    <xf numFmtId="169" fontId="0" fillId="0" borderId="2" xfId="3" applyNumberFormat="1" applyFont="1" applyBorder="1" applyAlignment="1"/>
    <xf numFmtId="9" fontId="0" fillId="0" borderId="2" xfId="4" applyFont="1" applyBorder="1"/>
    <xf numFmtId="167" fontId="0" fillId="0" borderId="2" xfId="4" applyNumberFormat="1" applyFont="1" applyBorder="1"/>
    <xf numFmtId="0" fontId="0" fillId="0" borderId="0" xfId="0" applyFill="1" applyBorder="1" applyAlignment="1">
      <alignment wrapText="1"/>
    </xf>
    <xf numFmtId="44" fontId="0" fillId="0" borderId="2" xfId="3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69" fontId="0" fillId="0" borderId="0" xfId="3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69" fontId="0" fillId="2" borderId="2" xfId="3" applyNumberFormat="1" applyFont="1" applyFill="1" applyBorder="1" applyAlignment="1">
      <alignment horizontal="center"/>
    </xf>
    <xf numFmtId="9" fontId="0" fillId="2" borderId="2" xfId="4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9" fontId="0" fillId="2" borderId="5" xfId="3" applyNumberFormat="1" applyFont="1" applyFill="1" applyBorder="1" applyAlignment="1">
      <alignment horizontal="center"/>
    </xf>
    <xf numFmtId="9" fontId="0" fillId="2" borderId="5" xfId="4" applyFont="1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168" fontId="5" fillId="0" borderId="0" xfId="0" applyNumberFormat="1" applyFont="1" applyAlignment="1"/>
    <xf numFmtId="168" fontId="5" fillId="0" borderId="0" xfId="0" applyNumberFormat="1" applyFont="1" applyAlignment="1">
      <alignment vertical="top"/>
    </xf>
    <xf numFmtId="168" fontId="5" fillId="0" borderId="0" xfId="0" applyNumberFormat="1" applyFont="1"/>
    <xf numFmtId="168" fontId="5" fillId="0" borderId="0" xfId="0" applyNumberFormat="1" applyFont="1" applyBorder="1"/>
    <xf numFmtId="0" fontId="1" fillId="0" borderId="10" xfId="0" applyFont="1" applyBorder="1" applyAlignment="1">
      <alignment horizontal="center" wrapText="1"/>
    </xf>
    <xf numFmtId="0" fontId="0" fillId="2" borderId="11" xfId="0" applyFill="1" applyBorder="1" applyAlignment="1">
      <alignment horizontal="center"/>
    </xf>
    <xf numFmtId="169" fontId="0" fillId="2" borderId="9" xfId="3" applyNumberFormat="1" applyFont="1" applyFill="1" applyBorder="1"/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9" fontId="0" fillId="2" borderId="7" xfId="3" applyNumberFormat="1" applyFont="1" applyFill="1" applyBorder="1" applyAlignment="1">
      <alignment horizontal="center"/>
    </xf>
    <xf numFmtId="169" fontId="0" fillId="2" borderId="8" xfId="3" applyNumberFormat="1" applyFont="1" applyFill="1" applyBorder="1" applyAlignment="1">
      <alignment horizontal="center"/>
    </xf>
    <xf numFmtId="169" fontId="0" fillId="0" borderId="8" xfId="3" applyNumberFormat="1" applyFont="1" applyBorder="1" applyAlignment="1">
      <alignment horizontal="center"/>
    </xf>
    <xf numFmtId="169" fontId="0" fillId="2" borderId="9" xfId="3" applyNumberFormat="1" applyFont="1" applyFill="1" applyBorder="1" applyAlignment="1">
      <alignment horizontal="center"/>
    </xf>
    <xf numFmtId="165" fontId="1" fillId="0" borderId="6" xfId="0" applyNumberFormat="1" applyFont="1" applyBorder="1"/>
    <xf numFmtId="165" fontId="0" fillId="2" borderId="5" xfId="0" applyNumberFormat="1" applyFill="1" applyBorder="1"/>
    <xf numFmtId="0" fontId="1" fillId="0" borderId="6" xfId="0" applyFont="1" applyBorder="1"/>
    <xf numFmtId="10" fontId="0" fillId="2" borderId="5" xfId="0" applyNumberFormat="1" applyFill="1" applyBorder="1"/>
    <xf numFmtId="1" fontId="0" fillId="2" borderId="5" xfId="0" applyNumberFormat="1" applyFill="1" applyBorder="1"/>
    <xf numFmtId="0" fontId="0" fillId="2" borderId="5" xfId="0" applyFill="1" applyBorder="1"/>
    <xf numFmtId="0" fontId="1" fillId="0" borderId="7" xfId="0" applyFont="1" applyBorder="1" applyAlignment="1">
      <alignment wrapText="1"/>
    </xf>
    <xf numFmtId="0" fontId="0" fillId="2" borderId="9" xfId="0" applyFill="1" applyBorder="1"/>
    <xf numFmtId="0" fontId="1" fillId="0" borderId="6" xfId="0" applyFont="1" applyBorder="1" applyAlignment="1">
      <alignment horizontal="center"/>
    </xf>
    <xf numFmtId="44" fontId="0" fillId="2" borderId="5" xfId="3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44" fontId="0" fillId="2" borderId="9" xfId="3" applyFont="1" applyFill="1" applyBorder="1" applyAlignment="1">
      <alignment horizontal="center"/>
    </xf>
    <xf numFmtId="169" fontId="0" fillId="0" borderId="2" xfId="3" applyNumberFormat="1" applyFont="1" applyFill="1" applyBorder="1" applyAlignment="1">
      <alignment horizontal="center" wrapText="1"/>
    </xf>
    <xf numFmtId="165" fontId="0" fillId="0" borderId="0" xfId="0" applyNumberFormat="1" applyFill="1"/>
    <xf numFmtId="10" fontId="0" fillId="0" borderId="0" xfId="4" applyNumberFormat="1" applyFont="1" applyFill="1"/>
    <xf numFmtId="1" fontId="0" fillId="0" borderId="0" xfId="0" applyNumberFormat="1" applyFill="1"/>
    <xf numFmtId="44" fontId="0" fillId="0" borderId="9" xfId="3" applyNumberFormat="1" applyFont="1" applyFill="1" applyBorder="1"/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9" fontId="0" fillId="0" borderId="10" xfId="3" applyNumberFormat="1" applyFont="1" applyBorder="1" applyAlignment="1">
      <alignment horizontal="center"/>
    </xf>
    <xf numFmtId="169" fontId="0" fillId="0" borderId="11" xfId="3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169" fontId="0" fillId="0" borderId="3" xfId="3" applyNumberFormat="1" applyFont="1" applyBorder="1" applyAlignment="1">
      <alignment horizontal="center"/>
    </xf>
    <xf numFmtId="44" fontId="0" fillId="0" borderId="3" xfId="3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9" fontId="0" fillId="0" borderId="16" xfId="3" applyNumberFormat="1" applyFont="1" applyBorder="1" applyAlignment="1">
      <alignment horizontal="center"/>
    </xf>
    <xf numFmtId="44" fontId="0" fillId="0" borderId="16" xfId="3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3" applyNumberFormat="1" applyFont="1" applyFill="1" applyBorder="1" applyAlignment="1">
      <alignment horizontal="center"/>
    </xf>
    <xf numFmtId="9" fontId="0" fillId="0" borderId="0" xfId="4" applyFont="1" applyFill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69" fontId="0" fillId="0" borderId="8" xfId="3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0" fillId="2" borderId="18" xfId="0" applyFill="1" applyBorder="1" applyAlignment="1">
      <alignment horizontal="center"/>
    </xf>
    <xf numFmtId="0" fontId="0" fillId="0" borderId="2" xfId="0" applyBorder="1"/>
    <xf numFmtId="1" fontId="0" fillId="2" borderId="2" xfId="0" applyNumberFormat="1" applyFill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44" fontId="0" fillId="0" borderId="0" xfId="3" applyNumberFormat="1" applyFont="1" applyFill="1" applyBorder="1"/>
    <xf numFmtId="169" fontId="0" fillId="0" borderId="12" xfId="3" applyNumberFormat="1" applyFont="1" applyBorder="1" applyAlignment="1">
      <alignment horizontal="center"/>
    </xf>
    <xf numFmtId="169" fontId="0" fillId="0" borderId="14" xfId="3" applyNumberFormat="1" applyFont="1" applyBorder="1" applyAlignment="1">
      <alignment horizontal="center"/>
    </xf>
    <xf numFmtId="169" fontId="0" fillId="0" borderId="19" xfId="3" applyNumberFormat="1" applyFont="1" applyBorder="1" applyAlignment="1">
      <alignment horizontal="center" wrapText="1"/>
    </xf>
  </cellXfs>
  <cellStyles count="5">
    <cellStyle name="Currency" xfId="3" builtinId="4"/>
    <cellStyle name="Normal" xfId="0" builtinId="0"/>
    <cellStyle name="Normal 2" xfId="2"/>
    <cellStyle name="Percent" xfId="4" builtinId="5"/>
    <cellStyle name="TableStyleLight1" xfId="1"/>
  </cellStyles>
  <dxfs count="70">
    <dxf>
      <numFmt numFmtId="166" formatCode="&quot;$&quot;#,##0"/>
    </dxf>
    <dxf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numFmt numFmtId="166" formatCode="&quot;$&quot;#,##0"/>
    </dxf>
    <dxf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numFmt numFmtId="0" formatCode="General"/>
    </dxf>
    <dxf>
      <numFmt numFmtId="168" formatCode="&quot;$&quot;#,##0;[Red]&quot;$&quot;#,##0"/>
      <alignment horizontal="general" vertical="top" textRotation="0" wrapText="0" relativeIndent="0" justifyLastLine="0" shrinkToFit="0" readingOrder="0"/>
    </dxf>
    <dxf>
      <numFmt numFmtId="168" formatCode="&quot;$&quot;#,##0;[Red]&quot;$&quot;#,##0"/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7" formatCode="0.0%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left style="thin">
          <color indexed="64"/>
        </left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W41" headerRowCount="0" totalsRowShown="0" headerRowDxfId="69" tableBorderDxfId="68">
  <tableColumns count="23">
    <tableColumn id="1" name="Column1" headerRowDxfId="67"/>
    <tableColumn id="2" name="Column2" headerRowDxfId="66" dataDxfId="65">
      <calculatedColumnFormula>IF('Data Input'!$C$18+'Data Input'!$C$2&gt;Table1[[#This Row],[Column1]],('Data Input'!$C$10)*(1+'Data Input'!$C$17)^(Table1[[#This Row],[Column1]]-'Data Input'!$C$2),0)</calculatedColumnFormula>
    </tableColumn>
    <tableColumn id="3" name="Column3" headerRowDxfId="64" dataDxfId="63">
      <calculatedColumnFormula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calculatedColumnFormula>
    </tableColumn>
    <tableColumn id="4" name="Column4" headerRowDxfId="62" dataDxfId="61">
      <calculatedColumnFormula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calculatedColumnFormula>
    </tableColumn>
    <tableColumn id="5" name="Column5" headerRowDxfId="60" dataDxfId="59">
      <calculatedColumnFormula>IF('Data Input'!$F$18+'Data Input'!$C$2&gt;Table1[[#This Row],[Column1]],('Data Input'!$F$10)*(1+'Data Input'!$F$17)^(Table1[[#This Row],[Column1]]-'Data Input'!$C$2),0)</calculatedColumnFormula>
    </tableColumn>
    <tableColumn id="6" name="Column6" headerRowDxfId="58" dataDxfId="57">
      <calculatedColumnFormula>Table1[[#This Row],[Column2]]+Table1[[#This Row],[Column4]]+Table1[[#This Row],[Column5]]-Table1[[#This Row],[Column3]]-Table1[[#This Row],[Column23]]</calculatedColumnFormula>
    </tableColumn>
    <tableColumn id="7" name="Column7" headerRowDxfId="56" dataDxfId="55">
      <calculatedColumnFormula>Table1[[#This Row],[Column2]]+Table1[[#This Row],[Column4]]+Table1[[#This Row],[Column5]]-Table1[[#This Row],[Column3]]-Table1[[#This Row],[Column8]]</calculatedColumnFormula>
    </tableColumn>
    <tableColumn id="24" name="Column23" headerRowDxfId="54" dataDxfId="4">
      <calculatedColumnFormula>IF(Table1[[#This Row],[Column1]]&lt;'Data Input'!$C$3,MAX('Tax Information'!$C$15+'Data Input'!C27*'Tax Information'!$C$5,Spending!P3+'Student Loans'!B6),MAX('Tax Information'!$C$15+'Data Input'!C27*'Tax Information'!$C$5,'Mortgage Sheet'!C6+Spending!P3+'Student Loans'!C6))+'Tax Information'!$C$13*('Data Input'!C27+2)</calculatedColumnFormula>
    </tableColumn>
    <tableColumn id="8" name="Column8" headerRowDxfId="53" dataDxfId="3">
      <calculatedColumnFormula>IF(Table1[[#This Row],[Column1]]&lt;'Data Input'!$C$3,MAX('Tax Information'!$C$6+'Data Input'!C27*'Tax Information'!$C$5,Table1[[#This Row],[Column9]]+Spending!P3+'Student Loans'!C6),MAX('Tax Information'!$C$6+'Data Input'!C27*'Tax Information'!$C$5,'Mortgage Sheet'!C6+Table1[[#This Row],[Column9]]+Spending!P3+'Student Loans'!C6))+'Tax Information'!$C$4*('Data Input'!C27+2)</calculatedColumnFormula>
    </tableColumn>
    <tableColumn id="9" name="Column9" headerRowDxfId="52" dataDxfId="51">
      <calculatedColumnFormula>'Tax Information'!E25</calculatedColumnFormula>
    </tableColumn>
    <tableColumn id="10" name="Column10" headerRowDxfId="50" dataDxfId="49">
      <calculatedColumnFormula>'Tax Information'!C25</calculatedColumnFormula>
    </tableColumn>
    <tableColumn id="11" name="Column11" headerRowDxfId="48" dataDxfId="47">
      <calculatedColumnFormula>(0.01+0.0765)*(Table1[[#This Row],[Column2]]+Table1[[#This Row],[Column4]]+Table1[[#This Row],[Column5]])</calculatedColumnFormula>
    </tableColumn>
    <tableColumn id="12" name="Column12" headerRowDxfId="46" dataDxfId="45">
      <calculatedColumnFormula>(Table1[[#This Row],[Column2]]+Table1[[#This Row],[Column4]]+Table1[[#This Row],[Column5]])</calculatedColumnFormula>
    </tableColumn>
    <tableColumn id="13" name="Column13" headerRowDxfId="44" dataDxfId="43">
      <calculatedColumnFormula>(Table1[[#This Row],[Column2]]+Table1[[#This Row],[Column4]]+Table1[[#This Row],[Column5]])-(Table1[[#This Row],[Column3]]+Table1[[#This Row],[Column9]]+Table1[[#This Row],[Column10]]+Table1[[#This Row],[Column11]])</calculatedColumnFormula>
    </tableColumn>
    <tableColumn id="14" name="Column14" headerRowDxfId="42" dataDxfId="41">
      <calculatedColumnFormula>1-(Table1[[#This Row],[Column13]]/Table1[[#This Row],[Column12]])</calculatedColumnFormula>
    </tableColumn>
    <tableColumn id="15" name="Column15" headerRowDxfId="40" dataDxfId="1">
      <calculatedColumnFormula>Table1[[#This Row],[Column3]]+MIN(5500,Table1[[#This Row],[Column2]]*'Data Input'!$C$14+Table1[[#This Row],[Column5]]*'Data Input'!$F$14+'Data Input'!$C$13+'Data Input'!$F$13)</calculatedColumnFormula>
    </tableColumn>
    <tableColumn id="17" name="Column16" headerRowDxfId="39" dataDxfId="38">
      <calculatedColumnFormula>Table1[[#This Row],[Column12]]/12</calculatedColumnFormula>
    </tableColumn>
    <tableColumn id="16" name="Column17" headerRowDxfId="37" dataDxfId="36">
      <calculatedColumnFormula>Table1[[#This Row],[Column13]]/12</calculatedColumnFormula>
    </tableColumn>
    <tableColumn id="19" name="Column18" headerRowDxfId="35" dataDxfId="34">
      <calculatedColumnFormula>Table1[[#This Row],[Column13]]/'Data Input'!$C$4</calculatedColumnFormula>
    </tableColumn>
    <tableColumn id="18" name="Column19" headerRowDxfId="33" dataDxfId="0">
      <calculatedColumnFormula>Table1[[#This Row],[Column17]]-IF(Table1[[#This Row],[Column1]]&lt;'Data Input'!$C$3,'Data Input'!$R$8*(1+'Data Input'!$R$9)^(Table1[[#This Row],[Column1]]-'Data Input'!$C$2),IF('Data Input'!$C$3+'Data Input'!$I$11&gt;Table1[[#This Row],[Column1]],'Mortgage Sheet'!B6/12,'Mortgage Sheet'!$K$2))</calculatedColumnFormula>
    </tableColumn>
    <tableColumn id="22" name="Column20" headerRowDxfId="32" dataDxfId="31">
      <calculatedColumnFormula>Spending!T3+12*(Table1[[#This Row],[Column17]]-Table1[[#This Row],[Column19]])</calculatedColumnFormula>
    </tableColumn>
    <tableColumn id="20" name="Column21" headerRowDxfId="30" dataDxfId="29">
      <calculatedColumnFormula>Table1[[#This Row],[Column19]]-3000</calculatedColumnFormula>
    </tableColumn>
    <tableColumn id="21" name="Column22" headerRowDxfId="28" dataDxfId="2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A2:U42" totalsRowShown="0" headerRowDxfId="26" dataDxfId="25">
  <autoFilter ref="A2:U42"/>
  <tableColumns count="21">
    <tableColumn id="1" name="year" dataDxfId="24"/>
    <tableColumn id="2" name="Utilities" dataDxfId="23">
      <calculatedColumnFormula>12*'Data Input'!$E$5</calculatedColumnFormula>
    </tableColumn>
    <tableColumn id="3" name="Car Insurance &amp; Reg" dataDxfId="22">
      <calculatedColumnFormula>12*'Data Input'!$F$5</calculatedColumnFormula>
    </tableColumn>
    <tableColumn id="15" name="Debt Payments" dataDxfId="5">
      <calculatedColumnFormula>ROUNDDOWN('Student Loans'!B6+'Credit Card Debt'!B6,2)</calculatedColumnFormula>
    </tableColumn>
    <tableColumn id="21" name="Post-Tax Savings (IRA)" dataDxfId="2"/>
    <tableColumn id="4" name="Car Repairs &amp; Car Payment" dataDxfId="21">
      <calculatedColumnFormula>('Data Input'!F27+100)*12</calculatedColumnFormula>
    </tableColumn>
    <tableColumn id="5" name="Cell Phones" dataDxfId="20">
      <calculatedColumnFormula>12*'Data Input'!$J$5</calculatedColumnFormula>
    </tableColumn>
    <tableColumn id="6" name="Internet" dataDxfId="19">
      <calculatedColumnFormula>12*'Data Input'!$K$5</calculatedColumnFormula>
    </tableColumn>
    <tableColumn id="7" name="Petrol" dataDxfId="18">
      <calculatedColumnFormula>12*'Data Input'!$L$5</calculatedColumnFormula>
    </tableColumn>
    <tableColumn id="8" name="Groceries" dataDxfId="17">
      <calculatedColumnFormula>12*'Data Input'!$M$5</calculatedColumnFormula>
    </tableColumn>
    <tableColumn id="9" name="Meals Out" dataDxfId="16">
      <calculatedColumnFormula>12*'Data Input'!$N$5</calculatedColumnFormula>
    </tableColumn>
    <tableColumn id="10" name="House Supplies" dataDxfId="15">
      <calculatedColumnFormula>12*'Data Input'!$O$5</calculatedColumnFormula>
    </tableColumn>
    <tableColumn id="11" name="Vacation" dataDxfId="14">
      <calculatedColumnFormula>12*'Data Input'!$P$5</calculatedColumnFormula>
    </tableColumn>
    <tableColumn id="12" name="Pocket Money" dataDxfId="13">
      <calculatedColumnFormula>12*'Data Input'!$Q$5</calculatedColumnFormula>
    </tableColumn>
    <tableColumn id="14" name="Clothing" dataDxfId="12">
      <calculatedColumnFormula>12*'Data Input'!$R$5</calculatedColumnFormula>
    </tableColumn>
    <tableColumn id="13" name="Charity" dataDxfId="11">
      <calculatedColumnFormula>12*'Data Input'!$S$5</calculatedColumnFormula>
    </tableColumn>
    <tableColumn id="16" name="Entertainment" dataDxfId="10">
      <calculatedColumnFormula>12*'Data Input'!$T$5</calculatedColumnFormula>
    </tableColumn>
    <tableColumn id="17" name="Gifts" dataDxfId="9">
      <calculatedColumnFormula>12*'Data Input'!$U$5</calculatedColumnFormula>
    </tableColumn>
    <tableColumn id="18" name="Misc. Housing costs" dataDxfId="8">
      <calculatedColumnFormula>12*'Data Input'!$V$5</calculatedColumnFormula>
    </tableColumn>
    <tableColumn id="19" name="Total" dataDxfId="7">
      <calculatedColumnFormula>SUM(Table12[[#This Row],[Utilities]:[Misc. Housing costs]])</calculatedColumnFormula>
    </tableColumn>
    <tableColumn id="20" name="Monthly Total" dataDxfId="6">
      <calculatedColumnFormula>Table12[[#This Row],[Total]]/12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6"/>
  <sheetViews>
    <sheetView tabSelected="1" zoomScale="70" zoomScaleNormal="70" workbookViewId="0">
      <selection activeCell="F11" sqref="F11"/>
    </sheetView>
  </sheetViews>
  <sheetFormatPr defaultRowHeight="15"/>
  <cols>
    <col min="2" max="2" width="20.28515625" style="8" customWidth="1"/>
    <col min="3" max="3" width="11.140625" customWidth="1"/>
    <col min="4" max="4" width="7.7109375" style="16" customWidth="1"/>
    <col min="5" max="5" width="19.85546875" customWidth="1"/>
    <col min="6" max="6" width="13.7109375" customWidth="1"/>
    <col min="7" max="7" width="13.7109375" style="16" customWidth="1"/>
    <col min="8" max="8" width="23.85546875" style="16" bestFit="1" customWidth="1"/>
    <col min="9" max="9" width="17.28515625" bestFit="1" customWidth="1"/>
    <col min="10" max="10" width="16.42578125" customWidth="1"/>
    <col min="11" max="11" width="18.140625" bestFit="1" customWidth="1"/>
    <col min="12" max="12" width="12" bestFit="1" customWidth="1"/>
    <col min="13" max="13" width="14.7109375" bestFit="1" customWidth="1"/>
    <col min="14" max="14" width="18.140625" bestFit="1" customWidth="1"/>
    <col min="15" max="15" width="12" bestFit="1" customWidth="1"/>
    <col min="16" max="16" width="13.28515625" customWidth="1"/>
    <col min="17" max="17" width="17.7109375" bestFit="1" customWidth="1"/>
    <col min="18" max="18" width="11.140625" bestFit="1" customWidth="1"/>
    <col min="19" max="19" width="13" style="16" bestFit="1" customWidth="1"/>
    <col min="20" max="20" width="11" bestFit="1" customWidth="1"/>
    <col min="21" max="21" width="6.7109375" customWidth="1"/>
    <col min="22" max="22" width="7.85546875" customWidth="1"/>
  </cols>
  <sheetData>
    <row r="1" spans="2:22" s="8" customFormat="1" ht="15.75" thickBot="1">
      <c r="T1" s="32"/>
    </row>
    <row r="2" spans="2:22" s="16" customFormat="1" ht="15.75" thickBot="1">
      <c r="B2" s="66" t="s">
        <v>20</v>
      </c>
      <c r="C2" s="67">
        <v>2016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</row>
    <row r="3" spans="2:22" s="16" customFormat="1">
      <c r="B3" s="121" t="s">
        <v>152</v>
      </c>
      <c r="C3" s="122">
        <v>2018</v>
      </c>
      <c r="E3" s="98" t="str">
        <f>CONCATENATE("Monthly Costs for ",C2)</f>
        <v>Monthly Costs for 2016</v>
      </c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100"/>
    </row>
    <row r="4" spans="2:22" s="16" customFormat="1" ht="45">
      <c r="B4" s="51" t="s">
        <v>109</v>
      </c>
      <c r="C4" s="58">
        <v>24</v>
      </c>
      <c r="E4" s="69" t="s">
        <v>32</v>
      </c>
      <c r="F4" s="43" t="s">
        <v>33</v>
      </c>
      <c r="G4" s="43" t="s">
        <v>149</v>
      </c>
      <c r="H4" s="43" t="s">
        <v>163</v>
      </c>
      <c r="I4" s="43" t="s">
        <v>50</v>
      </c>
      <c r="J4" s="43" t="s">
        <v>34</v>
      </c>
      <c r="K4" s="43" t="s">
        <v>35</v>
      </c>
      <c r="L4" s="43" t="s">
        <v>36</v>
      </c>
      <c r="M4" s="43" t="s">
        <v>37</v>
      </c>
      <c r="N4" s="43" t="s">
        <v>38</v>
      </c>
      <c r="O4" s="43" t="s">
        <v>39</v>
      </c>
      <c r="P4" s="43" t="s">
        <v>40</v>
      </c>
      <c r="Q4" s="43" t="s">
        <v>41</v>
      </c>
      <c r="R4" s="43" t="s">
        <v>42</v>
      </c>
      <c r="S4" s="43" t="s">
        <v>131</v>
      </c>
      <c r="T4" s="43" t="s">
        <v>43</v>
      </c>
      <c r="U4" s="43" t="s">
        <v>44</v>
      </c>
      <c r="V4" s="70" t="s">
        <v>45</v>
      </c>
    </row>
    <row r="5" spans="2:22" s="16" customFormat="1" ht="30.75" thickBot="1">
      <c r="B5" s="49" t="str">
        <f>CONCATENATE("Savings @ Start of ", C2)</f>
        <v>Savings @ Start of 2016</v>
      </c>
      <c r="C5" s="68">
        <v>55000</v>
      </c>
      <c r="E5" s="71">
        <v>300</v>
      </c>
      <c r="F5" s="72">
        <v>250</v>
      </c>
      <c r="G5" s="120">
        <f>L11+O11</f>
        <v>0</v>
      </c>
      <c r="H5" s="120">
        <f>MIN(5500,C14*C10+F10*F14+C13+F13)/12</f>
        <v>0</v>
      </c>
      <c r="I5" s="73">
        <f>12*(100+'Data Input'!F27)</f>
        <v>7800</v>
      </c>
      <c r="J5" s="72">
        <v>100</v>
      </c>
      <c r="K5" s="72">
        <v>60</v>
      </c>
      <c r="L5" s="73">
        <f>I25</f>
        <v>187.5</v>
      </c>
      <c r="M5" s="72">
        <v>400</v>
      </c>
      <c r="N5" s="72">
        <v>100</v>
      </c>
      <c r="O5" s="72">
        <v>100</v>
      </c>
      <c r="P5" s="72">
        <v>200</v>
      </c>
      <c r="Q5" s="72">
        <v>200</v>
      </c>
      <c r="R5" s="72">
        <v>100</v>
      </c>
      <c r="S5" s="72">
        <v>100</v>
      </c>
      <c r="T5" s="72">
        <v>100</v>
      </c>
      <c r="U5" s="72">
        <v>200</v>
      </c>
      <c r="V5" s="74">
        <v>100</v>
      </c>
    </row>
    <row r="6" spans="2:22" s="16" customFormat="1" ht="15.75" thickBot="1">
      <c r="B6" s="33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2:22" s="16" customFormat="1">
      <c r="B7" s="96" t="s">
        <v>46</v>
      </c>
      <c r="C7" s="101"/>
      <c r="D7" s="101"/>
      <c r="E7" s="101"/>
      <c r="F7" s="97"/>
      <c r="G7" s="113"/>
      <c r="H7" s="128" t="s">
        <v>121</v>
      </c>
      <c r="I7" s="129"/>
      <c r="J7" s="46"/>
      <c r="K7" s="128" t="s">
        <v>150</v>
      </c>
      <c r="L7" s="129"/>
      <c r="M7" s="130" t="s">
        <v>166</v>
      </c>
      <c r="N7" s="128" t="s">
        <v>154</v>
      </c>
      <c r="O7" s="129"/>
      <c r="P7" s="46"/>
      <c r="Q7" s="102" t="s">
        <v>159</v>
      </c>
      <c r="R7" s="103"/>
    </row>
    <row r="8" spans="2:22">
      <c r="B8" s="104" t="str">
        <f>C9</f>
        <v>Johnny</v>
      </c>
      <c r="C8" s="95"/>
      <c r="D8" s="27"/>
      <c r="E8" s="95" t="str">
        <f>F9</f>
        <v>Ellis</v>
      </c>
      <c r="F8" s="105"/>
      <c r="G8" s="33"/>
      <c r="H8" s="75" t="s">
        <v>5</v>
      </c>
      <c r="I8" s="76">
        <v>400000</v>
      </c>
      <c r="J8" s="16"/>
      <c r="K8" s="75" t="s">
        <v>5</v>
      </c>
      <c r="L8" s="76">
        <v>0</v>
      </c>
      <c r="M8" s="130"/>
      <c r="N8" s="75" t="s">
        <v>155</v>
      </c>
      <c r="O8" s="76">
        <v>0</v>
      </c>
      <c r="P8" s="16"/>
      <c r="Q8" s="75" t="s">
        <v>157</v>
      </c>
      <c r="R8" s="76">
        <v>1380</v>
      </c>
    </row>
    <row r="9" spans="2:22">
      <c r="B9" s="51" t="s">
        <v>54</v>
      </c>
      <c r="C9" s="54" t="s">
        <v>128</v>
      </c>
      <c r="D9" s="27"/>
      <c r="E9" s="44" t="str">
        <f>B9</f>
        <v>Name</v>
      </c>
      <c r="F9" s="58" t="s">
        <v>129</v>
      </c>
      <c r="G9" s="114"/>
      <c r="H9" s="77" t="s">
        <v>6</v>
      </c>
      <c r="I9" s="78">
        <v>0.04</v>
      </c>
      <c r="J9" s="16"/>
      <c r="K9" s="77" t="s">
        <v>6</v>
      </c>
      <c r="L9" s="78">
        <v>0.04</v>
      </c>
      <c r="M9" s="130"/>
      <c r="N9" s="77" t="s">
        <v>6</v>
      </c>
      <c r="O9" s="78">
        <v>0.03</v>
      </c>
      <c r="P9" s="16"/>
      <c r="Q9" s="77" t="s">
        <v>158</v>
      </c>
      <c r="R9" s="78">
        <v>0.02</v>
      </c>
    </row>
    <row r="10" spans="2:22">
      <c r="B10" s="51" t="s">
        <v>46</v>
      </c>
      <c r="C10" s="55">
        <v>80000</v>
      </c>
      <c r="D10" s="27"/>
      <c r="E10" s="44" t="str">
        <f t="shared" ref="E10:E15" si="0">B10</f>
        <v>Income</v>
      </c>
      <c r="F10" s="59">
        <v>0</v>
      </c>
      <c r="G10" s="115"/>
      <c r="H10" s="77" t="s">
        <v>122</v>
      </c>
      <c r="I10" s="79">
        <v>30</v>
      </c>
      <c r="J10" s="16"/>
      <c r="K10" s="77" t="s">
        <v>151</v>
      </c>
      <c r="L10" s="79">
        <v>3</v>
      </c>
      <c r="M10" s="130"/>
      <c r="N10" s="77" t="s">
        <v>151</v>
      </c>
      <c r="O10" s="79">
        <v>3</v>
      </c>
      <c r="P10" s="16"/>
      <c r="Q10" s="16"/>
    </row>
    <row r="11" spans="2:22" ht="30.75" thickBot="1">
      <c r="B11" s="51" t="s">
        <v>161</v>
      </c>
      <c r="C11" s="55">
        <v>0</v>
      </c>
      <c r="D11" s="27"/>
      <c r="E11" s="45" t="str">
        <f t="shared" si="0"/>
        <v>Pre-Tax Savings ($)</v>
      </c>
      <c r="F11" s="59"/>
      <c r="G11" s="115"/>
      <c r="H11" s="69" t="s">
        <v>125</v>
      </c>
      <c r="I11" s="80">
        <v>30</v>
      </c>
      <c r="J11" s="16"/>
      <c r="K11" s="81" t="s">
        <v>123</v>
      </c>
      <c r="L11" s="91">
        <f>'Student Loans'!K3</f>
        <v>0</v>
      </c>
      <c r="M11" s="130"/>
      <c r="N11" s="81" t="s">
        <v>123</v>
      </c>
      <c r="O11" s="91">
        <f>'Credit Card Debt'!K3</f>
        <v>0</v>
      </c>
      <c r="P11" s="16"/>
      <c r="Q11" s="16"/>
    </row>
    <row r="12" spans="2:22" s="16" customFormat="1" ht="30">
      <c r="B12" s="51" t="s">
        <v>162</v>
      </c>
      <c r="C12" s="56">
        <v>0</v>
      </c>
      <c r="D12" s="27"/>
      <c r="E12" s="45" t="str">
        <f t="shared" si="0"/>
        <v>Pre-Tax Savings (% of income)</v>
      </c>
      <c r="F12" s="60"/>
      <c r="G12" s="116"/>
      <c r="H12" s="69" t="s">
        <v>126</v>
      </c>
      <c r="I12" s="76">
        <v>6000</v>
      </c>
      <c r="K12" s="126"/>
      <c r="L12" s="127"/>
    </row>
    <row r="13" spans="2:22" s="16" customFormat="1" ht="30">
      <c r="B13" s="51" t="s">
        <v>164</v>
      </c>
      <c r="C13" s="55">
        <v>0</v>
      </c>
      <c r="D13" s="92"/>
      <c r="E13" s="45" t="str">
        <f t="shared" si="0"/>
        <v>Post-Tax Savings, IRA ($)</v>
      </c>
      <c r="F13" s="55"/>
      <c r="G13" s="116"/>
      <c r="H13" s="69" t="s">
        <v>127</v>
      </c>
      <c r="I13" s="76">
        <v>1200</v>
      </c>
      <c r="K13" s="126"/>
      <c r="L13" s="127"/>
    </row>
    <row r="14" spans="2:22" s="16" customFormat="1" ht="45.75" thickBot="1">
      <c r="B14" s="51" t="s">
        <v>165</v>
      </c>
      <c r="C14" s="56"/>
      <c r="D14" s="92"/>
      <c r="E14" s="45" t="str">
        <f t="shared" si="0"/>
        <v>Post-Tax Savings, IRA (% of income)</v>
      </c>
      <c r="F14" s="56"/>
      <c r="G14" s="116"/>
      <c r="H14" s="81" t="s">
        <v>123</v>
      </c>
      <c r="I14" s="91">
        <f>'Mortgage Sheet'!K3</f>
        <v>2509.6611818618112</v>
      </c>
      <c r="K14" s="126"/>
      <c r="L14" s="127"/>
    </row>
    <row r="15" spans="2:22">
      <c r="B15" s="51" t="s">
        <v>56</v>
      </c>
      <c r="C15" s="55">
        <v>3000</v>
      </c>
      <c r="D15" s="27"/>
      <c r="E15" s="44" t="str">
        <f t="shared" si="0"/>
        <v>Bonuses ($)</v>
      </c>
      <c r="F15" s="59"/>
      <c r="G15" s="115"/>
      <c r="I15" s="16"/>
      <c r="J15" s="16"/>
      <c r="K15" s="16"/>
      <c r="L15" s="16"/>
      <c r="M15" s="16"/>
      <c r="N15" s="16"/>
      <c r="O15" s="16"/>
      <c r="P15" s="16"/>
      <c r="Q15" s="16"/>
    </row>
    <row r="16" spans="2:22" s="16" customFormat="1" ht="30">
      <c r="B16" s="51" t="s">
        <v>57</v>
      </c>
      <c r="C16" s="56"/>
      <c r="D16" s="27"/>
      <c r="E16" s="45" t="str">
        <f>B16</f>
        <v>Bonuses (% of income)</v>
      </c>
      <c r="F16" s="60"/>
      <c r="G16" s="116"/>
      <c r="K16" s="8"/>
      <c r="L16" s="8"/>
    </row>
    <row r="17" spans="2:17" s="8" customFormat="1">
      <c r="B17" s="51" t="s">
        <v>55</v>
      </c>
      <c r="C17" s="56">
        <v>0.04</v>
      </c>
      <c r="D17" s="30"/>
      <c r="E17" s="45" t="str">
        <f>B17</f>
        <v>Yearly Raise (%)</v>
      </c>
      <c r="F17" s="60">
        <v>0.04</v>
      </c>
      <c r="G17" s="116"/>
      <c r="K17" s="16"/>
      <c r="L17" s="16"/>
    </row>
    <row r="18" spans="2:17" ht="30.75" thickBot="1">
      <c r="B18" s="52" t="str">
        <f>CONCATENATE("Years ",C9, " will work")</f>
        <v>Years Johnny will work</v>
      </c>
      <c r="C18" s="57">
        <v>40</v>
      </c>
      <c r="D18" s="50"/>
      <c r="E18" s="53" t="str">
        <f>CONCATENATE("Years ",F9, " will work")</f>
        <v>Years Ellis will work</v>
      </c>
      <c r="F18" s="61">
        <v>3</v>
      </c>
      <c r="G18" s="114"/>
      <c r="I18" s="16"/>
      <c r="J18" s="16"/>
      <c r="K18" s="16"/>
      <c r="L18" s="16"/>
      <c r="M18" s="16"/>
      <c r="N18" s="16"/>
      <c r="O18" s="16"/>
      <c r="P18" s="16"/>
      <c r="Q18" s="16"/>
    </row>
    <row r="19" spans="2:17" ht="15.75" thickBot="1">
      <c r="G19" s="117"/>
      <c r="I19" s="16"/>
      <c r="J19" s="16"/>
      <c r="K19" s="16"/>
      <c r="L19" s="16"/>
      <c r="M19" s="16"/>
      <c r="N19" s="16"/>
      <c r="O19" s="16"/>
      <c r="P19" s="16"/>
      <c r="Q19" s="16"/>
    </row>
    <row r="20" spans="2:17">
      <c r="B20" s="96" t="s">
        <v>58</v>
      </c>
      <c r="C20" s="97"/>
      <c r="E20" s="96" t="s">
        <v>110</v>
      </c>
      <c r="F20" s="97"/>
      <c r="G20" s="118"/>
      <c r="H20" s="93" t="s">
        <v>48</v>
      </c>
      <c r="I20" s="94"/>
      <c r="J20" s="16"/>
      <c r="K20" s="16"/>
      <c r="L20" s="16"/>
      <c r="M20" s="16"/>
      <c r="N20" s="16"/>
      <c r="O20" s="16"/>
      <c r="P20" s="16"/>
      <c r="Q20" s="16"/>
    </row>
    <row r="21" spans="2:17">
      <c r="B21" s="51" t="s">
        <v>60</v>
      </c>
      <c r="C21" s="58">
        <v>0</v>
      </c>
      <c r="E21" s="69" t="s">
        <v>111</v>
      </c>
      <c r="F21" s="59">
        <v>300</v>
      </c>
      <c r="G21" s="115"/>
      <c r="H21" s="83" t="s">
        <v>118</v>
      </c>
      <c r="I21" s="58">
        <v>15000</v>
      </c>
      <c r="J21" s="16"/>
      <c r="K21" s="16"/>
      <c r="L21" s="16"/>
      <c r="M21" s="16"/>
      <c r="N21" s="16"/>
      <c r="O21" s="16"/>
      <c r="P21" s="16"/>
      <c r="Q21" s="16"/>
    </row>
    <row r="22" spans="2:17" ht="30">
      <c r="B22" s="51" t="s">
        <v>59</v>
      </c>
      <c r="C22" s="58">
        <v>0</v>
      </c>
      <c r="E22" s="69" t="s">
        <v>112</v>
      </c>
      <c r="F22" s="80">
        <v>2020</v>
      </c>
      <c r="G22" s="119"/>
      <c r="H22" s="83" t="s">
        <v>116</v>
      </c>
      <c r="I22" s="84">
        <v>3</v>
      </c>
      <c r="J22" s="16"/>
      <c r="K22" s="16"/>
      <c r="L22" s="16"/>
      <c r="M22" s="16"/>
      <c r="N22" s="16"/>
      <c r="O22" s="16"/>
      <c r="P22" s="16"/>
      <c r="Q22" s="16"/>
    </row>
    <row r="23" spans="2:17">
      <c r="B23" s="51" t="s">
        <v>61</v>
      </c>
      <c r="C23" s="58"/>
      <c r="E23" s="69" t="s">
        <v>113</v>
      </c>
      <c r="F23" s="80">
        <v>250</v>
      </c>
      <c r="G23" s="119"/>
      <c r="H23" s="83" t="s">
        <v>117</v>
      </c>
      <c r="I23" s="58">
        <v>20</v>
      </c>
      <c r="J23" s="16"/>
      <c r="K23" s="16"/>
      <c r="L23" s="16"/>
      <c r="M23" s="16"/>
      <c r="N23" s="16"/>
      <c r="O23" s="16"/>
      <c r="P23" s="16"/>
      <c r="Q23" s="16"/>
    </row>
    <row r="24" spans="2:17" ht="30.75" thickBot="1">
      <c r="B24" s="52" t="s">
        <v>62</v>
      </c>
      <c r="C24" s="61"/>
      <c r="E24" s="81" t="s">
        <v>114</v>
      </c>
      <c r="F24" s="82">
        <v>2022</v>
      </c>
      <c r="G24" s="119"/>
      <c r="H24" s="83" t="s">
        <v>119</v>
      </c>
      <c r="I24" s="84">
        <f>I22*(I21/I23)</f>
        <v>2250</v>
      </c>
      <c r="J24" s="16"/>
      <c r="K24" s="16"/>
      <c r="L24" s="16"/>
      <c r="M24" s="16"/>
      <c r="N24" s="16"/>
      <c r="O24" s="16"/>
      <c r="P24" s="16"/>
      <c r="Q24" s="16"/>
    </row>
    <row r="25" spans="2:17" ht="15.75" thickBot="1">
      <c r="G25" s="117"/>
      <c r="H25" s="85" t="s">
        <v>120</v>
      </c>
      <c r="I25" s="86">
        <f>I24/12</f>
        <v>187.5</v>
      </c>
      <c r="J25" s="16"/>
      <c r="K25" s="16"/>
      <c r="L25" s="16"/>
      <c r="M25" s="16"/>
      <c r="N25" s="16"/>
      <c r="O25" s="16"/>
      <c r="P25" s="16"/>
      <c r="Q25" s="16"/>
    </row>
    <row r="26" spans="2:17">
      <c r="B26" s="95" t="s">
        <v>66</v>
      </c>
      <c r="C26" s="95"/>
      <c r="E26" s="95" t="s">
        <v>115</v>
      </c>
      <c r="F26" s="95"/>
      <c r="G26" s="114"/>
      <c r="H26" s="114"/>
    </row>
    <row r="27" spans="2:17">
      <c r="B27" s="30">
        <f>C2</f>
        <v>2016</v>
      </c>
      <c r="C27" s="27">
        <f>IF(AND(B27&gt;=$C$21,$C$21&gt;0),1,0)+IF(AND(B27&gt;=$C$22,$C$22&gt;0),1,0)+IF(AND(B27&gt;=$C$23,$C$23&gt;0),1,0)++IF(AND(B27&gt;=$C$24,$C$24&gt;0),1,0)</f>
        <v>0</v>
      </c>
      <c r="E27" s="27">
        <f>B27</f>
        <v>2016</v>
      </c>
      <c r="F27" s="28">
        <f>IF(AND(E27&lt;=$F$22,$F$22&gt;0),$F$21,0)+IF(AND(E27&lt;=$F$24,$F$24&gt;0),$F$23,0)</f>
        <v>550</v>
      </c>
      <c r="G27" s="115"/>
      <c r="H27" s="115"/>
    </row>
    <row r="28" spans="2:17">
      <c r="B28" s="30">
        <f>B27+1</f>
        <v>2017</v>
      </c>
      <c r="C28" s="27">
        <f t="shared" ref="C28:C56" si="1">IF(AND(B28&gt;=$C$21,$C$21&gt;0),1,0)+IF(AND(B28&gt;=$C$22,$C$22&gt;0),1,0)+IF(AND(B28&gt;=$C$23,$C$23&gt;0),1,0)++IF(AND(B28&gt;=$C$24,$C$24&gt;0),1,0)</f>
        <v>0</v>
      </c>
      <c r="E28" s="27">
        <f t="shared" ref="E28:E56" si="2">B28</f>
        <v>2017</v>
      </c>
      <c r="F28" s="28">
        <f t="shared" ref="F28:F56" si="3">IF(AND(E28&lt;=$F$22,$F$22&gt;0),$F$21,0)+IF(AND(E28&lt;=$F$24,$F$24&gt;0),$F$23,0)</f>
        <v>550</v>
      </c>
      <c r="G28" s="115"/>
      <c r="H28" s="115"/>
    </row>
    <row r="29" spans="2:17">
      <c r="B29" s="30">
        <f t="shared" ref="B29:B56" si="4">B28+1</f>
        <v>2018</v>
      </c>
      <c r="C29" s="27">
        <f t="shared" si="1"/>
        <v>0</v>
      </c>
      <c r="E29" s="27">
        <f t="shared" si="2"/>
        <v>2018</v>
      </c>
      <c r="F29" s="28">
        <f t="shared" si="3"/>
        <v>550</v>
      </c>
      <c r="G29" s="115"/>
      <c r="H29" s="115"/>
    </row>
    <row r="30" spans="2:17">
      <c r="B30" s="30">
        <f t="shared" si="4"/>
        <v>2019</v>
      </c>
      <c r="C30" s="27">
        <f t="shared" si="1"/>
        <v>0</v>
      </c>
      <c r="E30" s="27">
        <f t="shared" si="2"/>
        <v>2019</v>
      </c>
      <c r="F30" s="28">
        <f t="shared" si="3"/>
        <v>550</v>
      </c>
      <c r="G30" s="115"/>
      <c r="H30" s="115"/>
    </row>
    <row r="31" spans="2:17">
      <c r="B31" s="30">
        <f t="shared" si="4"/>
        <v>2020</v>
      </c>
      <c r="C31" s="27">
        <f t="shared" si="1"/>
        <v>0</v>
      </c>
      <c r="E31" s="27">
        <f t="shared" si="2"/>
        <v>2020</v>
      </c>
      <c r="F31" s="28">
        <f t="shared" si="3"/>
        <v>550</v>
      </c>
      <c r="G31" s="115"/>
      <c r="H31" s="115"/>
    </row>
    <row r="32" spans="2:17">
      <c r="B32" s="30">
        <f t="shared" si="4"/>
        <v>2021</v>
      </c>
      <c r="C32" s="27">
        <f t="shared" si="1"/>
        <v>0</v>
      </c>
      <c r="E32" s="27">
        <f t="shared" si="2"/>
        <v>2021</v>
      </c>
      <c r="F32" s="28">
        <f t="shared" si="3"/>
        <v>250</v>
      </c>
      <c r="G32" s="115"/>
      <c r="H32" s="115"/>
    </row>
    <row r="33" spans="2:8">
      <c r="B33" s="30">
        <f t="shared" si="4"/>
        <v>2022</v>
      </c>
      <c r="C33" s="27">
        <f t="shared" si="1"/>
        <v>0</v>
      </c>
      <c r="E33" s="27">
        <f t="shared" si="2"/>
        <v>2022</v>
      </c>
      <c r="F33" s="28">
        <f t="shared" si="3"/>
        <v>250</v>
      </c>
      <c r="G33" s="115"/>
      <c r="H33" s="115"/>
    </row>
    <row r="34" spans="2:8">
      <c r="B34" s="30">
        <f t="shared" si="4"/>
        <v>2023</v>
      </c>
      <c r="C34" s="27">
        <f t="shared" si="1"/>
        <v>0</v>
      </c>
      <c r="E34" s="27">
        <f t="shared" si="2"/>
        <v>2023</v>
      </c>
      <c r="F34" s="28">
        <f t="shared" si="3"/>
        <v>0</v>
      </c>
      <c r="G34" s="46"/>
      <c r="H34" s="46"/>
    </row>
    <row r="35" spans="2:8">
      <c r="B35" s="30">
        <f t="shared" si="4"/>
        <v>2024</v>
      </c>
      <c r="C35" s="27">
        <f t="shared" si="1"/>
        <v>0</v>
      </c>
      <c r="E35" s="27">
        <f t="shared" si="2"/>
        <v>2024</v>
      </c>
      <c r="F35" s="28">
        <f t="shared" si="3"/>
        <v>0</v>
      </c>
      <c r="G35" s="46"/>
      <c r="H35" s="46"/>
    </row>
    <row r="36" spans="2:8">
      <c r="B36" s="30">
        <f t="shared" si="4"/>
        <v>2025</v>
      </c>
      <c r="C36" s="27">
        <f t="shared" si="1"/>
        <v>0</v>
      </c>
      <c r="E36" s="27">
        <f t="shared" si="2"/>
        <v>2025</v>
      </c>
      <c r="F36" s="28">
        <f t="shared" si="3"/>
        <v>0</v>
      </c>
      <c r="G36" s="46"/>
      <c r="H36" s="46"/>
    </row>
    <row r="37" spans="2:8">
      <c r="B37" s="30">
        <f t="shared" si="4"/>
        <v>2026</v>
      </c>
      <c r="C37" s="27">
        <f t="shared" si="1"/>
        <v>0</v>
      </c>
      <c r="E37" s="27">
        <f t="shared" si="2"/>
        <v>2026</v>
      </c>
      <c r="F37" s="28">
        <f t="shared" si="3"/>
        <v>0</v>
      </c>
      <c r="G37" s="46"/>
      <c r="H37" s="46"/>
    </row>
    <row r="38" spans="2:8">
      <c r="B38" s="30">
        <f t="shared" si="4"/>
        <v>2027</v>
      </c>
      <c r="C38" s="27">
        <f t="shared" si="1"/>
        <v>0</v>
      </c>
      <c r="E38" s="27">
        <f t="shared" si="2"/>
        <v>2027</v>
      </c>
      <c r="F38" s="28">
        <f t="shared" si="3"/>
        <v>0</v>
      </c>
      <c r="G38" s="46"/>
      <c r="H38" s="46"/>
    </row>
    <row r="39" spans="2:8">
      <c r="B39" s="30">
        <f t="shared" si="4"/>
        <v>2028</v>
      </c>
      <c r="C39" s="27">
        <f t="shared" si="1"/>
        <v>0</v>
      </c>
      <c r="E39" s="27">
        <f t="shared" si="2"/>
        <v>2028</v>
      </c>
      <c r="F39" s="28">
        <f t="shared" si="3"/>
        <v>0</v>
      </c>
      <c r="G39" s="46"/>
      <c r="H39" s="46"/>
    </row>
    <row r="40" spans="2:8">
      <c r="B40" s="30">
        <f t="shared" si="4"/>
        <v>2029</v>
      </c>
      <c r="C40" s="27">
        <f t="shared" si="1"/>
        <v>0</v>
      </c>
      <c r="E40" s="27">
        <f t="shared" si="2"/>
        <v>2029</v>
      </c>
      <c r="F40" s="28">
        <f t="shared" si="3"/>
        <v>0</v>
      </c>
      <c r="G40" s="46"/>
      <c r="H40" s="46"/>
    </row>
    <row r="41" spans="2:8">
      <c r="B41" s="30">
        <f t="shared" si="4"/>
        <v>2030</v>
      </c>
      <c r="C41" s="27">
        <f t="shared" si="1"/>
        <v>0</v>
      </c>
      <c r="E41" s="27">
        <f t="shared" si="2"/>
        <v>2030</v>
      </c>
      <c r="F41" s="28">
        <f t="shared" si="3"/>
        <v>0</v>
      </c>
      <c r="G41" s="46"/>
      <c r="H41" s="46"/>
    </row>
    <row r="42" spans="2:8">
      <c r="B42" s="30">
        <f t="shared" si="4"/>
        <v>2031</v>
      </c>
      <c r="C42" s="27">
        <f t="shared" si="1"/>
        <v>0</v>
      </c>
      <c r="E42" s="27">
        <f t="shared" si="2"/>
        <v>2031</v>
      </c>
      <c r="F42" s="28">
        <f t="shared" si="3"/>
        <v>0</v>
      </c>
      <c r="G42" s="46"/>
      <c r="H42" s="46"/>
    </row>
    <row r="43" spans="2:8">
      <c r="B43" s="30">
        <f t="shared" si="4"/>
        <v>2032</v>
      </c>
      <c r="C43" s="27">
        <f t="shared" si="1"/>
        <v>0</v>
      </c>
      <c r="E43" s="27">
        <f t="shared" si="2"/>
        <v>2032</v>
      </c>
      <c r="F43" s="28">
        <f t="shared" si="3"/>
        <v>0</v>
      </c>
      <c r="G43" s="46"/>
      <c r="H43" s="46"/>
    </row>
    <row r="44" spans="2:8">
      <c r="B44" s="30">
        <f t="shared" si="4"/>
        <v>2033</v>
      </c>
      <c r="C44" s="27">
        <f t="shared" si="1"/>
        <v>0</v>
      </c>
      <c r="E44" s="27">
        <f t="shared" si="2"/>
        <v>2033</v>
      </c>
      <c r="F44" s="28">
        <f t="shared" si="3"/>
        <v>0</v>
      </c>
      <c r="G44" s="46"/>
      <c r="H44" s="46"/>
    </row>
    <row r="45" spans="2:8">
      <c r="B45" s="30">
        <f t="shared" si="4"/>
        <v>2034</v>
      </c>
      <c r="C45" s="27">
        <f t="shared" si="1"/>
        <v>0</v>
      </c>
      <c r="E45" s="27">
        <f t="shared" si="2"/>
        <v>2034</v>
      </c>
      <c r="F45" s="28">
        <f t="shared" si="3"/>
        <v>0</v>
      </c>
      <c r="G45" s="46"/>
      <c r="H45" s="46"/>
    </row>
    <row r="46" spans="2:8">
      <c r="B46" s="30">
        <f t="shared" si="4"/>
        <v>2035</v>
      </c>
      <c r="C46" s="27">
        <f t="shared" si="1"/>
        <v>0</v>
      </c>
      <c r="E46" s="27">
        <f t="shared" si="2"/>
        <v>2035</v>
      </c>
      <c r="F46" s="28">
        <f t="shared" si="3"/>
        <v>0</v>
      </c>
      <c r="G46" s="46"/>
      <c r="H46" s="46"/>
    </row>
    <row r="47" spans="2:8">
      <c r="B47" s="30">
        <f t="shared" si="4"/>
        <v>2036</v>
      </c>
      <c r="C47" s="27">
        <f t="shared" si="1"/>
        <v>0</v>
      </c>
      <c r="E47" s="27">
        <f t="shared" si="2"/>
        <v>2036</v>
      </c>
      <c r="F47" s="28">
        <f t="shared" si="3"/>
        <v>0</v>
      </c>
      <c r="G47" s="46"/>
      <c r="H47" s="46"/>
    </row>
    <row r="48" spans="2:8">
      <c r="B48" s="30">
        <f t="shared" si="4"/>
        <v>2037</v>
      </c>
      <c r="C48" s="27">
        <f t="shared" si="1"/>
        <v>0</v>
      </c>
      <c r="E48" s="27">
        <f t="shared" si="2"/>
        <v>2037</v>
      </c>
      <c r="F48" s="28">
        <f t="shared" si="3"/>
        <v>0</v>
      </c>
      <c r="G48" s="46"/>
      <c r="H48" s="46"/>
    </row>
    <row r="49" spans="2:8">
      <c r="B49" s="30">
        <f t="shared" si="4"/>
        <v>2038</v>
      </c>
      <c r="C49" s="27">
        <f t="shared" si="1"/>
        <v>0</v>
      </c>
      <c r="E49" s="27">
        <f t="shared" si="2"/>
        <v>2038</v>
      </c>
      <c r="F49" s="28">
        <f t="shared" si="3"/>
        <v>0</v>
      </c>
      <c r="G49" s="46"/>
      <c r="H49" s="46"/>
    </row>
    <row r="50" spans="2:8">
      <c r="B50" s="30">
        <f t="shared" si="4"/>
        <v>2039</v>
      </c>
      <c r="C50" s="27">
        <f t="shared" si="1"/>
        <v>0</v>
      </c>
      <c r="E50" s="27">
        <f t="shared" si="2"/>
        <v>2039</v>
      </c>
      <c r="F50" s="28">
        <f t="shared" si="3"/>
        <v>0</v>
      </c>
      <c r="G50" s="46"/>
      <c r="H50" s="46"/>
    </row>
    <row r="51" spans="2:8">
      <c r="B51" s="30">
        <f t="shared" si="4"/>
        <v>2040</v>
      </c>
      <c r="C51" s="27">
        <f t="shared" si="1"/>
        <v>0</v>
      </c>
      <c r="E51" s="27">
        <f t="shared" si="2"/>
        <v>2040</v>
      </c>
      <c r="F51" s="28">
        <f t="shared" si="3"/>
        <v>0</v>
      </c>
      <c r="G51" s="46"/>
      <c r="H51" s="46"/>
    </row>
    <row r="52" spans="2:8">
      <c r="B52" s="30">
        <f t="shared" si="4"/>
        <v>2041</v>
      </c>
      <c r="C52" s="27">
        <f t="shared" si="1"/>
        <v>0</v>
      </c>
      <c r="E52" s="27">
        <f t="shared" si="2"/>
        <v>2041</v>
      </c>
      <c r="F52" s="28">
        <f t="shared" si="3"/>
        <v>0</v>
      </c>
      <c r="G52" s="46"/>
      <c r="H52" s="46"/>
    </row>
    <row r="53" spans="2:8">
      <c r="B53" s="30">
        <f t="shared" si="4"/>
        <v>2042</v>
      </c>
      <c r="C53" s="27">
        <f t="shared" si="1"/>
        <v>0</v>
      </c>
      <c r="E53" s="27">
        <f t="shared" si="2"/>
        <v>2042</v>
      </c>
      <c r="F53" s="28">
        <f t="shared" si="3"/>
        <v>0</v>
      </c>
      <c r="G53" s="46"/>
      <c r="H53" s="46"/>
    </row>
    <row r="54" spans="2:8">
      <c r="B54" s="30">
        <f t="shared" si="4"/>
        <v>2043</v>
      </c>
      <c r="C54" s="27">
        <f t="shared" si="1"/>
        <v>0</v>
      </c>
      <c r="E54" s="27">
        <f t="shared" si="2"/>
        <v>2043</v>
      </c>
      <c r="F54" s="28">
        <f t="shared" si="3"/>
        <v>0</v>
      </c>
      <c r="G54" s="46"/>
      <c r="H54" s="46"/>
    </row>
    <row r="55" spans="2:8">
      <c r="B55" s="30">
        <f t="shared" si="4"/>
        <v>2044</v>
      </c>
      <c r="C55" s="27">
        <f t="shared" si="1"/>
        <v>0</v>
      </c>
      <c r="E55" s="27">
        <f t="shared" si="2"/>
        <v>2044</v>
      </c>
      <c r="F55" s="28">
        <f t="shared" si="3"/>
        <v>0</v>
      </c>
      <c r="G55" s="46"/>
      <c r="H55" s="46"/>
    </row>
    <row r="56" spans="2:8">
      <c r="B56" s="30">
        <f t="shared" si="4"/>
        <v>2045</v>
      </c>
      <c r="C56" s="27">
        <f t="shared" si="1"/>
        <v>0</v>
      </c>
      <c r="E56" s="27">
        <f t="shared" si="2"/>
        <v>2045</v>
      </c>
      <c r="F56" s="28">
        <f t="shared" si="3"/>
        <v>0</v>
      </c>
      <c r="G56" s="46"/>
      <c r="H56" s="46"/>
    </row>
  </sheetData>
  <mergeCells count="13">
    <mergeCell ref="K7:L7"/>
    <mergeCell ref="N7:O7"/>
    <mergeCell ref="M7:M11"/>
    <mergeCell ref="B26:C26"/>
    <mergeCell ref="E20:F20"/>
    <mergeCell ref="E26:F26"/>
    <mergeCell ref="B7:F7"/>
    <mergeCell ref="B8:C8"/>
    <mergeCell ref="E8:F8"/>
    <mergeCell ref="B20:C20"/>
    <mergeCell ref="E3:V3"/>
    <mergeCell ref="Q7:R7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7"/>
  <sheetViews>
    <sheetView zoomScale="70" zoomScaleNormal="70" workbookViewId="0">
      <selection activeCell="E2" sqref="E2"/>
    </sheetView>
  </sheetViews>
  <sheetFormatPr defaultRowHeight="15"/>
  <cols>
    <col min="1" max="1" width="7.140625" bestFit="1" customWidth="1"/>
    <col min="2" max="2" width="10.5703125" bestFit="1" customWidth="1"/>
    <col min="3" max="3" width="10.7109375" bestFit="1" customWidth="1"/>
    <col min="4" max="4" width="11.5703125" bestFit="1" customWidth="1"/>
    <col min="5" max="5" width="10" bestFit="1" customWidth="1"/>
    <col min="6" max="7" width="10.7109375" bestFit="1" customWidth="1"/>
    <col min="8" max="8" width="11" style="16" customWidth="1"/>
    <col min="9" max="9" width="10.85546875" customWidth="1"/>
    <col min="10" max="10" width="10.42578125" customWidth="1"/>
    <col min="11" max="11" width="10.7109375" customWidth="1"/>
    <col min="12" max="12" width="12.5703125" bestFit="1" customWidth="1"/>
    <col min="13" max="13" width="10.5703125" bestFit="1" customWidth="1"/>
    <col min="14" max="14" width="12.140625" customWidth="1"/>
    <col min="15" max="15" width="11.7109375" bestFit="1" customWidth="1"/>
    <col min="16" max="16" width="10.7109375" bestFit="1" customWidth="1"/>
    <col min="17" max="18" width="10.5703125" bestFit="1" customWidth="1"/>
    <col min="19" max="19" width="13" bestFit="1" customWidth="1"/>
    <col min="20" max="20" width="11" bestFit="1" customWidth="1"/>
    <col min="21" max="21" width="12.5703125" style="16" bestFit="1" customWidth="1"/>
    <col min="22" max="22" width="10.7109375" bestFit="1" customWidth="1"/>
    <col min="23" max="23" width="14.85546875" bestFit="1" customWidth="1"/>
    <col min="24" max="25" width="10.140625" bestFit="1" customWidth="1"/>
    <col min="26" max="26" width="8.140625" bestFit="1" customWidth="1"/>
    <col min="27" max="27" width="9.7109375" style="21" bestFit="1" customWidth="1"/>
    <col min="28" max="28" width="10.28515625" bestFit="1" customWidth="1"/>
  </cols>
  <sheetData>
    <row r="1" spans="1:28" s="8" customFormat="1" ht="60.75" thickBot="1">
      <c r="A1" s="26" t="str">
        <f>'Data Input'!B2</f>
        <v>Year</v>
      </c>
      <c r="B1" s="26" t="str">
        <f>CONCATENATE('Data Input'!C9, " ", 'Data Input'!B10)</f>
        <v>Johnny Income</v>
      </c>
      <c r="C1" s="26" t="s">
        <v>47</v>
      </c>
      <c r="D1" s="26" t="s">
        <v>19</v>
      </c>
      <c r="E1" s="26" t="str">
        <f>CONCATENATE('Data Input'!F9, " ", 'Data Input'!B10)</f>
        <v>Ellis Income</v>
      </c>
      <c r="F1" s="26" t="s">
        <v>12</v>
      </c>
      <c r="G1" s="26" t="s">
        <v>13</v>
      </c>
      <c r="H1" s="26" t="s">
        <v>91</v>
      </c>
      <c r="I1" s="26" t="s">
        <v>90</v>
      </c>
      <c r="J1" s="26" t="s">
        <v>14</v>
      </c>
      <c r="K1" s="26" t="s">
        <v>15</v>
      </c>
      <c r="L1" s="26" t="s">
        <v>53</v>
      </c>
      <c r="M1" s="26" t="s">
        <v>16</v>
      </c>
      <c r="N1" s="26" t="s">
        <v>17</v>
      </c>
      <c r="O1" s="26" t="s">
        <v>18</v>
      </c>
      <c r="P1" s="26" t="s">
        <v>124</v>
      </c>
      <c r="Q1" s="26" t="s">
        <v>22</v>
      </c>
      <c r="R1" s="26" t="s">
        <v>23</v>
      </c>
      <c r="S1" s="26" t="s">
        <v>25</v>
      </c>
      <c r="T1" s="26" t="s">
        <v>24</v>
      </c>
      <c r="U1" s="26" t="s">
        <v>51</v>
      </c>
      <c r="V1" s="26" t="s">
        <v>26</v>
      </c>
      <c r="W1" s="26" t="s">
        <v>27</v>
      </c>
      <c r="AA1" s="31"/>
    </row>
    <row r="2" spans="1:28">
      <c r="A2" s="8">
        <f>'Data Input'!C2</f>
        <v>2016</v>
      </c>
      <c r="B2" s="11">
        <f>IF('Data Input'!$C$18+'Data Input'!$C$2&gt;Table1[[#This Row],[Column1]],('Data Input'!$C$10)*(1+'Data Input'!$C$17)^(Table1[[#This Row],[Column1]]-'Data Input'!$C$2),0)</f>
        <v>80000</v>
      </c>
      <c r="C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" s="11">
        <f>IF('Data Input'!$F$18+'Data Input'!$C$2&gt;Table1[[#This Row],[Column1]],('Data Input'!$F$10)*(1+'Data Input'!$F$17)^(Table1[[#This Row],[Column1]]-'Data Input'!$C$2),0)</f>
        <v>0</v>
      </c>
      <c r="F2" s="11">
        <f>Table1[[#This Row],[Column2]]+Table1[[#This Row],[Column4]]+Table1[[#This Row],[Column5]]-Table1[[#This Row],[Column3]]-Table1[[#This Row],[Column23]]</f>
        <v>74694</v>
      </c>
      <c r="G2" s="11">
        <f>Table1[[#This Row],[Column2]]+Table1[[#This Row],[Column4]]+Table1[[#This Row],[Column5]]-Table1[[#This Row],[Column3]]-Table1[[#This Row],[Column8]]</f>
        <v>62300</v>
      </c>
      <c r="H2" s="11">
        <f>IF(Table1[[#This Row],[Column1]]&lt;'Data Input'!$C$3,MAX('Tax Information'!$C$15+'Data Input'!C27*'Tax Information'!$C$5,Spending!P3+'Student Loans'!B6),MAX('Tax Information'!$C$15+'Data Input'!C27*'Tax Information'!$C$5,'Mortgage Sheet'!C6+Spending!P3+'Student Loans'!C6))+'Tax Information'!$C$13*('Data Input'!C27+2)</f>
        <v>8306</v>
      </c>
      <c r="I2" s="11">
        <f>IF(Table1[[#This Row],[Column1]]&lt;'Data Input'!$C$3,MAX('Tax Information'!$C$6+'Data Input'!C27*'Tax Information'!$C$5,Table1[[#This Row],[Column9]]+Spending!P3+'Student Loans'!C6),MAX('Tax Information'!$C$6+'Data Input'!C27*'Tax Information'!$C$5,'Mortgage Sheet'!C6+Table1[[#This Row],[Column9]]+Spending!P3+'Student Loans'!C6))+'Tax Information'!$C$4*('Data Input'!C27+2)</f>
        <v>20700</v>
      </c>
      <c r="J2" s="11">
        <f>'Tax Information'!E25</f>
        <v>2405.3599999999997</v>
      </c>
      <c r="K2" s="11">
        <f>'Tax Information'!C25</f>
        <v>8417.3499999999985</v>
      </c>
      <c r="L2" s="11">
        <f>(0.01+0.0765)*(Table1[[#This Row],[Column2]]+Table1[[#This Row],[Column4]]+Table1[[#This Row],[Column5]])</f>
        <v>7179.4999999999991</v>
      </c>
      <c r="M2" s="11">
        <f>(Table1[[#This Row],[Column2]]+Table1[[#This Row],[Column4]]+Table1[[#This Row],[Column5]])</f>
        <v>83000</v>
      </c>
      <c r="N2" s="11">
        <f>(Table1[[#This Row],[Column2]]+Table1[[#This Row],[Column4]]+Table1[[#This Row],[Column5]])-(Table1[[#This Row],[Column3]]+Table1[[#This Row],[Column9]]+Table1[[#This Row],[Column10]]+Table1[[#This Row],[Column11]])</f>
        <v>64997.79</v>
      </c>
      <c r="O2" s="12">
        <f>1-(Table1[[#This Row],[Column13]]/Table1[[#This Row],[Column12]])</f>
        <v>0.21689409638554213</v>
      </c>
      <c r="P2" s="11">
        <f>Table1[[#This Row],[Column3]]+MIN(5500,Table1[[#This Row],[Column2]]*'Data Input'!$C$14+Table1[[#This Row],[Column5]]*'Data Input'!$F$14+'Data Input'!$C$13+'Data Input'!$F$13)</f>
        <v>0</v>
      </c>
      <c r="Q2" s="11">
        <f>Table1[[#This Row],[Column12]]/12</f>
        <v>6916.666666666667</v>
      </c>
      <c r="R2" s="11">
        <f>Table1[[#This Row],[Column13]]/12</f>
        <v>5416.4825000000001</v>
      </c>
      <c r="S2" s="18">
        <f>Table1[[#This Row],[Column13]]/'Data Input'!$C$4</f>
        <v>2708.24125</v>
      </c>
      <c r="T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Sheet'!B6/12,'Mortgage Sheet'!$K$2))</f>
        <v>4036.4825000000001</v>
      </c>
      <c r="U2" s="18">
        <f>Spending!T3+12*(Table1[[#This Row],[Column17]]-Table1[[#This Row],[Column19]])</f>
        <v>54330</v>
      </c>
      <c r="V2" s="14">
        <f>Table1[[#This Row],[Column19]]-Spending!U3</f>
        <v>888.98250000000007</v>
      </c>
      <c r="W2" s="11">
        <f>'Data Input'!C5+12*Table1[[#This Row],[Column21]]</f>
        <v>65667.790000000008</v>
      </c>
      <c r="AB2" s="18"/>
    </row>
    <row r="3" spans="1:28">
      <c r="A3">
        <f>A2+1</f>
        <v>2017</v>
      </c>
      <c r="B3" s="11">
        <f>IF('Data Input'!$C$18+'Data Input'!$C$2&gt;Table1[[#This Row],[Column1]],('Data Input'!$C$10)*(1+'Data Input'!$C$17)^(Table1[[#This Row],[Column1]]-'Data Input'!$C$2),0)</f>
        <v>83200</v>
      </c>
      <c r="C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" s="11">
        <f>IF('Data Input'!$F$18+'Data Input'!$C$2&gt;Table1[[#This Row],[Column1]],('Data Input'!$F$10)*(1+'Data Input'!$F$17)^(Table1[[#This Row],[Column1]]-'Data Input'!$C$2),0)</f>
        <v>0</v>
      </c>
      <c r="F3" s="11">
        <f>Table1[[#This Row],[Column2]]+Table1[[#This Row],[Column4]]+Table1[[#This Row],[Column5]]-Table1[[#This Row],[Column3]]-Table1[[#This Row],[Column23]]</f>
        <v>77894</v>
      </c>
      <c r="G3" s="11">
        <f>Table1[[#This Row],[Column2]]+Table1[[#This Row],[Column4]]+Table1[[#This Row],[Column5]]-Table1[[#This Row],[Column3]]-Table1[[#This Row],[Column8]]</f>
        <v>65500</v>
      </c>
      <c r="H3" s="11">
        <f>IF(Table1[[#This Row],[Column1]]&lt;'Data Input'!$C$3,MAX('Tax Information'!$C$15+'Data Input'!C28*'Tax Information'!$C$5,Spending!P4+'Student Loans'!B7),MAX('Tax Information'!$C$15+'Data Input'!C28*'Tax Information'!$C$5,'Mortgage Sheet'!C7+Spending!P4+'Student Loans'!C7))+'Tax Information'!$C$13*('Data Input'!C28+2)</f>
        <v>8306</v>
      </c>
      <c r="I3" s="11">
        <f>IF(Table1[[#This Row],[Column1]]&lt;'Data Input'!$C$3,MAX('Tax Information'!$C$6+'Data Input'!C28*'Tax Information'!$C$5,Table1[[#This Row],[Column9]]+Spending!P4+'Student Loans'!C7),MAX('Tax Information'!$C$6+'Data Input'!C28*'Tax Information'!$C$5,'Mortgage Sheet'!C7+Table1[[#This Row],[Column9]]+Spending!P4+'Student Loans'!C7))+'Tax Information'!$C$4*('Data Input'!C28+2)</f>
        <v>20700</v>
      </c>
      <c r="J3" s="18">
        <f>'Tax Information'!E26</f>
        <v>2597.3599999999997</v>
      </c>
      <c r="K3" s="6">
        <f>'Tax Information'!C26</f>
        <v>8897.3499999999985</v>
      </c>
      <c r="L3" s="18">
        <f>(0.01+0.0765)*(Table1[[#This Row],[Column2]]+Table1[[#This Row],[Column4]]+Table1[[#This Row],[Column5]])</f>
        <v>7456.2999999999993</v>
      </c>
      <c r="M3" s="6">
        <f>(Table1[[#This Row],[Column2]]+Table1[[#This Row],[Column4]]+Table1[[#This Row],[Column5]])</f>
        <v>86200</v>
      </c>
      <c r="N3" s="6">
        <f>(Table1[[#This Row],[Column2]]+Table1[[#This Row],[Column4]]+Table1[[#This Row],[Column5]])-(Table1[[#This Row],[Column3]]+Table1[[#This Row],[Column9]]+Table1[[#This Row],[Column10]]+Table1[[#This Row],[Column11]])</f>
        <v>67248.990000000005</v>
      </c>
      <c r="O3" s="7">
        <f>1-(Table1[[#This Row],[Column13]]/Table1[[#This Row],[Column12]])</f>
        <v>0.21984930394431546</v>
      </c>
      <c r="P3" s="11">
        <f>Table1[[#This Row],[Column3]]+MIN(5500,Table1[[#This Row],[Column2]]*'Data Input'!$C$14+Table1[[#This Row],[Column5]]*'Data Input'!$F$14+'Data Input'!$C$13+'Data Input'!$F$13)+P2</f>
        <v>0</v>
      </c>
      <c r="Q3" s="6">
        <f>Table1[[#This Row],[Column12]]/12</f>
        <v>7183.333333333333</v>
      </c>
      <c r="R3" s="6">
        <f>Table1[[#This Row],[Column13]]/12</f>
        <v>5604.0825000000004</v>
      </c>
      <c r="S3" s="18">
        <f>Table1[[#This Row],[Column13]]/'Data Input'!$C$4</f>
        <v>2802.0412500000002</v>
      </c>
      <c r="T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Sheet'!B7/12,'Mortgage Sheet'!$K$2))</f>
        <v>4196.4825000000001</v>
      </c>
      <c r="U3" s="18">
        <f>Spending!T4+12*(Table1[[#This Row],[Column17]]-Table1[[#This Row],[Column19]])</f>
        <v>54661.200000000004</v>
      </c>
      <c r="V3" s="14">
        <f>Table1[[#This Row],[Column19]]-Spending!U4</f>
        <v>1048.9825000000001</v>
      </c>
      <c r="W3" s="6">
        <f>W2+12*Table1[[#This Row],[Column21]]</f>
        <v>78255.580000000016</v>
      </c>
      <c r="X3" s="18"/>
      <c r="Y3" s="18"/>
      <c r="AB3" s="18"/>
    </row>
    <row r="4" spans="1:28" s="16" customFormat="1">
      <c r="A4" s="16">
        <f t="shared" ref="A4:A41" si="0">A3+1</f>
        <v>2018</v>
      </c>
      <c r="B4" s="11">
        <f>IF('Data Input'!$C$18+'Data Input'!$C$2&gt;Table1[[#This Row],[Column1]],('Data Input'!$C$10)*(1+'Data Input'!$C$17)^(Table1[[#This Row],[Column1]]-'Data Input'!$C$2),0)</f>
        <v>86528.000000000015</v>
      </c>
      <c r="C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4" s="11">
        <f>IF('Data Input'!$F$18+'Data Input'!$C$2&gt;Table1[[#This Row],[Column1]],('Data Input'!$F$10)*(1+'Data Input'!$F$17)^(Table1[[#This Row],[Column1]]-'Data Input'!$C$2),0)</f>
        <v>0</v>
      </c>
      <c r="F4" s="11">
        <f>Table1[[#This Row],[Column2]]+Table1[[#This Row],[Column4]]+Table1[[#This Row],[Column5]]-Table1[[#This Row],[Column3]]-Table1[[#This Row],[Column23]]</f>
        <v>66709.981051321258</v>
      </c>
      <c r="G4" s="11">
        <f>Table1[[#This Row],[Column2]]+Table1[[#This Row],[Column4]]+Table1[[#This Row],[Column5]]-Table1[[#This Row],[Column3]]-Table1[[#This Row],[Column8]]</f>
        <v>56901.662188241986</v>
      </c>
      <c r="H4" s="11">
        <f>IF(Table1[[#This Row],[Column1]]&lt;'Data Input'!$C$3,MAX('Tax Information'!$C$15+'Data Input'!C29*'Tax Information'!$C$5,Spending!P5+'Student Loans'!B8),MAX('Tax Information'!$C$15+'Data Input'!C29*'Tax Information'!$C$5,'Mortgage Sheet'!C8+Spending!P5+'Student Loans'!C8))+'Tax Information'!$C$13*('Data Input'!C29+2)</f>
        <v>22818.018948678749</v>
      </c>
      <c r="I4" s="11">
        <f>IF(Table1[[#This Row],[Column1]]&lt;'Data Input'!$C$3,MAX('Tax Information'!$C$6+'Data Input'!C29*'Tax Information'!$C$5,Table1[[#This Row],[Column9]]+Spending!P5+'Student Loans'!C8),MAX('Tax Information'!$C$6+'Data Input'!C29*'Tax Information'!$C$5,'Mortgage Sheet'!C8+Table1[[#This Row],[Column9]]+Spending!P5+'Student Loans'!C8))+'Tax Information'!$C$4*('Data Input'!C29+2)</f>
        <v>32626.337811758025</v>
      </c>
      <c r="J4" s="6">
        <f>'Tax Information'!E27</f>
        <v>1926.3188630792754</v>
      </c>
      <c r="K4" s="6">
        <f>'Tax Information'!C27</f>
        <v>7607.5993282362979</v>
      </c>
      <c r="L4" s="18">
        <f>(0.01+0.0765)*(Table1[[#This Row],[Column2]]+Table1[[#This Row],[Column4]]+Table1[[#This Row],[Column5]])</f>
        <v>7744.1720000000005</v>
      </c>
      <c r="M4" s="6">
        <f>(Table1[[#This Row],[Column2]]+Table1[[#This Row],[Column4]]+Table1[[#This Row],[Column5]])</f>
        <v>89528.000000000015</v>
      </c>
      <c r="N4" s="18">
        <f>(Table1[[#This Row],[Column2]]+Table1[[#This Row],[Column4]]+Table1[[#This Row],[Column5]])-(Table1[[#This Row],[Column3]]+Table1[[#This Row],[Column9]]+Table1[[#This Row],[Column10]]+Table1[[#This Row],[Column11]])</f>
        <v>72249.909808684431</v>
      </c>
      <c r="O4" s="7">
        <f>1-(Table1[[#This Row],[Column13]]/Table1[[#This Row],[Column12]])</f>
        <v>0.19299091000933322</v>
      </c>
      <c r="P4" s="11">
        <f>Table1[[#This Row],[Column3]]+MIN(5500,Table1[[#This Row],[Column2]]*'Data Input'!$C$14+Table1[[#This Row],[Column5]]*'Data Input'!$F$14+'Data Input'!$C$13+'Data Input'!$F$13)+P3</f>
        <v>0</v>
      </c>
      <c r="Q4" s="6">
        <f>Table1[[#This Row],[Column12]]/12</f>
        <v>7460.6666666666679</v>
      </c>
      <c r="R4" s="6">
        <f>Table1[[#This Row],[Column13]]/12</f>
        <v>6020.8258173903696</v>
      </c>
      <c r="S4" s="18">
        <f>Table1[[#This Row],[Column13]]/'Data Input'!$C$4</f>
        <v>3010.4129086951848</v>
      </c>
      <c r="T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Sheet'!B8/12,'Mortgage Sheet'!$K$2))</f>
        <v>3511.1646355285579</v>
      </c>
      <c r="U4" s="18">
        <f>Spending!T5+12*(Table1[[#This Row],[Column17]]-Table1[[#This Row],[Column19]])</f>
        <v>67885.934182341734</v>
      </c>
      <c r="V4" s="13">
        <f>Table1[[#This Row],[Column19]]-Spending!U5</f>
        <v>363.66463552855794</v>
      </c>
      <c r="W4" s="18">
        <f>W3+12*Table1[[#This Row],[Column21]]</f>
        <v>82619.555626342713</v>
      </c>
      <c r="X4" s="18"/>
      <c r="Y4" s="18"/>
      <c r="AA4" s="21"/>
      <c r="AB4" s="18"/>
    </row>
    <row r="5" spans="1:28">
      <c r="A5" s="16">
        <f t="shared" si="0"/>
        <v>2019</v>
      </c>
      <c r="B5" s="11">
        <f>IF('Data Input'!$C$18+'Data Input'!$C$2&gt;Table1[[#This Row],[Column1]],('Data Input'!$C$10)*(1+'Data Input'!$C$17)^(Table1[[#This Row],[Column1]]-'Data Input'!$C$2),0)</f>
        <v>89989.12000000001</v>
      </c>
      <c r="C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5" s="11">
        <f>IF('Data Input'!$F$18+'Data Input'!$C$2&gt;Table1[[#This Row],[Column1]],('Data Input'!$F$10)*(1+'Data Input'!$F$17)^(Table1[[#This Row],[Column1]]-'Data Input'!$C$2),0)</f>
        <v>0</v>
      </c>
      <c r="F5" s="11">
        <f>Table1[[#This Row],[Column2]]+Table1[[#This Row],[Column4]]+Table1[[#This Row],[Column5]]-Table1[[#This Row],[Column3]]-Table1[[#This Row],[Column23]]</f>
        <v>70477.311034395039</v>
      </c>
      <c r="G5" s="11">
        <f>Table1[[#This Row],[Column2]]+Table1[[#This Row],[Column4]]+Table1[[#This Row],[Column5]]-Table1[[#This Row],[Column3]]-Table1[[#This Row],[Column8]]</f>
        <v>60442.952372331332</v>
      </c>
      <c r="H5" s="11">
        <f>IF(Table1[[#This Row],[Column1]]&lt;'Data Input'!$C$3,MAX('Tax Information'!$C$15+'Data Input'!C30*'Tax Information'!$C$5,Spending!P6+'Student Loans'!B9),MAX('Tax Information'!$C$15+'Data Input'!C30*'Tax Information'!$C$5,'Mortgage Sheet'!C9+Spending!P6+'Student Loans'!C9))+'Tax Information'!$C$13*('Data Input'!C30+2)</f>
        <v>22511.808965604971</v>
      </c>
      <c r="I5" s="11">
        <f>IF(Table1[[#This Row],[Column1]]&lt;'Data Input'!$C$3,MAX('Tax Information'!$C$6+'Data Input'!C30*'Tax Information'!$C$5,Table1[[#This Row],[Column9]]+Spending!P6+'Student Loans'!C9),MAX('Tax Information'!$C$6+'Data Input'!C30*'Tax Information'!$C$5,'Mortgage Sheet'!C9+Table1[[#This Row],[Column9]]+Spending!P6+'Student Loans'!C9))+'Tax Information'!$C$4*('Data Input'!C30+2)</f>
        <v>32546.167627668674</v>
      </c>
      <c r="J5" s="18">
        <f>'Tax Information'!E28</f>
        <v>2152.3586620637025</v>
      </c>
      <c r="K5" s="18">
        <f>'Tax Information'!C28</f>
        <v>8138.7928558496997</v>
      </c>
      <c r="L5" s="18">
        <f>(0.01+0.0765)*(Table1[[#This Row],[Column2]]+Table1[[#This Row],[Column4]]+Table1[[#This Row],[Column5]])</f>
        <v>8043.5588800000005</v>
      </c>
      <c r="M5" s="18">
        <f>(Table1[[#This Row],[Column2]]+Table1[[#This Row],[Column4]]+Table1[[#This Row],[Column5]])</f>
        <v>92989.12000000001</v>
      </c>
      <c r="N5" s="18">
        <f>(Table1[[#This Row],[Column2]]+Table1[[#This Row],[Column4]]+Table1[[#This Row],[Column5]])-(Table1[[#This Row],[Column3]]+Table1[[#This Row],[Column9]]+Table1[[#This Row],[Column10]]+Table1[[#This Row],[Column11]])</f>
        <v>74654.409602086613</v>
      </c>
      <c r="O5" s="7">
        <f>1-(Table1[[#This Row],[Column13]]/Table1[[#This Row],[Column12]])</f>
        <v>0.19717049046074853</v>
      </c>
      <c r="P5" s="11">
        <f>Table1[[#This Row],[Column3]]+MIN(5500,Table1[[#This Row],[Column2]]*'Data Input'!$C$14+Table1[[#This Row],[Column5]]*'Data Input'!$F$14+'Data Input'!$C$13+'Data Input'!$F$13)+P4</f>
        <v>0</v>
      </c>
      <c r="Q5" s="18">
        <f>Table1[[#This Row],[Column12]]/12</f>
        <v>7749.0933333333342</v>
      </c>
      <c r="R5" s="18">
        <f>Table1[[#This Row],[Column13]]/12</f>
        <v>6221.2008001738841</v>
      </c>
      <c r="S5" s="18">
        <f>Table1[[#This Row],[Column13]]/'Data Input'!$C$4</f>
        <v>3110.600400086942</v>
      </c>
      <c r="T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Sheet'!B9/12,'Mortgage Sheet'!$K$2))</f>
        <v>3711.5396183120724</v>
      </c>
      <c r="U5" s="18">
        <f>Spending!T6+12*(Table1[[#This Row],[Column17]]-Table1[[#This Row],[Column19]])</f>
        <v>67885.934182341734</v>
      </c>
      <c r="V5" s="14">
        <f>Table1[[#This Row],[Column19]]-Spending!U6</f>
        <v>564.03961831207243</v>
      </c>
      <c r="W5" s="18">
        <f>W4+12*Table1[[#This Row],[Column21]]</f>
        <v>89388.031046087577</v>
      </c>
      <c r="X5" s="18"/>
      <c r="Y5" s="18"/>
      <c r="AB5" s="18"/>
    </row>
    <row r="6" spans="1:28">
      <c r="A6" s="16">
        <f t="shared" si="0"/>
        <v>2020</v>
      </c>
      <c r="B6" s="11">
        <f>IF('Data Input'!$C$18+'Data Input'!$C$2&gt;Table1[[#This Row],[Column1]],('Data Input'!$C$10)*(1+'Data Input'!$C$17)^(Table1[[#This Row],[Column1]]-'Data Input'!$C$2),0)</f>
        <v>93588.684800000017</v>
      </c>
      <c r="C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6" s="11">
        <f>IF('Data Input'!$F$18+'Data Input'!$C$2&gt;Table1[[#This Row],[Column1]],('Data Input'!$F$10)*(1+'Data Input'!$F$17)^(Table1[[#This Row],[Column1]]-'Data Input'!$C$2),0)</f>
        <v>0</v>
      </c>
      <c r="F6" s="11">
        <f>Table1[[#This Row],[Column2]]+Table1[[#This Row],[Column4]]+Table1[[#This Row],[Column5]]-Table1[[#This Row],[Column3]]-Table1[[#This Row],[Column23]]</f>
        <v>74395.5612846367</v>
      </c>
      <c r="G6" s="11">
        <f>Table1[[#This Row],[Column2]]+Table1[[#This Row],[Column4]]+Table1[[#This Row],[Column5]]-Table1[[#This Row],[Column3]]-Table1[[#This Row],[Column8]]</f>
        <v>64126.107607558493</v>
      </c>
      <c r="H6" s="11">
        <f>IF(Table1[[#This Row],[Column1]]&lt;'Data Input'!$C$3,MAX('Tax Information'!$C$15+'Data Input'!C31*'Tax Information'!$C$5,Spending!P7+'Student Loans'!B10),MAX('Tax Information'!$C$15+'Data Input'!C31*'Tax Information'!$C$5,'Mortgage Sheet'!C10+Spending!P7+'Student Loans'!C10))+'Tax Information'!$C$13*('Data Input'!C31+2)</f>
        <v>22193.123515363321</v>
      </c>
      <c r="I6" s="11">
        <f>IF(Table1[[#This Row],[Column1]]&lt;'Data Input'!$C$3,MAX('Tax Information'!$C$6+'Data Input'!C31*'Tax Information'!$C$5,Table1[[#This Row],[Column9]]+Spending!P7+'Student Loans'!C10),MAX('Tax Information'!$C$6+'Data Input'!C31*'Tax Information'!$C$5,'Mortgage Sheet'!C10+Table1[[#This Row],[Column9]]+Spending!P7+'Student Loans'!C10))+'Tax Information'!$C$4*('Data Input'!C31+2)</f>
        <v>32462.577192441524</v>
      </c>
      <c r="J6" s="6">
        <f>'Tax Information'!E29</f>
        <v>2387.453677078202</v>
      </c>
      <c r="K6" s="6">
        <f>'Tax Information'!C29</f>
        <v>8691.266141133774</v>
      </c>
      <c r="L6" s="18">
        <f>(0.01+0.0765)*(Table1[[#This Row],[Column2]]+Table1[[#This Row],[Column4]]+Table1[[#This Row],[Column5]])</f>
        <v>8354.9212352000013</v>
      </c>
      <c r="M6" s="6">
        <f>(Table1[[#This Row],[Column2]]+Table1[[#This Row],[Column4]]+Table1[[#This Row],[Column5]])</f>
        <v>96588.684800000017</v>
      </c>
      <c r="N6" s="18">
        <f>(Table1[[#This Row],[Column2]]+Table1[[#This Row],[Column4]]+Table1[[#This Row],[Column5]])-(Table1[[#This Row],[Column3]]+Table1[[#This Row],[Column9]]+Table1[[#This Row],[Column10]]+Table1[[#This Row],[Column11]])</f>
        <v>77155.043746588039</v>
      </c>
      <c r="O6" s="7">
        <f>1-(Table1[[#This Row],[Column13]]/Table1[[#This Row],[Column12]])</f>
        <v>0.2011999758941948</v>
      </c>
      <c r="P6" s="11">
        <f>Table1[[#This Row],[Column3]]+MIN(5500,Table1[[#This Row],[Column2]]*'Data Input'!$C$14+Table1[[#This Row],[Column5]]*'Data Input'!$F$14+'Data Input'!$C$13+'Data Input'!$F$13)+P5</f>
        <v>0</v>
      </c>
      <c r="Q6" s="6">
        <f>Table1[[#This Row],[Column12]]/12</f>
        <v>8049.0570666666681</v>
      </c>
      <c r="R6" s="6">
        <f>Table1[[#This Row],[Column13]]/12</f>
        <v>6429.5869788823366</v>
      </c>
      <c r="S6" s="18">
        <f>Table1[[#This Row],[Column13]]/'Data Input'!$C$4</f>
        <v>3214.7934894411683</v>
      </c>
      <c r="T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Sheet'!B10/12,'Mortgage Sheet'!$K$2))</f>
        <v>3919.9257970205249</v>
      </c>
      <c r="U6" s="18">
        <f>Spending!T7+12*(Table1[[#This Row],[Column17]]-Table1[[#This Row],[Column19]])</f>
        <v>67885.934182341734</v>
      </c>
      <c r="V6" s="13">
        <f>Table1[[#This Row],[Column19]]-Spending!U7</f>
        <v>772.4257970205249</v>
      </c>
      <c r="W6" s="18">
        <f>W5+12*Table1[[#This Row],[Column21]]</f>
        <v>98657.140610333881</v>
      </c>
    </row>
    <row r="7" spans="1:28">
      <c r="A7" s="16">
        <f t="shared" si="0"/>
        <v>2021</v>
      </c>
      <c r="B7" s="11">
        <f>IF('Data Input'!$C$18+'Data Input'!$C$2&gt;Table1[[#This Row],[Column1]],('Data Input'!$C$10)*(1+'Data Input'!$C$17)^(Table1[[#This Row],[Column1]]-'Data Input'!$C$2),0)</f>
        <v>97332.232192000025</v>
      </c>
      <c r="C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7" s="11">
        <f>IF('Data Input'!$F$18+'Data Input'!$C$2&gt;Table1[[#This Row],[Column1]],('Data Input'!$F$10)*(1+'Data Input'!$F$17)^(Table1[[#This Row],[Column1]]-'Data Input'!$C$2),0)</f>
        <v>0</v>
      </c>
      <c r="F7" s="11">
        <f>Table1[[#This Row],[Column2]]+Table1[[#This Row],[Column4]]+Table1[[#This Row],[Column5]]-Table1[[#This Row],[Column3]]-Table1[[#This Row],[Column23]]</f>
        <v>78470.777863827287</v>
      </c>
      <c r="G7" s="11">
        <f>Table1[[#This Row],[Column2]]+Table1[[#This Row],[Column4]]+Table1[[#This Row],[Column5]]-Table1[[#This Row],[Column3]]-Table1[[#This Row],[Column8]]</f>
        <v>67956.811191997651</v>
      </c>
      <c r="H7" s="11">
        <f>IF(Table1[[#This Row],[Column1]]&lt;'Data Input'!$C$3,MAX('Tax Information'!$C$15+'Data Input'!C32*'Tax Information'!$C$5,Spending!P8+'Student Loans'!B11),MAX('Tax Information'!$C$15+'Data Input'!C32*'Tax Information'!$C$5,'Mortgage Sheet'!C11+Spending!P8+'Student Loans'!C11))+'Tax Information'!$C$13*('Data Input'!C32+2)</f>
        <v>21861.454328172735</v>
      </c>
      <c r="I7" s="11">
        <f>IF(Table1[[#This Row],[Column1]]&lt;'Data Input'!$C$3,MAX('Tax Information'!$C$6+'Data Input'!C32*'Tax Information'!$C$5,Table1[[#This Row],[Column9]]+Spending!P8+'Student Loans'!C11),MAX('Tax Information'!$C$6+'Data Input'!C32*'Tax Information'!$C$5,'Mortgage Sheet'!C11+Table1[[#This Row],[Column9]]+Spending!P8+'Student Loans'!C11))+'Tax Information'!$C$4*('Data Input'!C32+2)</f>
        <v>32375.42100000237</v>
      </c>
      <c r="J7" s="6">
        <f>'Tax Information'!E30</f>
        <v>2631.9666718296371</v>
      </c>
      <c r="K7" s="6">
        <f>'Tax Information'!C30</f>
        <v>9265.8716787996473</v>
      </c>
      <c r="L7" s="18">
        <f>(0.01+0.0765)*(Table1[[#This Row],[Column2]]+Table1[[#This Row],[Column4]]+Table1[[#This Row],[Column5]])</f>
        <v>8678.7380846080014</v>
      </c>
      <c r="M7" s="6">
        <f>(Table1[[#This Row],[Column2]]+Table1[[#This Row],[Column4]]+Table1[[#This Row],[Column5]])</f>
        <v>100332.23219200002</v>
      </c>
      <c r="N7" s="18">
        <f>(Table1[[#This Row],[Column2]]+Table1[[#This Row],[Column4]]+Table1[[#This Row],[Column5]])-(Table1[[#This Row],[Column3]]+Table1[[#This Row],[Column9]]+Table1[[#This Row],[Column10]]+Table1[[#This Row],[Column11]])</f>
        <v>79755.655756762746</v>
      </c>
      <c r="O7" s="7">
        <f>1-(Table1[[#This Row],[Column13]]/Table1[[#This Row],[Column12]])</f>
        <v>0.20508440792846183</v>
      </c>
      <c r="P7" s="11">
        <f>Table1[[#This Row],[Column3]]+MIN(5500,Table1[[#This Row],[Column2]]*'Data Input'!$C$14+Table1[[#This Row],[Column5]]*'Data Input'!$F$14+'Data Input'!$C$13+'Data Input'!$F$13)+P6</f>
        <v>0</v>
      </c>
      <c r="Q7" s="6">
        <f>Table1[[#This Row],[Column12]]/12</f>
        <v>8361.0193493333354</v>
      </c>
      <c r="R7" s="6">
        <f>Table1[[#This Row],[Column13]]/12</f>
        <v>6646.3046463968958</v>
      </c>
      <c r="S7" s="18">
        <f>Table1[[#This Row],[Column13]]/'Data Input'!$C$4</f>
        <v>3323.1523231984479</v>
      </c>
      <c r="T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Sheet'!B11/12,'Mortgage Sheet'!$K$2))</f>
        <v>4136.6434645350837</v>
      </c>
      <c r="U7" s="18">
        <f>Spending!T8+12*(Table1[[#This Row],[Column17]]-Table1[[#This Row],[Column19]])</f>
        <v>64285.934182341749</v>
      </c>
      <c r="V7" s="14">
        <f>Table1[[#This Row],[Column19]]-Spending!U8</f>
        <v>1289.1434645350837</v>
      </c>
      <c r="W7" s="18">
        <f>W6+12*Table1[[#This Row],[Column21]]</f>
        <v>114126.86218475489</v>
      </c>
      <c r="AA7" s="25"/>
    </row>
    <row r="8" spans="1:28">
      <c r="A8" s="16">
        <f t="shared" si="0"/>
        <v>2022</v>
      </c>
      <c r="B8" s="11">
        <f>IF('Data Input'!$C$18+'Data Input'!$C$2&gt;Table1[[#This Row],[Column1]],('Data Input'!$C$10)*(1+'Data Input'!$C$17)^(Table1[[#This Row],[Column1]]-'Data Input'!$C$2),0)</f>
        <v>101225.52147968003</v>
      </c>
      <c r="C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8" s="11">
        <f>IF('Data Input'!$F$18+'Data Input'!$C$2&gt;Table1[[#This Row],[Column1]],('Data Input'!$F$10)*(1+'Data Input'!$F$17)^(Table1[[#This Row],[Column1]]-'Data Input'!$C$2),0)</f>
        <v>0</v>
      </c>
      <c r="F8" s="11">
        <f>Table1[[#This Row],[Column2]]+Table1[[#This Row],[Column4]]+Table1[[#This Row],[Column5]]-Table1[[#This Row],[Column3]]-Table1[[#This Row],[Column23]]</f>
        <v>82709.249053122971</v>
      </c>
      <c r="G8" s="11">
        <f>Table1[[#This Row],[Column2]]+Table1[[#This Row],[Column4]]+Table1[[#This Row],[Column5]]-Table1[[#This Row],[Column3]]-Table1[[#This Row],[Column8]]</f>
        <v>71917.709128873132</v>
      </c>
      <c r="H8" s="11">
        <f>IF(Table1[[#This Row],[Column1]]&lt;'Data Input'!$C$3,MAX('Tax Information'!$C$15+'Data Input'!C33*'Tax Information'!$C$5,Spending!P9+'Student Loans'!B12),MAX('Tax Information'!$C$15+'Data Input'!C33*'Tax Information'!$C$5,'Mortgage Sheet'!C12+Spending!P9+'Student Loans'!C12))+'Tax Information'!$C$13*('Data Input'!C33+2)</f>
        <v>21516.272426557054</v>
      </c>
      <c r="I8" s="11">
        <f>IF(Table1[[#This Row],[Column1]]&lt;'Data Input'!$C$3,MAX('Tax Information'!$C$6+'Data Input'!C33*'Tax Information'!$C$5,Table1[[#This Row],[Column9]]+Spending!P9+'Student Loans'!C12),MAX('Tax Information'!$C$6+'Data Input'!C33*'Tax Information'!$C$5,'Mortgage Sheet'!C12+Table1[[#This Row],[Column9]]+Spending!P9+'Student Loans'!C12))+'Tax Information'!$C$4*('Data Input'!C33+2)</f>
        <v>32307.812350806893</v>
      </c>
      <c r="J8" s="6">
        <f>'Tax Information'!E31</f>
        <v>2909.5399242498374</v>
      </c>
      <c r="K8" s="6">
        <f>'Tax Information'!C31</f>
        <v>9860.0063693309694</v>
      </c>
      <c r="L8" s="18">
        <f>(0.01+0.0765)*(Table1[[#This Row],[Column2]]+Table1[[#This Row],[Column4]]+Table1[[#This Row],[Column5]])</f>
        <v>9015.5076079923219</v>
      </c>
      <c r="M8" s="6">
        <f>(Table1[[#This Row],[Column2]]+Table1[[#This Row],[Column4]]+Table1[[#This Row],[Column5]])</f>
        <v>104225.52147968003</v>
      </c>
      <c r="N8" s="18">
        <f>(Table1[[#This Row],[Column2]]+Table1[[#This Row],[Column4]]+Table1[[#This Row],[Column5]])-(Table1[[#This Row],[Column3]]+Table1[[#This Row],[Column9]]+Table1[[#This Row],[Column10]]+Table1[[#This Row],[Column11]])</f>
        <v>82440.467578106909</v>
      </c>
      <c r="O8" s="7">
        <f>1-(Table1[[#This Row],[Column13]]/Table1[[#This Row],[Column12]])</f>
        <v>0.20901842075043364</v>
      </c>
      <c r="P8" s="11">
        <f>Table1[[#This Row],[Column3]]+MIN(5500,Table1[[#This Row],[Column2]]*'Data Input'!$C$14+Table1[[#This Row],[Column5]]*'Data Input'!$F$14+'Data Input'!$C$13+'Data Input'!$F$13)+P7</f>
        <v>0</v>
      </c>
      <c r="Q8" s="6">
        <f>Table1[[#This Row],[Column12]]/12</f>
        <v>8685.4601233066696</v>
      </c>
      <c r="R8" s="6">
        <f>Table1[[#This Row],[Column13]]/12</f>
        <v>6870.0389648422424</v>
      </c>
      <c r="S8" s="18">
        <f>Table1[[#This Row],[Column13]]/'Data Input'!$C$4</f>
        <v>3435.0194824211212</v>
      </c>
      <c r="T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Sheet'!B12/12,'Mortgage Sheet'!$K$2))</f>
        <v>4360.3777829804312</v>
      </c>
      <c r="U8" s="18">
        <f>Spending!T9+12*(Table1[[#This Row],[Column17]]-Table1[[#This Row],[Column19]])</f>
        <v>64285.934182341734</v>
      </c>
      <c r="V8" s="13">
        <f>Table1[[#This Row],[Column19]]-Spending!U9</f>
        <v>1512.8777829804312</v>
      </c>
      <c r="W8" s="18">
        <f>W7+12*Table1[[#This Row],[Column21]]</f>
        <v>132281.39558052007</v>
      </c>
      <c r="Y8" s="24"/>
      <c r="AA8" s="25"/>
      <c r="AB8" s="18"/>
    </row>
    <row r="9" spans="1:28">
      <c r="A9" s="16">
        <f t="shared" si="0"/>
        <v>2023</v>
      </c>
      <c r="B9" s="11">
        <f>IF('Data Input'!$C$18+'Data Input'!$C$2&gt;Table1[[#This Row],[Column1]],('Data Input'!$C$10)*(1+'Data Input'!$C$17)^(Table1[[#This Row],[Column1]]-'Data Input'!$C$2),0)</f>
        <v>105274.54233886722</v>
      </c>
      <c r="C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9" s="11">
        <f>IF('Data Input'!$F$18+'Data Input'!$C$2&gt;Table1[[#This Row],[Column1]],('Data Input'!$F$10)*(1+'Data Input'!$F$17)^(Table1[[#This Row],[Column1]]-'Data Input'!$C$2),0)</f>
        <v>0</v>
      </c>
      <c r="F9" s="11">
        <f>Table1[[#This Row],[Column2]]+Table1[[#This Row],[Column4]]+Table1[[#This Row],[Column5]]-Table1[[#This Row],[Column3]]-Table1[[#This Row],[Column23]]</f>
        <v>87117.515057185665</v>
      </c>
      <c r="G9" s="11">
        <f>Table1[[#This Row],[Column2]]+Table1[[#This Row],[Column4]]+Table1[[#This Row],[Column5]]-Table1[[#This Row],[Column3]]-Table1[[#This Row],[Column8]]</f>
        <v>75973.313852610809</v>
      </c>
      <c r="H9" s="11">
        <f>IF(Table1[[#This Row],[Column1]]&lt;'Data Input'!$C$3,MAX('Tax Information'!$C$15+'Data Input'!C34*'Tax Information'!$C$5,Spending!P10+'Student Loans'!B13),MAX('Tax Information'!$C$15+'Data Input'!C34*'Tax Information'!$C$5,'Mortgage Sheet'!C13+Spending!P10+'Student Loans'!C13))+'Tax Information'!$C$13*('Data Input'!C34+2)</f>
        <v>21157.027281681563</v>
      </c>
      <c r="I9" s="11">
        <f>IF(Table1[[#This Row],[Column1]]&lt;'Data Input'!$C$3,MAX('Tax Information'!$C$6+'Data Input'!C34*'Tax Information'!$C$5,Table1[[#This Row],[Column9]]+Spending!P10+'Student Loans'!C13),MAX('Tax Information'!$C$6+'Data Input'!C34*'Tax Information'!$C$5,'Mortgage Sheet'!C13+Table1[[#This Row],[Column9]]+Spending!P10+'Student Loans'!C13))+'Tax Information'!$C$4*('Data Input'!C34+2)</f>
        <v>32301.228486256416</v>
      </c>
      <c r="J9" s="6">
        <f>'Tax Information'!E32</f>
        <v>3262.2012045748534</v>
      </c>
      <c r="K9" s="6">
        <f>'Tax Information'!C32</f>
        <v>10535.578463152702</v>
      </c>
      <c r="L9" s="18">
        <f>(0.01+0.0765)*(Table1[[#This Row],[Column2]]+Table1[[#This Row],[Column4]]+Table1[[#This Row],[Column5]])</f>
        <v>9365.7479123120138</v>
      </c>
      <c r="M9" s="6">
        <f>(Table1[[#This Row],[Column2]]+Table1[[#This Row],[Column4]]+Table1[[#This Row],[Column5]])</f>
        <v>108274.54233886722</v>
      </c>
      <c r="N9" s="18">
        <f>(Table1[[#This Row],[Column2]]+Table1[[#This Row],[Column4]]+Table1[[#This Row],[Column5]])-(Table1[[#This Row],[Column3]]+Table1[[#This Row],[Column9]]+Table1[[#This Row],[Column10]]+Table1[[#This Row],[Column11]])</f>
        <v>85111.01475882766</v>
      </c>
      <c r="O9" s="7">
        <f>1-(Table1[[#This Row],[Column13]]/Table1[[#This Row],[Column12]])</f>
        <v>0.21393327627785841</v>
      </c>
      <c r="P9" s="11">
        <f>Table1[[#This Row],[Column3]]+MIN(5500,Table1[[#This Row],[Column2]]*'Data Input'!$C$14+Table1[[#This Row],[Column5]]*'Data Input'!$F$14+'Data Input'!$C$13+'Data Input'!$F$13)+P8</f>
        <v>0</v>
      </c>
      <c r="Q9" s="6">
        <f>Table1[[#This Row],[Column12]]/12</f>
        <v>9022.8785282389345</v>
      </c>
      <c r="R9" s="6">
        <f>Table1[[#This Row],[Column13]]/12</f>
        <v>7092.5845632356386</v>
      </c>
      <c r="S9" s="18">
        <f>Table1[[#This Row],[Column13]]/'Data Input'!$C$4</f>
        <v>3546.2922816178193</v>
      </c>
      <c r="T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Sheet'!B13/12,'Mortgage Sheet'!$K$2))</f>
        <v>4582.9233813738265</v>
      </c>
      <c r="U9" s="18">
        <f>Spending!T10+12*(Table1[[#This Row],[Column17]]-Table1[[#This Row],[Column19]])</f>
        <v>61285.934182341749</v>
      </c>
      <c r="V9" s="14">
        <f>Table1[[#This Row],[Column19]]-Spending!U10</f>
        <v>1985.4233813738265</v>
      </c>
      <c r="W9" s="18">
        <f>W8+12*Table1[[#This Row],[Column21]]</f>
        <v>156106.47615700599</v>
      </c>
    </row>
    <row r="10" spans="1:28">
      <c r="A10" s="16">
        <f t="shared" si="0"/>
        <v>2024</v>
      </c>
      <c r="B10" s="11">
        <f>IF('Data Input'!$C$18+'Data Input'!$C$2&gt;Table1[[#This Row],[Column1]],('Data Input'!$C$10)*(1+'Data Input'!$C$17)^(Table1[[#This Row],[Column1]]-'Data Input'!$C$2),0)</f>
        <v>109485.52403242193</v>
      </c>
      <c r="C1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0" s="11">
        <f>IF('Data Input'!$F$18+'Data Input'!$C$2&gt;Table1[[#This Row],[Column1]],('Data Input'!$F$10)*(1+'Data Input'!$F$17)^(Table1[[#This Row],[Column1]]-'Data Input'!$C$2),0)</f>
        <v>0</v>
      </c>
      <c r="F10" s="11">
        <f>Table1[[#This Row],[Column2]]+Table1[[#This Row],[Column4]]+Table1[[#This Row],[Column5]]-Table1[[#This Row],[Column3]]-Table1[[#This Row],[Column23]]</f>
        <v>91702.378097104534</v>
      </c>
      <c r="G10" s="11">
        <f>Table1[[#This Row],[Column2]]+Table1[[#This Row],[Column4]]+Table1[[#This Row],[Column5]]-Table1[[#This Row],[Column3]]-Table1[[#This Row],[Column8]]</f>
        <v>80191.38784933617</v>
      </c>
      <c r="H10" s="11">
        <f>IF(Table1[[#This Row],[Column1]]&lt;'Data Input'!$C$3,MAX('Tax Information'!$C$15+'Data Input'!C35*'Tax Information'!$C$5,Spending!P11+'Student Loans'!B14),MAX('Tax Information'!$C$15+'Data Input'!C35*'Tax Information'!$C$5,'Mortgage Sheet'!C14+Spending!P11+'Student Loans'!C14))+'Tax Information'!$C$13*('Data Input'!C35+2)</f>
        <v>20783.1459353174</v>
      </c>
      <c r="I10" s="11">
        <f>IF(Table1[[#This Row],[Column1]]&lt;'Data Input'!$C$3,MAX('Tax Information'!$C$6+'Data Input'!C35*'Tax Information'!$C$5,Table1[[#This Row],[Column9]]+Spending!P11+'Student Loans'!C14),MAX('Tax Information'!$C$6+'Data Input'!C35*'Tax Information'!$C$5,'Mortgage Sheet'!C14+Table1[[#This Row],[Column9]]+Spending!P11+'Student Loans'!C14))+'Tax Information'!$C$4*('Data Input'!C35+2)</f>
        <v>32294.136183085764</v>
      </c>
      <c r="J10" s="6">
        <f>'Tax Information'!E33</f>
        <v>3628.9902477683627</v>
      </c>
      <c r="K10" s="6">
        <f>'Tax Information'!C33</f>
        <v>11590.096962334042</v>
      </c>
      <c r="L10" s="18">
        <f>(0.01+0.0765)*(Table1[[#This Row],[Column2]]+Table1[[#This Row],[Column4]]+Table1[[#This Row],[Column5]])</f>
        <v>9729.9978288044967</v>
      </c>
      <c r="M10" s="6">
        <f>(Table1[[#This Row],[Column2]]+Table1[[#This Row],[Column4]]+Table1[[#This Row],[Column5]])</f>
        <v>112485.52403242193</v>
      </c>
      <c r="N10" s="18">
        <f>(Table1[[#This Row],[Column2]]+Table1[[#This Row],[Column4]]+Table1[[#This Row],[Column5]])-(Table1[[#This Row],[Column3]]+Table1[[#This Row],[Column9]]+Table1[[#This Row],[Column10]]+Table1[[#This Row],[Column11]])</f>
        <v>87536.438993515039</v>
      </c>
      <c r="O10" s="7">
        <f>1-(Table1[[#This Row],[Column13]]/Table1[[#This Row],[Column12]])</f>
        <v>0.22179818473100388</v>
      </c>
      <c r="P10" s="11">
        <f>Table1[[#This Row],[Column3]]+MIN(5500,Table1[[#This Row],[Column2]]*'Data Input'!$C$14+Table1[[#This Row],[Column5]]*'Data Input'!$F$14+'Data Input'!$C$13+'Data Input'!$F$13)+P9</f>
        <v>0</v>
      </c>
      <c r="Q10" s="6">
        <f>Table1[[#This Row],[Column12]]/12</f>
        <v>9373.7936693684951</v>
      </c>
      <c r="R10" s="6">
        <f>Table1[[#This Row],[Column13]]/12</f>
        <v>7294.7032494595869</v>
      </c>
      <c r="S10" s="18">
        <f>Table1[[#This Row],[Column13]]/'Data Input'!$C$4</f>
        <v>3647.3516247297935</v>
      </c>
      <c r="T1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Sheet'!B14/12,'Mortgage Sheet'!$K$2))</f>
        <v>4785.0420675977748</v>
      </c>
      <c r="U10" s="18">
        <f>Spending!T11+12*(Table1[[#This Row],[Column17]]-Table1[[#This Row],[Column19]])</f>
        <v>61285.934182341749</v>
      </c>
      <c r="V10" s="13">
        <f>Table1[[#This Row],[Column19]]-Spending!U11</f>
        <v>2187.5420675977748</v>
      </c>
      <c r="W10" s="18">
        <f>W9+12*Table1[[#This Row],[Column21]]</f>
        <v>182356.9809681793</v>
      </c>
      <c r="Y10" s="16"/>
      <c r="Z10" s="16"/>
      <c r="AB10" s="16"/>
    </row>
    <row r="11" spans="1:28">
      <c r="A11" s="16">
        <f t="shared" si="0"/>
        <v>2025</v>
      </c>
      <c r="B11" s="11">
        <f>IF('Data Input'!$C$18+'Data Input'!$C$2&gt;Table1[[#This Row],[Column1]],('Data Input'!$C$10)*(1+'Data Input'!$C$17)^(Table1[[#This Row],[Column1]]-'Data Input'!$C$2),0)</f>
        <v>113864.94499371882</v>
      </c>
      <c r="C1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1" s="11">
        <f>IF('Data Input'!$F$18+'Data Input'!$C$2&gt;Table1[[#This Row],[Column1]],('Data Input'!$F$10)*(1+'Data Input'!$F$17)^(Table1[[#This Row],[Column1]]-'Data Input'!$C$2),0)</f>
        <v>0</v>
      </c>
      <c r="F11" s="11">
        <f>Table1[[#This Row],[Column2]]+Table1[[#This Row],[Column4]]+Table1[[#This Row],[Column5]]-Table1[[#This Row],[Column3]]-Table1[[#This Row],[Column23]]</f>
        <v>96470.912907685386</v>
      </c>
      <c r="G11" s="11">
        <f>Table1[[#This Row],[Column2]]+Table1[[#This Row],[Column4]]+Table1[[#This Row],[Column5]]-Table1[[#This Row],[Column3]]-Table1[[#This Row],[Column8]]</f>
        <v>84578.439875070559</v>
      </c>
      <c r="H11" s="11">
        <f>IF(Table1[[#This Row],[Column1]]&lt;'Data Input'!$C$3,MAX('Tax Information'!$C$15+'Data Input'!C36*'Tax Information'!$C$5,Spending!P12+'Student Loans'!B15),MAX('Tax Information'!$C$15+'Data Input'!C36*'Tax Information'!$C$5,'Mortgage Sheet'!C15+Spending!P12+'Student Loans'!C15))+'Tax Information'!$C$13*('Data Input'!C36+2)</f>
        <v>20394.032086033432</v>
      </c>
      <c r="I11" s="11">
        <f>IF(Table1[[#This Row],[Column1]]&lt;'Data Input'!$C$3,MAX('Tax Information'!$C$6+'Data Input'!C36*'Tax Information'!$C$5,Table1[[#This Row],[Column9]]+Spending!P12+'Student Loans'!C15),MAX('Tax Information'!$C$6+'Data Input'!C36*'Tax Information'!$C$5,'Mortgage Sheet'!C15+Table1[[#This Row],[Column9]]+Spending!P12+'Student Loans'!C15))+'Tax Information'!$C$4*('Data Input'!C36+2)</f>
        <v>32286.505118648263</v>
      </c>
      <c r="J11" s="6">
        <f>'Tax Information'!E34</f>
        <v>4010.473032614831</v>
      </c>
      <c r="K11" s="6">
        <f>'Tax Information'!C34</f>
        <v>12686.85996876764</v>
      </c>
      <c r="L11" s="18">
        <f>(0.01+0.0765)*(Table1[[#This Row],[Column2]]+Table1[[#This Row],[Column4]]+Table1[[#This Row],[Column5]])</f>
        <v>10108.817741956676</v>
      </c>
      <c r="M11" s="6">
        <f>(Table1[[#This Row],[Column2]]+Table1[[#This Row],[Column4]]+Table1[[#This Row],[Column5]])</f>
        <v>116864.94499371882</v>
      </c>
      <c r="N11" s="18">
        <f>(Table1[[#This Row],[Column2]]+Table1[[#This Row],[Column4]]+Table1[[#This Row],[Column5]])-(Table1[[#This Row],[Column3]]+Table1[[#This Row],[Column9]]+Table1[[#This Row],[Column10]]+Table1[[#This Row],[Column11]])</f>
        <v>90058.794250379666</v>
      </c>
      <c r="O11" s="7">
        <f>1-(Table1[[#This Row],[Column13]]/Table1[[#This Row],[Column12]])</f>
        <v>0.22937717332412999</v>
      </c>
      <c r="P11" s="11">
        <f>Table1[[#This Row],[Column3]]+MIN(5500,Table1[[#This Row],[Column2]]*'Data Input'!$C$14+Table1[[#This Row],[Column5]]*'Data Input'!$F$14+'Data Input'!$C$13+'Data Input'!$F$13)+P10</f>
        <v>0</v>
      </c>
      <c r="Q11" s="6">
        <f>Table1[[#This Row],[Column12]]/12</f>
        <v>9738.7454161432343</v>
      </c>
      <c r="R11" s="6">
        <f>Table1[[#This Row],[Column13]]/12</f>
        <v>7504.8995208649721</v>
      </c>
      <c r="S11" s="18">
        <f>Table1[[#This Row],[Column13]]/'Data Input'!$C$4</f>
        <v>3752.4497604324861</v>
      </c>
      <c r="T1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Sheet'!B15/12,'Mortgage Sheet'!$K$2))</f>
        <v>4995.2383390031609</v>
      </c>
      <c r="U11" s="18">
        <f>Spending!T12+12*(Table1[[#This Row],[Column17]]-Table1[[#This Row],[Column19]])</f>
        <v>61285.934182341734</v>
      </c>
      <c r="V11" s="14">
        <f>Table1[[#This Row],[Column19]]-Spending!U12</f>
        <v>2397.7383390031609</v>
      </c>
      <c r="W11" s="18">
        <f>W10+12*Table1[[#This Row],[Column21]]</f>
        <v>211129.84103621723</v>
      </c>
      <c r="Y11" s="17"/>
    </row>
    <row r="12" spans="1:28">
      <c r="A12" s="16">
        <f t="shared" si="0"/>
        <v>2026</v>
      </c>
      <c r="B12" s="11">
        <f>IF('Data Input'!$C$18+'Data Input'!$C$2&gt;Table1[[#This Row],[Column1]],('Data Input'!$C$10)*(1+'Data Input'!$C$17)^(Table1[[#This Row],[Column1]]-'Data Input'!$C$2),0)</f>
        <v>118419.54279346757</v>
      </c>
      <c r="C1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2" s="11">
        <f>IF('Data Input'!$F$18+'Data Input'!$C$2&gt;Table1[[#This Row],[Column1]],('Data Input'!$F$10)*(1+'Data Input'!$F$17)^(Table1[[#This Row],[Column1]]-'Data Input'!$C$2),0)</f>
        <v>0</v>
      </c>
      <c r="F12" s="11">
        <f>Table1[[#This Row],[Column2]]+Table1[[#This Row],[Column4]]+Table1[[#This Row],[Column5]]-Table1[[#This Row],[Column3]]-Table1[[#This Row],[Column23]]</f>
        <v>101430.47765530938</v>
      </c>
      <c r="G12" s="11">
        <f>Table1[[#This Row],[Column2]]+Table1[[#This Row],[Column4]]+Table1[[#This Row],[Column5]]-Table1[[#This Row],[Column3]]-Table1[[#This Row],[Column8]]</f>
        <v>89141.239442884631</v>
      </c>
      <c r="H12" s="11">
        <f>IF(Table1[[#This Row],[Column1]]&lt;'Data Input'!$C$3,MAX('Tax Information'!$C$15+'Data Input'!C37*'Tax Information'!$C$5,Spending!P13+'Student Loans'!B16),MAX('Tax Information'!$C$15+'Data Input'!C37*'Tax Information'!$C$5,'Mortgage Sheet'!C16+Spending!P13+'Student Loans'!C16))+'Tax Information'!$C$13*('Data Input'!C37+2)</f>
        <v>19989.065138158185</v>
      </c>
      <c r="I12" s="11">
        <f>IF(Table1[[#This Row],[Column1]]&lt;'Data Input'!$C$3,MAX('Tax Information'!$C$6+'Data Input'!C37*'Tax Information'!$C$5,Table1[[#This Row],[Column9]]+Spending!P13+'Student Loans'!C16),MAX('Tax Information'!$C$6+'Data Input'!C37*'Tax Information'!$C$5,'Mortgage Sheet'!C16+Table1[[#This Row],[Column9]]+Spending!P13+'Student Loans'!C16))+'Tax Information'!$C$4*('Data Input'!C37+2)</f>
        <v>32278.303350582937</v>
      </c>
      <c r="J12" s="6">
        <f>'Tax Information'!E35</f>
        <v>4407.2382124247506</v>
      </c>
      <c r="K12" s="6">
        <f>'Tax Information'!C35</f>
        <v>13827.559860721158</v>
      </c>
      <c r="L12" s="18">
        <f>(0.01+0.0765)*(Table1[[#This Row],[Column2]]+Table1[[#This Row],[Column4]]+Table1[[#This Row],[Column5]])</f>
        <v>10502.790451634944</v>
      </c>
      <c r="M12" s="6">
        <f>(Table1[[#This Row],[Column2]]+Table1[[#This Row],[Column4]]+Table1[[#This Row],[Column5]])</f>
        <v>121419.54279346757</v>
      </c>
      <c r="N12" s="18">
        <f>(Table1[[#This Row],[Column2]]+Table1[[#This Row],[Column4]]+Table1[[#This Row],[Column5]])-(Table1[[#This Row],[Column3]]+Table1[[#This Row],[Column9]]+Table1[[#This Row],[Column10]]+Table1[[#This Row],[Column11]])</f>
        <v>92681.954268686706</v>
      </c>
      <c r="O12" s="7">
        <f>1-(Table1[[#This Row],[Column13]]/Table1[[#This Row],[Column12]])</f>
        <v>0.2366800917185381</v>
      </c>
      <c r="P12" s="11">
        <f>Table1[[#This Row],[Column3]]+MIN(5500,Table1[[#This Row],[Column2]]*'Data Input'!$C$14+Table1[[#This Row],[Column5]]*'Data Input'!$F$14+'Data Input'!$C$13+'Data Input'!$F$13)+P11</f>
        <v>0</v>
      </c>
      <c r="Q12" s="6">
        <f>Table1[[#This Row],[Column12]]/12</f>
        <v>10118.295232788963</v>
      </c>
      <c r="R12" s="6">
        <f>Table1[[#This Row],[Column13]]/12</f>
        <v>7723.4961890572258</v>
      </c>
      <c r="S12" s="18">
        <f>Table1[[#This Row],[Column13]]/'Data Input'!$C$4</f>
        <v>3861.7480945286129</v>
      </c>
      <c r="T1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Sheet'!B16/12,'Mortgage Sheet'!$K$2))</f>
        <v>5213.8350071954137</v>
      </c>
      <c r="U12" s="18">
        <f>Spending!T13+12*(Table1[[#This Row],[Column17]]-Table1[[#This Row],[Column19]])</f>
        <v>61285.934182341749</v>
      </c>
      <c r="V12" s="13">
        <f>Table1[[#This Row],[Column19]]-Spending!U13</f>
        <v>2616.3350071954137</v>
      </c>
      <c r="W12" s="18">
        <f>W11+12*Table1[[#This Row],[Column21]]</f>
        <v>242525.8611225622</v>
      </c>
      <c r="Z12" s="18"/>
      <c r="AB12" s="16"/>
    </row>
    <row r="13" spans="1:28">
      <c r="A13" s="16">
        <f t="shared" si="0"/>
        <v>2027</v>
      </c>
      <c r="B13" s="11">
        <f>IF('Data Input'!$C$18+'Data Input'!$C$2&gt;Table1[[#This Row],[Column1]],('Data Input'!$C$10)*(1+'Data Input'!$C$17)^(Table1[[#This Row],[Column1]]-'Data Input'!$C$2),0)</f>
        <v>123156.32450520626</v>
      </c>
      <c r="C1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3" s="11">
        <f>IF('Data Input'!$F$18+'Data Input'!$C$2&gt;Table1[[#This Row],[Column1]],('Data Input'!$F$10)*(1+'Data Input'!$F$17)^(Table1[[#This Row],[Column1]]-'Data Input'!$C$2),0)</f>
        <v>0</v>
      </c>
      <c r="F13" s="11">
        <f>Table1[[#This Row],[Column2]]+Table1[[#This Row],[Column4]]+Table1[[#This Row],[Column5]]-Table1[[#This Row],[Column3]]-Table1[[#This Row],[Column23]]</f>
        <v>106588.72529321128</v>
      </c>
      <c r="G13" s="11">
        <f>Table1[[#This Row],[Column2]]+Table1[[#This Row],[Column4]]+Table1[[#This Row],[Column5]]-Table1[[#This Row],[Column3]]-Table1[[#This Row],[Column8]]</f>
        <v>93840.953840942631</v>
      </c>
      <c r="H13" s="11">
        <f>IF(Table1[[#This Row],[Column1]]&lt;'Data Input'!$C$3,MAX('Tax Information'!$C$15+'Data Input'!C38*'Tax Information'!$C$5,Spending!P14+'Student Loans'!B17),MAX('Tax Information'!$C$15+'Data Input'!C38*'Tax Information'!$C$5,'Mortgage Sheet'!C17+Spending!P14+'Student Loans'!C17))+'Tax Information'!$C$13*('Data Input'!C38+2)</f>
        <v>19567.599211994977</v>
      </c>
      <c r="I13" s="11">
        <f>IF(Table1[[#This Row],[Column1]]&lt;'Data Input'!$C$3,MAX('Tax Information'!$C$6+'Data Input'!C38*'Tax Information'!$C$5,Table1[[#This Row],[Column9]]+Spending!P14+'Student Loans'!C17),MAX('Tax Information'!$C$6+'Data Input'!C38*'Tax Information'!$C$5,'Mortgage Sheet'!C17+Table1[[#This Row],[Column9]]+Spending!P14+'Student Loans'!C17))+'Tax Information'!$C$4*('Data Input'!C38+2)</f>
        <v>32315.370664263624</v>
      </c>
      <c r="J13" s="6">
        <f>'Tax Information'!E36</f>
        <v>4865.7714522686492</v>
      </c>
      <c r="K13" s="6">
        <f>'Tax Information'!C36</f>
        <v>15002.488460235658</v>
      </c>
      <c r="L13" s="18">
        <f>(0.01+0.0765)*(Table1[[#This Row],[Column2]]+Table1[[#This Row],[Column4]]+Table1[[#This Row],[Column5]])</f>
        <v>10912.522069700341</v>
      </c>
      <c r="M13" s="6">
        <f>(Table1[[#This Row],[Column2]]+Table1[[#This Row],[Column4]]+Table1[[#This Row],[Column5]])</f>
        <v>126156.32450520626</v>
      </c>
      <c r="N13" s="18">
        <f>(Table1[[#This Row],[Column2]]+Table1[[#This Row],[Column4]]+Table1[[#This Row],[Column5]])-(Table1[[#This Row],[Column3]]+Table1[[#This Row],[Column9]]+Table1[[#This Row],[Column10]]+Table1[[#This Row],[Column11]])</f>
        <v>95375.542523001612</v>
      </c>
      <c r="O13" s="7">
        <f>1-(Table1[[#This Row],[Column13]]/Table1[[#This Row],[Column12]])</f>
        <v>0.24398921023522979</v>
      </c>
      <c r="P13" s="11">
        <f>Table1[[#This Row],[Column3]]+MIN(5500,Table1[[#This Row],[Column2]]*'Data Input'!$C$14+Table1[[#This Row],[Column5]]*'Data Input'!$F$14+'Data Input'!$C$13+'Data Input'!$F$13)+P12</f>
        <v>0</v>
      </c>
      <c r="Q13" s="6">
        <f>Table1[[#This Row],[Column12]]/12</f>
        <v>10513.027042100521</v>
      </c>
      <c r="R13" s="6">
        <f>Table1[[#This Row],[Column13]]/12</f>
        <v>7947.961876916801</v>
      </c>
      <c r="S13" s="18">
        <f>Table1[[#This Row],[Column13]]/'Data Input'!$C$4</f>
        <v>3973.9809384584005</v>
      </c>
      <c r="T1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Sheet'!B17/12,'Mortgage Sheet'!$K$2))</f>
        <v>5438.3006950549898</v>
      </c>
      <c r="U13" s="18">
        <f>Spending!T14+12*(Table1[[#This Row],[Column17]]-Table1[[#This Row],[Column19]])</f>
        <v>61285.934182341734</v>
      </c>
      <c r="V13" s="14">
        <f>Table1[[#This Row],[Column19]]-Spending!U14</f>
        <v>2840.8006950549898</v>
      </c>
      <c r="W13" s="18">
        <f>W12+12*Table1[[#This Row],[Column21]]</f>
        <v>276615.46946322208</v>
      </c>
    </row>
    <row r="14" spans="1:28">
      <c r="A14" s="16">
        <f t="shared" si="0"/>
        <v>2028</v>
      </c>
      <c r="B14" s="11">
        <f>IF('Data Input'!$C$18+'Data Input'!$C$2&gt;Table1[[#This Row],[Column1]],('Data Input'!$C$10)*(1+'Data Input'!$C$17)^(Table1[[#This Row],[Column1]]-'Data Input'!$C$2),0)</f>
        <v>128082.57748541454</v>
      </c>
      <c r="C1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4" s="11">
        <f>IF('Data Input'!$F$18+'Data Input'!$C$2&gt;Table1[[#This Row],[Column1]],('Data Input'!$F$10)*(1+'Data Input'!$F$17)^(Table1[[#This Row],[Column1]]-'Data Input'!$C$2),0)</f>
        <v>0</v>
      </c>
      <c r="F14" s="11">
        <f>Table1[[#This Row],[Column2]]+Table1[[#This Row],[Column4]]+Table1[[#This Row],[Column5]]-Table1[[#This Row],[Column3]]-Table1[[#This Row],[Column23]]</f>
        <v>111953.61537170278</v>
      </c>
      <c r="G14" s="11">
        <f>Table1[[#This Row],[Column2]]+Table1[[#This Row],[Column4]]+Table1[[#This Row],[Column5]]-Table1[[#This Row],[Column3]]-Table1[[#This Row],[Column8]]</f>
        <v>98706.90914213442</v>
      </c>
      <c r="H14" s="11">
        <f>IF(Table1[[#This Row],[Column1]]&lt;'Data Input'!$C$3,MAX('Tax Information'!$C$15+'Data Input'!C39*'Tax Information'!$C$5,Spending!P15+'Student Loans'!B18),MAX('Tax Information'!$C$15+'Data Input'!C39*'Tax Information'!$C$5,'Mortgage Sheet'!C18+Spending!P15+'Student Loans'!C18))+'Tax Information'!$C$13*('Data Input'!C39+2)</f>
        <v>19128.962113711761</v>
      </c>
      <c r="I14" s="11">
        <f>IF(Table1[[#This Row],[Column1]]&lt;'Data Input'!$C$3,MAX('Tax Information'!$C$6+'Data Input'!C39*'Tax Information'!$C$5,Table1[[#This Row],[Column9]]+Spending!P15+'Student Loans'!C18),MAX('Tax Information'!$C$6+'Data Input'!C39*'Tax Information'!$C$5,'Mortgage Sheet'!C18+Table1[[#This Row],[Column9]]+Spending!P15+'Student Loans'!C18))+'Tax Information'!$C$4*('Data Input'!C39+2)</f>
        <v>32375.668343280122</v>
      </c>
      <c r="J14" s="6">
        <f>'Tax Information'!E37</f>
        <v>5364.706229568359</v>
      </c>
      <c r="K14" s="6">
        <f>'Tax Information'!C37</f>
        <v>16218.977285533605</v>
      </c>
      <c r="L14" s="18">
        <f>(0.01+0.0765)*(Table1[[#This Row],[Column2]]+Table1[[#This Row],[Column4]]+Table1[[#This Row],[Column5]])</f>
        <v>11338.642952488357</v>
      </c>
      <c r="M14" s="6">
        <f>(Table1[[#This Row],[Column2]]+Table1[[#This Row],[Column4]]+Table1[[#This Row],[Column5]])</f>
        <v>131082.57748541454</v>
      </c>
      <c r="N14" s="18">
        <f>(Table1[[#This Row],[Column2]]+Table1[[#This Row],[Column4]]+Table1[[#This Row],[Column5]])-(Table1[[#This Row],[Column3]]+Table1[[#This Row],[Column9]]+Table1[[#This Row],[Column10]]+Table1[[#This Row],[Column11]])</f>
        <v>98160.251017824223</v>
      </c>
      <c r="O14" s="7">
        <f>1-(Table1[[#This Row],[Column13]]/Table1[[#This Row],[Column12]])</f>
        <v>0.25115714917379894</v>
      </c>
      <c r="P14" s="11">
        <f>Table1[[#This Row],[Column3]]+MIN(5500,Table1[[#This Row],[Column2]]*'Data Input'!$C$14+Table1[[#This Row],[Column5]]*'Data Input'!$F$14+'Data Input'!$C$13+'Data Input'!$F$13)+P13</f>
        <v>0</v>
      </c>
      <c r="Q14" s="6">
        <f>Table1[[#This Row],[Column12]]/12</f>
        <v>10923.548123784545</v>
      </c>
      <c r="R14" s="6">
        <f>Table1[[#This Row],[Column13]]/12</f>
        <v>8180.0209181520186</v>
      </c>
      <c r="S14" s="18">
        <f>Table1[[#This Row],[Column13]]/'Data Input'!$C$4</f>
        <v>4090.0104590760093</v>
      </c>
      <c r="T1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Sheet'!B18/12,'Mortgage Sheet'!$K$2))</f>
        <v>5670.3597362902074</v>
      </c>
      <c r="U14" s="18">
        <f>Spending!T15+12*(Table1[[#This Row],[Column17]]-Table1[[#This Row],[Column19]])</f>
        <v>61285.934182341734</v>
      </c>
      <c r="V14" s="13">
        <f>Table1[[#This Row],[Column19]]-Spending!U15</f>
        <v>3072.8597362902074</v>
      </c>
      <c r="W14" s="18">
        <f>W13+12*Table1[[#This Row],[Column21]]</f>
        <v>313489.78629870457</v>
      </c>
      <c r="Y14" s="16"/>
      <c r="Z14" s="16"/>
    </row>
    <row r="15" spans="1:28">
      <c r="A15" s="16">
        <f t="shared" si="0"/>
        <v>2029</v>
      </c>
      <c r="B15" s="11">
        <f>IF('Data Input'!$C$18+'Data Input'!$C$2&gt;Table1[[#This Row],[Column1]],('Data Input'!$C$10)*(1+'Data Input'!$C$17)^(Table1[[#This Row],[Column1]]-'Data Input'!$C$2),0)</f>
        <v>133205.88058483112</v>
      </c>
      <c r="C1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5" s="11">
        <f>IF('Data Input'!$F$18+'Data Input'!$C$2&gt;Table1[[#This Row],[Column1]],('Data Input'!$F$10)*(1+'Data Input'!$F$17)^(Table1[[#This Row],[Column1]]-'Data Input'!$C$2),0)</f>
        <v>0</v>
      </c>
      <c r="F15" s="11">
        <f>Table1[[#This Row],[Column2]]+Table1[[#This Row],[Column4]]+Table1[[#This Row],[Column5]]-Table1[[#This Row],[Column3]]-Table1[[#This Row],[Column23]]</f>
        <v>117533.42632156849</v>
      </c>
      <c r="G15" s="11">
        <f>Table1[[#This Row],[Column2]]+Table1[[#This Row],[Column4]]+Table1[[#This Row],[Column5]]-Table1[[#This Row],[Column3]]-Table1[[#This Row],[Column8]]</f>
        <v>103767.79767366262</v>
      </c>
      <c r="H15" s="11">
        <f>IF(Table1[[#This Row],[Column1]]&lt;'Data Input'!$C$3,MAX('Tax Information'!$C$15+'Data Input'!C40*'Tax Information'!$C$5,Spending!P16+'Student Loans'!B19),MAX('Tax Information'!$C$15+'Data Input'!C40*'Tax Information'!$C$5,'Mortgage Sheet'!C19+Spending!P16+'Student Loans'!C19))+'Tax Information'!$C$13*('Data Input'!C40+2)</f>
        <v>18672.454263262629</v>
      </c>
      <c r="I15" s="11">
        <f>IF(Table1[[#This Row],[Column1]]&lt;'Data Input'!$C$3,MAX('Tax Information'!$C$6+'Data Input'!C40*'Tax Information'!$C$5,Table1[[#This Row],[Column9]]+Spending!P16+'Student Loans'!C19),MAX('Tax Information'!$C$6+'Data Input'!C40*'Tax Information'!$C$5,'Mortgage Sheet'!C19+Table1[[#This Row],[Column9]]+Spending!P16+'Student Loans'!C19))+'Tax Information'!$C$4*('Data Input'!C40+2)</f>
        <v>32438.082911168498</v>
      </c>
      <c r="J15" s="6">
        <f>'Tax Information'!E38</f>
        <v>5883.6286479058699</v>
      </c>
      <c r="K15" s="6">
        <f>'Tax Information'!C38</f>
        <v>17484.199418415654</v>
      </c>
      <c r="L15" s="18">
        <f>(0.01+0.0765)*(Table1[[#This Row],[Column2]]+Table1[[#This Row],[Column4]]+Table1[[#This Row],[Column5]])</f>
        <v>11781.80867058789</v>
      </c>
      <c r="M15" s="6">
        <f>(Table1[[#This Row],[Column2]]+Table1[[#This Row],[Column4]]+Table1[[#This Row],[Column5]])</f>
        <v>136205.88058483112</v>
      </c>
      <c r="N15" s="18">
        <f>(Table1[[#This Row],[Column2]]+Table1[[#This Row],[Column4]]+Table1[[#This Row],[Column5]])-(Table1[[#This Row],[Column3]]+Table1[[#This Row],[Column9]]+Table1[[#This Row],[Column10]]+Table1[[#This Row],[Column11]])</f>
        <v>101056.24384792169</v>
      </c>
      <c r="O15" s="7">
        <f>1-(Table1[[#This Row],[Column13]]/Table1[[#This Row],[Column12]])</f>
        <v>0.25806254903229153</v>
      </c>
      <c r="P15" s="11">
        <f>Table1[[#This Row],[Column3]]+MIN(5500,Table1[[#This Row],[Column2]]*'Data Input'!$C$14+Table1[[#This Row],[Column5]]*'Data Input'!$F$14+'Data Input'!$C$13+'Data Input'!$F$13)+P14</f>
        <v>0</v>
      </c>
      <c r="Q15" s="6">
        <f>Table1[[#This Row],[Column12]]/12</f>
        <v>11350.490048735926</v>
      </c>
      <c r="R15" s="6">
        <f>Table1[[#This Row],[Column13]]/12</f>
        <v>8421.3536539934739</v>
      </c>
      <c r="S15" s="18">
        <f>Table1[[#This Row],[Column13]]/'Data Input'!$C$4</f>
        <v>4210.676826996737</v>
      </c>
      <c r="T1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Sheet'!B19/12,'Mortgage Sheet'!$K$2))</f>
        <v>5911.6924721316627</v>
      </c>
      <c r="U15" s="18">
        <f>Spending!T16+12*(Table1[[#This Row],[Column17]]-Table1[[#This Row],[Column19]])</f>
        <v>61285.934182341734</v>
      </c>
      <c r="V15" s="14">
        <f>Table1[[#This Row],[Column19]]-Spending!U16</f>
        <v>3314.1924721316627</v>
      </c>
      <c r="W15" s="18">
        <f>W14+12*Table1[[#This Row],[Column21]]</f>
        <v>353260.0959642845</v>
      </c>
      <c r="Z15" s="16"/>
    </row>
    <row r="16" spans="1:28">
      <c r="A16" s="16">
        <f t="shared" si="0"/>
        <v>2030</v>
      </c>
      <c r="B16" s="11">
        <f>IF('Data Input'!$C$18+'Data Input'!$C$2&gt;Table1[[#This Row],[Column1]],('Data Input'!$C$10)*(1+'Data Input'!$C$17)^(Table1[[#This Row],[Column1]]-'Data Input'!$C$2),0)</f>
        <v>138534.11580822436</v>
      </c>
      <c r="C1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6" s="11">
        <f>IF('Data Input'!$F$18+'Data Input'!$C$2&gt;Table1[[#This Row],[Column1]],('Data Input'!$F$10)*(1+'Data Input'!$F$17)^(Table1[[#This Row],[Column1]]-'Data Input'!$C$2),0)</f>
        <v>0</v>
      </c>
      <c r="F16" s="11">
        <f>Table1[[#This Row],[Column2]]+Table1[[#This Row],[Column4]]+Table1[[#This Row],[Column5]]-Table1[[#This Row],[Column3]]-Table1[[#This Row],[Column23]]</f>
        <v>123336.76822959316</v>
      </c>
      <c r="G16" s="11">
        <f>Table1[[#This Row],[Column2]]+Table1[[#This Row],[Column4]]+Table1[[#This Row],[Column5]]-Table1[[#This Row],[Column3]]-Table1[[#This Row],[Column8]]</f>
        <v>109031.428784241</v>
      </c>
      <c r="H16" s="11">
        <f>IF(Table1[[#This Row],[Column1]]&lt;'Data Input'!$C$3,MAX('Tax Information'!$C$15+'Data Input'!C41*'Tax Information'!$C$5,Spending!P17+'Student Loans'!B20),MAX('Tax Information'!$C$15+'Data Input'!C41*'Tax Information'!$C$5,'Mortgage Sheet'!C20+Spending!P17+'Student Loans'!C20))+'Tax Information'!$C$13*('Data Input'!C41+2)</f>
        <v>18197.347578631205</v>
      </c>
      <c r="I16" s="11">
        <f>IF(Table1[[#This Row],[Column1]]&lt;'Data Input'!$C$3,MAX('Tax Information'!$C$6+'Data Input'!C41*'Tax Information'!$C$5,Table1[[#This Row],[Column9]]+Spending!P17+'Student Loans'!C20),MAX('Tax Information'!$C$6+'Data Input'!C41*'Tax Information'!$C$5,'Mortgage Sheet'!C20+Table1[[#This Row],[Column9]]+Spending!P17+'Student Loans'!C20))+'Tax Information'!$C$4*('Data Input'!C41+2)</f>
        <v>32502.68702398337</v>
      </c>
      <c r="J16" s="6">
        <f>'Tax Information'!E39</f>
        <v>6423.3394453521641</v>
      </c>
      <c r="K16" s="6">
        <f>'Tax Information'!C39</f>
        <v>18800.107196060249</v>
      </c>
      <c r="L16" s="18">
        <f>(0.01+0.0765)*(Table1[[#This Row],[Column2]]+Table1[[#This Row],[Column4]]+Table1[[#This Row],[Column5]])</f>
        <v>12242.701017411406</v>
      </c>
      <c r="M16" s="6">
        <f>(Table1[[#This Row],[Column2]]+Table1[[#This Row],[Column4]]+Table1[[#This Row],[Column5]])</f>
        <v>141534.11580822436</v>
      </c>
      <c r="N16" s="18">
        <f>(Table1[[#This Row],[Column2]]+Table1[[#This Row],[Column4]]+Table1[[#This Row],[Column5]])-(Table1[[#This Row],[Column3]]+Table1[[#This Row],[Column9]]+Table1[[#This Row],[Column10]]+Table1[[#This Row],[Column11]])</f>
        <v>104067.96814940055</v>
      </c>
      <c r="O16" s="7">
        <f>1-(Table1[[#This Row],[Column13]]/Table1[[#This Row],[Column12]])</f>
        <v>0.26471460569683158</v>
      </c>
      <c r="P16" s="11">
        <f>Table1[[#This Row],[Column3]]+MIN(5500,Table1[[#This Row],[Column2]]*'Data Input'!$C$14+Table1[[#This Row],[Column5]]*'Data Input'!$F$14+'Data Input'!$C$13+'Data Input'!$F$13)+P15</f>
        <v>0</v>
      </c>
      <c r="Q16" s="6">
        <f>Table1[[#This Row],[Column12]]/12</f>
        <v>11794.509650685364</v>
      </c>
      <c r="R16" s="6">
        <f>Table1[[#This Row],[Column13]]/12</f>
        <v>8672.3306791167124</v>
      </c>
      <c r="S16" s="18">
        <f>Table1[[#This Row],[Column13]]/'Data Input'!$C$4</f>
        <v>4336.1653395583562</v>
      </c>
      <c r="T1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Sheet'!B20/12,'Mortgage Sheet'!$K$2))</f>
        <v>6162.6694972549012</v>
      </c>
      <c r="U16" s="18">
        <f>Spending!T17+12*(Table1[[#This Row],[Column17]]-Table1[[#This Row],[Column19]])</f>
        <v>61285.934182341734</v>
      </c>
      <c r="V16" s="13">
        <f>Table1[[#This Row],[Column19]]-Spending!U17</f>
        <v>3565.1694972549012</v>
      </c>
      <c r="W16" s="18">
        <f>W15+12*Table1[[#This Row],[Column21]]</f>
        <v>396042.12993134331</v>
      </c>
    </row>
    <row r="17" spans="1:31">
      <c r="A17" s="16">
        <f t="shared" si="0"/>
        <v>2031</v>
      </c>
      <c r="B17" s="11">
        <f>IF('Data Input'!$C$18+'Data Input'!$C$2&gt;Table1[[#This Row],[Column1]],('Data Input'!$C$10)*(1+'Data Input'!$C$17)^(Table1[[#This Row],[Column1]]-'Data Input'!$C$2),0)</f>
        <v>144075.48044055334</v>
      </c>
      <c r="C1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7" s="11">
        <f>IF('Data Input'!$F$18+'Data Input'!$C$2&gt;Table1[[#This Row],[Column1]],('Data Input'!$F$10)*(1+'Data Input'!$F$17)^(Table1[[#This Row],[Column1]]-'Data Input'!$C$2),0)</f>
        <v>0</v>
      </c>
      <c r="F17" s="11">
        <f>Table1[[#This Row],[Column2]]+Table1[[#This Row],[Column4]]+Table1[[#This Row],[Column5]]-Table1[[#This Row],[Column3]]-Table1[[#This Row],[Column23]]</f>
        <v>129372.59612593695</v>
      </c>
      <c r="G17" s="11">
        <f>Table1[[#This Row],[Column2]]+Table1[[#This Row],[Column4]]+Table1[[#This Row],[Column5]]-Table1[[#This Row],[Column3]]-Table1[[#This Row],[Column8]]</f>
        <v>114505.92468622481</v>
      </c>
      <c r="H17" s="11">
        <f>IF(Table1[[#This Row],[Column1]]&lt;'Data Input'!$C$3,MAX('Tax Information'!$C$15+'Data Input'!C42*'Tax Information'!$C$5,Spending!P18+'Student Loans'!B21),MAX('Tax Information'!$C$15+'Data Input'!C42*'Tax Information'!$C$5,'Mortgage Sheet'!C21+Spending!P18+'Student Loans'!C21))+'Tax Information'!$C$13*('Data Input'!C42+2)</f>
        <v>17702.884314616389</v>
      </c>
      <c r="I17" s="11">
        <f>IF(Table1[[#This Row],[Column1]]&lt;'Data Input'!$C$3,MAX('Tax Information'!$C$6+'Data Input'!C42*'Tax Information'!$C$5,Table1[[#This Row],[Column9]]+Spending!P18+'Student Loans'!C21),MAX('Tax Information'!$C$6+'Data Input'!C42*'Tax Information'!$C$5,'Mortgage Sheet'!C21+Table1[[#This Row],[Column9]]+Spending!P18+'Student Loans'!C21))+'Tax Information'!$C$4*('Data Input'!C42+2)</f>
        <v>32569.555754328525</v>
      </c>
      <c r="J17" s="6">
        <f>'Tax Information'!E40</f>
        <v>6984.6714397121368</v>
      </c>
      <c r="K17" s="6">
        <f>'Tax Information'!C40</f>
        <v>20168.731171556203</v>
      </c>
      <c r="L17" s="18">
        <f>(0.01+0.0765)*(Table1[[#This Row],[Column2]]+Table1[[#This Row],[Column4]]+Table1[[#This Row],[Column5]])</f>
        <v>12722.029058107863</v>
      </c>
      <c r="M17" s="6">
        <f>(Table1[[#This Row],[Column2]]+Table1[[#This Row],[Column4]]+Table1[[#This Row],[Column5]])</f>
        <v>147075.48044055334</v>
      </c>
      <c r="N17" s="18">
        <f>(Table1[[#This Row],[Column2]]+Table1[[#This Row],[Column4]]+Table1[[#This Row],[Column5]])-(Table1[[#This Row],[Column3]]+Table1[[#This Row],[Column9]]+Table1[[#This Row],[Column10]]+Table1[[#This Row],[Column11]])</f>
        <v>107200.04877117713</v>
      </c>
      <c r="O17" s="7">
        <f>1-(Table1[[#This Row],[Column13]]/Table1[[#This Row],[Column12]])</f>
        <v>0.27112222615171755</v>
      </c>
      <c r="P17" s="11">
        <f>Table1[[#This Row],[Column3]]+MIN(5500,Table1[[#This Row],[Column2]]*'Data Input'!$C$14+Table1[[#This Row],[Column5]]*'Data Input'!$F$14+'Data Input'!$C$13+'Data Input'!$F$13)+P16</f>
        <v>0</v>
      </c>
      <c r="Q17" s="6">
        <f>Table1[[#This Row],[Column12]]/12</f>
        <v>12256.290036712779</v>
      </c>
      <c r="R17" s="6">
        <f>Table1[[#This Row],[Column13]]/12</f>
        <v>8933.337397598094</v>
      </c>
      <c r="S17" s="18">
        <f>Table1[[#This Row],[Column13]]/'Data Input'!$C$4</f>
        <v>4466.668698799047</v>
      </c>
      <c r="T1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Sheet'!B21/12,'Mortgage Sheet'!$K$2))</f>
        <v>6423.6762157362828</v>
      </c>
      <c r="U17" s="18">
        <f>Spending!T18+12*(Table1[[#This Row],[Column17]]-Table1[[#This Row],[Column19]])</f>
        <v>61285.934182341734</v>
      </c>
      <c r="V17" s="14">
        <f>Table1[[#This Row],[Column19]]-Spending!U18</f>
        <v>3826.1762157362828</v>
      </c>
      <c r="W17" s="18">
        <f>W16+12*Table1[[#This Row],[Column21]]</f>
        <v>441956.2445201787</v>
      </c>
    </row>
    <row r="18" spans="1:31">
      <c r="A18" s="16">
        <f t="shared" si="0"/>
        <v>2032</v>
      </c>
      <c r="B18" s="11">
        <f>IF('Data Input'!$C$18+'Data Input'!$C$2&gt;Table1[[#This Row],[Column1]],('Data Input'!$C$10)*(1+'Data Input'!$C$17)^(Table1[[#This Row],[Column1]]-'Data Input'!$C$2),0)</f>
        <v>149838.49965817551</v>
      </c>
      <c r="C1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8" s="11">
        <f>IF('Data Input'!$F$18+'Data Input'!$C$2&gt;Table1[[#This Row],[Column1]],('Data Input'!$F$10)*(1+'Data Input'!$F$17)^(Table1[[#This Row],[Column1]]-'Data Input'!$C$2),0)</f>
        <v>0</v>
      </c>
      <c r="F18" s="11">
        <f>Table1[[#This Row],[Column2]]+Table1[[#This Row],[Column4]]+Table1[[#This Row],[Column5]]-Table1[[#This Row],[Column3]]-Table1[[#This Row],[Column23]]</f>
        <v>135650.22380386706</v>
      </c>
      <c r="G18" s="11">
        <f>Table1[[#This Row],[Column2]]+Table1[[#This Row],[Column4]]+Table1[[#This Row],[Column5]]-Table1[[#This Row],[Column3]]-Table1[[#This Row],[Column8]]</f>
        <v>120199.73299010741</v>
      </c>
      <c r="H18" s="11">
        <f>IF(Table1[[#This Row],[Column1]]&lt;'Data Input'!$C$3,MAX('Tax Information'!$C$15+'Data Input'!C43*'Tax Information'!$C$5,Spending!P19+'Student Loans'!B22),MAX('Tax Information'!$C$15+'Data Input'!C43*'Tax Information'!$C$5,'Mortgage Sheet'!C22+Spending!P19+'Student Loans'!C22))+'Tax Information'!$C$13*('Data Input'!C43+2)</f>
        <v>17188.275854308453</v>
      </c>
      <c r="I18" s="11">
        <f>IF(Table1[[#This Row],[Column1]]&lt;'Data Input'!$C$3,MAX('Tax Information'!$C$6+'Data Input'!C43*'Tax Information'!$C$5,Table1[[#This Row],[Column9]]+Spending!P19+'Student Loans'!C22),MAX('Tax Information'!$C$6+'Data Input'!C43*'Tax Information'!$C$5,'Mortgage Sheet'!C22+Table1[[#This Row],[Column9]]+Spending!P19+'Student Loans'!C22))+'Tax Information'!$C$4*('Data Input'!C43+2)</f>
        <v>32638.766668068092</v>
      </c>
      <c r="J18" s="6">
        <f>'Tax Information'!E41</f>
        <v>7568.4908137596376</v>
      </c>
      <c r="K18" s="6">
        <f>'Tax Information'!C41</f>
        <v>21592.183247526853</v>
      </c>
      <c r="L18" s="18">
        <f>(0.01+0.0765)*(Table1[[#This Row],[Column2]]+Table1[[#This Row],[Column4]]+Table1[[#This Row],[Column5]])</f>
        <v>13220.530220432182</v>
      </c>
      <c r="M18" s="6">
        <f>(Table1[[#This Row],[Column2]]+Table1[[#This Row],[Column4]]+Table1[[#This Row],[Column5]])</f>
        <v>152838.49965817551</v>
      </c>
      <c r="N18" s="18">
        <f>(Table1[[#This Row],[Column2]]+Table1[[#This Row],[Column4]]+Table1[[#This Row],[Column5]])-(Table1[[#This Row],[Column3]]+Table1[[#This Row],[Column9]]+Table1[[#This Row],[Column10]]+Table1[[#This Row],[Column11]])</f>
        <v>110457.29537645684</v>
      </c>
      <c r="O18" s="7">
        <f>1-(Table1[[#This Row],[Column13]]/Table1[[#This Row],[Column12]])</f>
        <v>0.27729403505337047</v>
      </c>
      <c r="P18" s="11">
        <f>Table1[[#This Row],[Column3]]+MIN(5500,Table1[[#This Row],[Column2]]*'Data Input'!$C$14+Table1[[#This Row],[Column5]]*'Data Input'!$F$14+'Data Input'!$C$13+'Data Input'!$F$13)+P17</f>
        <v>0</v>
      </c>
      <c r="Q18" s="6">
        <f>Table1[[#This Row],[Column12]]/12</f>
        <v>12736.541638181292</v>
      </c>
      <c r="R18" s="6">
        <f>Table1[[#This Row],[Column13]]/12</f>
        <v>9204.7746147047365</v>
      </c>
      <c r="S18" s="18">
        <f>Table1[[#This Row],[Column13]]/'Data Input'!$C$4</f>
        <v>4602.3873073523682</v>
      </c>
      <c r="T1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Sheet'!B22/12,'Mortgage Sheet'!$K$2))</f>
        <v>6695.1134328429252</v>
      </c>
      <c r="U18" s="18">
        <f>Spending!T19+12*(Table1[[#This Row],[Column17]]-Table1[[#This Row],[Column19]])</f>
        <v>61285.934182341734</v>
      </c>
      <c r="V18" s="13">
        <f>Table1[[#This Row],[Column19]]-Spending!U19</f>
        <v>4097.6134328429252</v>
      </c>
      <c r="W18" s="18">
        <f>W17+12*Table1[[#This Row],[Column21]]</f>
        <v>491127.60571429378</v>
      </c>
    </row>
    <row r="19" spans="1:31">
      <c r="A19" s="16">
        <f t="shared" si="0"/>
        <v>2033</v>
      </c>
      <c r="B19" s="11">
        <f>IF('Data Input'!$C$18+'Data Input'!$C$2&gt;Table1[[#This Row],[Column1]],('Data Input'!$C$10)*(1+'Data Input'!$C$17)^(Table1[[#This Row],[Column1]]-'Data Input'!$C$2),0)</f>
        <v>155832.03964450251</v>
      </c>
      <c r="C1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1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19" s="11">
        <f>IF('Data Input'!$F$18+'Data Input'!$C$2&gt;Table1[[#This Row],[Column1]],('Data Input'!$F$10)*(1+'Data Input'!$F$17)^(Table1[[#This Row],[Column1]]-'Data Input'!$C$2),0)</f>
        <v>0</v>
      </c>
      <c r="F19" s="11">
        <f>Table1[[#This Row],[Column2]]+Table1[[#This Row],[Column4]]+Table1[[#This Row],[Column5]]-Table1[[#This Row],[Column3]]-Table1[[#This Row],[Column23]]</f>
        <v>142179.33819317451</v>
      </c>
      <c r="G19" s="11">
        <f>Table1[[#This Row],[Column2]]+Table1[[#This Row],[Column4]]+Table1[[#This Row],[Column5]]-Table1[[#This Row],[Column3]]-Table1[[#This Row],[Column8]]</f>
        <v>126121.63974120929</v>
      </c>
      <c r="H19" s="11">
        <f>IF(Table1[[#This Row],[Column1]]&lt;'Data Input'!$C$3,MAX('Tax Information'!$C$15+'Data Input'!C44*'Tax Information'!$C$5,Spending!P20+'Student Loans'!B23),MAX('Tax Information'!$C$15+'Data Input'!C44*'Tax Information'!$C$5,'Mortgage Sheet'!C23+Spending!P20+'Student Loans'!C23))+'Tax Information'!$C$13*('Data Input'!C44+2)</f>
        <v>16652.701451327994</v>
      </c>
      <c r="I19" s="11">
        <f>IF(Table1[[#This Row],[Column1]]&lt;'Data Input'!$C$3,MAX('Tax Information'!$C$6+'Data Input'!C44*'Tax Information'!$C$5,Table1[[#This Row],[Column9]]+Spending!P20+'Student Loans'!C23),MAX('Tax Information'!$C$6+'Data Input'!C44*'Tax Information'!$C$5,'Mortgage Sheet'!C23+Table1[[#This Row],[Column9]]+Spending!P20+'Student Loans'!C23))+'Tax Information'!$C$4*('Data Input'!C44+2)</f>
        <v>32710.399903293222</v>
      </c>
      <c r="J19" s="6">
        <f>'Tax Information'!E42</f>
        <v>8175.6984519652297</v>
      </c>
      <c r="K19" s="6">
        <f>'Tax Information'!C42</f>
        <v>23072.659935302323</v>
      </c>
      <c r="L19" s="18">
        <f>(0.01+0.0765)*(Table1[[#This Row],[Column2]]+Table1[[#This Row],[Column4]]+Table1[[#This Row],[Column5]])</f>
        <v>13738.971429249466</v>
      </c>
      <c r="M19" s="6">
        <f>(Table1[[#This Row],[Column2]]+Table1[[#This Row],[Column4]]+Table1[[#This Row],[Column5]])</f>
        <v>158832.03964450251</v>
      </c>
      <c r="N19" s="18">
        <f>(Table1[[#This Row],[Column2]]+Table1[[#This Row],[Column4]]+Table1[[#This Row],[Column5]])-(Table1[[#This Row],[Column3]]+Table1[[#This Row],[Column9]]+Table1[[#This Row],[Column10]]+Table1[[#This Row],[Column11]])</f>
        <v>113844.7098279855</v>
      </c>
      <c r="O19" s="7">
        <f>1-(Table1[[#This Row],[Column13]]/Table1[[#This Row],[Column12]])</f>
        <v>0.28323838135685686</v>
      </c>
      <c r="P19" s="11">
        <f>Table1[[#This Row],[Column3]]+MIN(5500,Table1[[#This Row],[Column2]]*'Data Input'!$C$14+Table1[[#This Row],[Column5]]*'Data Input'!$F$14+'Data Input'!$C$13+'Data Input'!$F$13)+P18</f>
        <v>0</v>
      </c>
      <c r="Q19" s="6">
        <f>Table1[[#This Row],[Column12]]/12</f>
        <v>13236.003303708543</v>
      </c>
      <c r="R19" s="6">
        <f>Table1[[#This Row],[Column13]]/12</f>
        <v>9487.0591523321254</v>
      </c>
      <c r="S19" s="18">
        <f>Table1[[#This Row],[Column13]]/'Data Input'!$C$4</f>
        <v>4743.5295761660627</v>
      </c>
      <c r="T1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Sheet'!B23/12,'Mortgage Sheet'!$K$2))</f>
        <v>6977.3979704703142</v>
      </c>
      <c r="U19" s="18">
        <f>Spending!T20+12*(Table1[[#This Row],[Column17]]-Table1[[#This Row],[Column19]])</f>
        <v>61285.934182341734</v>
      </c>
      <c r="V19" s="14">
        <f>Table1[[#This Row],[Column19]]-Spending!U20</f>
        <v>4379.8979704703142</v>
      </c>
      <c r="W19" s="18">
        <f>W18+12*Table1[[#This Row],[Column21]]</f>
        <v>543686.3813599376</v>
      </c>
      <c r="AB19" s="17"/>
      <c r="AE19" s="18"/>
    </row>
    <row r="20" spans="1:31">
      <c r="A20" s="16">
        <f t="shared" si="0"/>
        <v>2034</v>
      </c>
      <c r="B20" s="11">
        <f>IF('Data Input'!$C$18+'Data Input'!$C$2&gt;Table1[[#This Row],[Column1]],('Data Input'!$C$10)*(1+'Data Input'!$C$17)^(Table1[[#This Row],[Column1]]-'Data Input'!$C$2),0)</f>
        <v>162065.32123028263</v>
      </c>
      <c r="C2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0" s="11">
        <f>IF('Data Input'!$F$18+'Data Input'!$C$2&gt;Table1[[#This Row],[Column1]],('Data Input'!$F$10)*(1+'Data Input'!$F$17)^(Table1[[#This Row],[Column1]]-'Data Input'!$C$2),0)</f>
        <v>0</v>
      </c>
      <c r="F20" s="11">
        <f>Table1[[#This Row],[Column2]]+Table1[[#This Row],[Column4]]+Table1[[#This Row],[Column5]]-Table1[[#This Row],[Column3]]-Table1[[#This Row],[Column23]]</f>
        <v>148970.01430946085</v>
      </c>
      <c r="G20" s="11">
        <f>Table1[[#This Row],[Column2]]+Table1[[#This Row],[Column4]]+Table1[[#This Row],[Column5]]-Table1[[#This Row],[Column3]]-Table1[[#This Row],[Column8]]</f>
        <v>132280.782978681</v>
      </c>
      <c r="H20" s="11">
        <f>IF(Table1[[#This Row],[Column1]]&lt;'Data Input'!$C$3,MAX('Tax Information'!$C$15+'Data Input'!C45*'Tax Information'!$C$5,Spending!P21+'Student Loans'!B24),MAX('Tax Information'!$C$15+'Data Input'!C45*'Tax Information'!$C$5,'Mortgage Sheet'!C24+Spending!P21+'Student Loans'!C24))+'Tax Information'!$C$13*('Data Input'!C45+2)</f>
        <v>16095.306920821768</v>
      </c>
      <c r="I20" s="11">
        <f>IF(Table1[[#This Row],[Column1]]&lt;'Data Input'!$C$3,MAX('Tax Information'!$C$6+'Data Input'!C45*'Tax Information'!$C$5,Table1[[#This Row],[Column9]]+Spending!P21+'Student Loans'!C24),MAX('Tax Information'!$C$6+'Data Input'!C45*'Tax Information'!$C$5,'Mortgage Sheet'!C24+Table1[[#This Row],[Column9]]+Spending!P21+'Student Loans'!C24))+'Tax Information'!$C$4*('Data Input'!C45+2)</f>
        <v>32784.538251601625</v>
      </c>
      <c r="J20" s="6">
        <f>'Tax Information'!E43</f>
        <v>8807.2313307798595</v>
      </c>
      <c r="K20" s="6">
        <f>'Tax Information'!C43</f>
        <v>24612.445744670251</v>
      </c>
      <c r="L20" s="18">
        <f>(0.01+0.0765)*(Table1[[#This Row],[Column2]]+Table1[[#This Row],[Column4]]+Table1[[#This Row],[Column5]])</f>
        <v>14278.150286419446</v>
      </c>
      <c r="M20" s="6">
        <f>(Table1[[#This Row],[Column2]]+Table1[[#This Row],[Column4]]+Table1[[#This Row],[Column5]])</f>
        <v>165065.32123028263</v>
      </c>
      <c r="N20" s="18">
        <f>(Table1[[#This Row],[Column2]]+Table1[[#This Row],[Column4]]+Table1[[#This Row],[Column5]])-(Table1[[#This Row],[Column3]]+Table1[[#This Row],[Column9]]+Table1[[#This Row],[Column10]]+Table1[[#This Row],[Column11]])</f>
        <v>117367.49386841306</v>
      </c>
      <c r="O20" s="7">
        <f>1-(Table1[[#This Row],[Column13]]/Table1[[#This Row],[Column12]])</f>
        <v>0.28896334497375331</v>
      </c>
      <c r="P20" s="11">
        <f>Table1[[#This Row],[Column3]]+MIN(5500,Table1[[#This Row],[Column2]]*'Data Input'!$C$14+Table1[[#This Row],[Column5]]*'Data Input'!$F$14+'Data Input'!$C$13+'Data Input'!$F$13)+P19</f>
        <v>0</v>
      </c>
      <c r="Q20" s="6">
        <f>Table1[[#This Row],[Column12]]/12</f>
        <v>13755.443435856885</v>
      </c>
      <c r="R20" s="6">
        <f>Table1[[#This Row],[Column13]]/12</f>
        <v>9780.6244890344224</v>
      </c>
      <c r="S20" s="18">
        <f>Table1[[#This Row],[Column13]]/'Data Input'!$C$4</f>
        <v>4890.3122445172112</v>
      </c>
      <c r="T2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Sheet'!B24/12,'Mortgage Sheet'!$K$2))</f>
        <v>7270.9633071726112</v>
      </c>
      <c r="U20" s="18">
        <f>Spending!T21+12*(Table1[[#This Row],[Column17]]-Table1[[#This Row],[Column19]])</f>
        <v>61285.934182341734</v>
      </c>
      <c r="V20" s="13">
        <f>Table1[[#This Row],[Column19]]-Spending!U21</f>
        <v>4673.4633071726112</v>
      </c>
      <c r="W20" s="18">
        <f>W19+12*Table1[[#This Row],[Column21]]</f>
        <v>599767.94104600896</v>
      </c>
    </row>
    <row r="21" spans="1:31">
      <c r="A21" s="16">
        <f t="shared" si="0"/>
        <v>2035</v>
      </c>
      <c r="B21" s="11">
        <f>IF('Data Input'!$C$18+'Data Input'!$C$2&gt;Table1[[#This Row],[Column1]],('Data Input'!$C$10)*(1+'Data Input'!$C$17)^(Table1[[#This Row],[Column1]]-'Data Input'!$C$2),0)</f>
        <v>168547.93407949395</v>
      </c>
      <c r="C2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1" s="11">
        <f>IF('Data Input'!$F$18+'Data Input'!$C$2&gt;Table1[[#This Row],[Column1]],('Data Input'!$F$10)*(1+'Data Input'!$F$17)^(Table1[[#This Row],[Column1]]-'Data Input'!$C$2),0)</f>
        <v>0</v>
      </c>
      <c r="F21" s="11">
        <f>Table1[[#This Row],[Column2]]+Table1[[#This Row],[Column4]]+Table1[[#This Row],[Column5]]-Table1[[#This Row],[Column3]]-Table1[[#This Row],[Column23]]</f>
        <v>156032.73080236628</v>
      </c>
      <c r="G21" s="11">
        <f>Table1[[#This Row],[Column2]]+Table1[[#This Row],[Column4]]+Table1[[#This Row],[Column5]]-Table1[[#This Row],[Column3]]-Table1[[#This Row],[Column8]]</f>
        <v>138686.66683774622</v>
      </c>
      <c r="H21" s="11">
        <f>IF(Table1[[#This Row],[Column1]]&lt;'Data Input'!$C$3,MAX('Tax Information'!$C$15+'Data Input'!C46*'Tax Information'!$C$5,Spending!P22+'Student Loans'!B25),MAX('Tax Information'!$C$15+'Data Input'!C46*'Tax Information'!$C$5,'Mortgage Sheet'!C25+Spending!P22+'Student Loans'!C25))+'Tax Information'!$C$13*('Data Input'!C46+2)</f>
        <v>15515.203277127666</v>
      </c>
      <c r="I21" s="11">
        <f>IF(Table1[[#This Row],[Column1]]&lt;'Data Input'!$C$3,MAX('Tax Information'!$C$6+'Data Input'!C46*'Tax Information'!$C$5,Table1[[#This Row],[Column9]]+Spending!P22+'Student Loans'!C25),MAX('Tax Information'!$C$6+'Data Input'!C46*'Tax Information'!$C$5,'Mortgage Sheet'!C25+Table1[[#This Row],[Column9]]+Spending!P22+'Student Loans'!C25))+'Tax Information'!$C$4*('Data Input'!C46+2)</f>
        <v>32861.26724174773</v>
      </c>
      <c r="J21" s="6">
        <f>'Tax Information'!E44</f>
        <v>9464.0639646200652</v>
      </c>
      <c r="K21" s="6">
        <f>'Tax Information'!C44</f>
        <v>26213.916709436555</v>
      </c>
      <c r="L21" s="18">
        <f>(0.01+0.0765)*(Table1[[#This Row],[Column2]]+Table1[[#This Row],[Column4]]+Table1[[#This Row],[Column5]])</f>
        <v>14838.896297876225</v>
      </c>
      <c r="M21" s="6">
        <f>(Table1[[#This Row],[Column2]]+Table1[[#This Row],[Column4]]+Table1[[#This Row],[Column5]])</f>
        <v>171547.93407949395</v>
      </c>
      <c r="N21" s="18">
        <f>(Table1[[#This Row],[Column2]]+Table1[[#This Row],[Column4]]+Table1[[#This Row],[Column5]])-(Table1[[#This Row],[Column3]]+Table1[[#This Row],[Column9]]+Table1[[#This Row],[Column10]]+Table1[[#This Row],[Column11]])</f>
        <v>121031.05710756111</v>
      </c>
      <c r="O21" s="7">
        <f>1-(Table1[[#This Row],[Column13]]/Table1[[#This Row],[Column12]])</f>
        <v>0.29447674344200336</v>
      </c>
      <c r="P21" s="11">
        <f>Table1[[#This Row],[Column3]]+MIN(5500,Table1[[#This Row],[Column2]]*'Data Input'!$C$14+Table1[[#This Row],[Column5]]*'Data Input'!$F$14+'Data Input'!$C$13+'Data Input'!$F$13)+P20</f>
        <v>0</v>
      </c>
      <c r="Q21" s="6">
        <f>Table1[[#This Row],[Column12]]/12</f>
        <v>14295.661173291162</v>
      </c>
      <c r="R21" s="6">
        <f>Table1[[#This Row],[Column13]]/12</f>
        <v>10085.921425630093</v>
      </c>
      <c r="S21" s="18">
        <f>Table1[[#This Row],[Column13]]/'Data Input'!$C$4</f>
        <v>5042.9607128150465</v>
      </c>
      <c r="T2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Sheet'!B25/12,'Mortgage Sheet'!$K$2))</f>
        <v>7576.2602437682817</v>
      </c>
      <c r="U21" s="18">
        <f>Spending!T22+12*(Table1[[#This Row],[Column17]]-Table1[[#This Row],[Column19]])</f>
        <v>61285.934182341734</v>
      </c>
      <c r="V21" s="14">
        <f>Table1[[#This Row],[Column19]]-Spending!U22</f>
        <v>4978.7602437682817</v>
      </c>
      <c r="W21" s="18">
        <f>W20+12*Table1[[#This Row],[Column21]]</f>
        <v>659513.06397122832</v>
      </c>
    </row>
    <row r="22" spans="1:31">
      <c r="A22" s="16">
        <f t="shared" si="0"/>
        <v>2036</v>
      </c>
      <c r="B22" s="11">
        <f>IF('Data Input'!$C$18+'Data Input'!$C$2&gt;Table1[[#This Row],[Column1]],('Data Input'!$C$10)*(1+'Data Input'!$C$17)^(Table1[[#This Row],[Column1]]-'Data Input'!$C$2),0)</f>
        <v>175289.85144267371</v>
      </c>
      <c r="C2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2" s="11">
        <f>IF('Data Input'!$F$18+'Data Input'!$C$2&gt;Table1[[#This Row],[Column1]],('Data Input'!$F$10)*(1+'Data Input'!$F$17)^(Table1[[#This Row],[Column1]]-'Data Input'!$C$2),0)</f>
        <v>0</v>
      </c>
      <c r="F22" s="11">
        <f>Table1[[#This Row],[Column2]]+Table1[[#This Row],[Column4]]+Table1[[#This Row],[Column5]]-Table1[[#This Row],[Column3]]-Table1[[#This Row],[Column23]]</f>
        <v>163378.38612673763</v>
      </c>
      <c r="G22" s="11">
        <f>Table1[[#This Row],[Column2]]+Table1[[#This Row],[Column4]]+Table1[[#This Row],[Column5]]-Table1[[#This Row],[Column3]]-Table1[[#This Row],[Column8]]</f>
        <v>145349.17621695105</v>
      </c>
      <c r="H22" s="11">
        <f>IF(Table1[[#This Row],[Column1]]&lt;'Data Input'!$C$3,MAX('Tax Information'!$C$15+'Data Input'!C47*'Tax Information'!$C$5,Spending!P23+'Student Loans'!B26),MAX('Tax Information'!$C$15+'Data Input'!C47*'Tax Information'!$C$5,'Mortgage Sheet'!C26+Spending!P23+'Student Loans'!C26))+'Tax Information'!$C$13*('Data Input'!C47+2)</f>
        <v>14911.465315936075</v>
      </c>
      <c r="I22" s="11">
        <f>IF(Table1[[#This Row],[Column1]]&lt;'Data Input'!$C$3,MAX('Tax Information'!$C$6+'Data Input'!C47*'Tax Information'!$C$5,Table1[[#This Row],[Column9]]+Spending!P23+'Student Loans'!C26),MAX('Tax Information'!$C$6+'Data Input'!C47*'Tax Information'!$C$5,'Mortgage Sheet'!C26+Table1[[#This Row],[Column9]]+Spending!P23+'Student Loans'!C26))+'Tax Information'!$C$4*('Data Input'!C47+2)</f>
        <v>32940.675225722676</v>
      </c>
      <c r="J22" s="6">
        <f>'Tax Information'!E45</f>
        <v>10147.209909786601</v>
      </c>
      <c r="K22" s="6">
        <f>'Tax Information'!C45</f>
        <v>27879.544054237762</v>
      </c>
      <c r="L22" s="18">
        <f>(0.01+0.0765)*(Table1[[#This Row],[Column2]]+Table1[[#This Row],[Column4]]+Table1[[#This Row],[Column5]])</f>
        <v>15422.072149791275</v>
      </c>
      <c r="M22" s="6">
        <f>(Table1[[#This Row],[Column2]]+Table1[[#This Row],[Column4]]+Table1[[#This Row],[Column5]])</f>
        <v>178289.85144267371</v>
      </c>
      <c r="N22" s="18">
        <f>(Table1[[#This Row],[Column2]]+Table1[[#This Row],[Column4]]+Table1[[#This Row],[Column5]])-(Table1[[#This Row],[Column3]]+Table1[[#This Row],[Column9]]+Table1[[#This Row],[Column10]]+Table1[[#This Row],[Column11]])</f>
        <v>124841.02532885807</v>
      </c>
      <c r="O22" s="7">
        <f>1-(Table1[[#This Row],[Column13]]/Table1[[#This Row],[Column12]])</f>
        <v>0.29978613859017811</v>
      </c>
      <c r="P22" s="11">
        <f>Table1[[#This Row],[Column3]]+MIN(5500,Table1[[#This Row],[Column2]]*'Data Input'!$C$14+Table1[[#This Row],[Column5]]*'Data Input'!$F$14+'Data Input'!$C$13+'Data Input'!$F$13)+P21</f>
        <v>0</v>
      </c>
      <c r="Q22" s="6">
        <f>Table1[[#This Row],[Column12]]/12</f>
        <v>14857.48762022281</v>
      </c>
      <c r="R22" s="6">
        <f>Table1[[#This Row],[Column13]]/12</f>
        <v>10403.418777404839</v>
      </c>
      <c r="S22" s="18">
        <f>Table1[[#This Row],[Column13]]/'Data Input'!$C$4</f>
        <v>5201.7093887024193</v>
      </c>
      <c r="T2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Sheet'!B26/12,'Mortgage Sheet'!$K$2))</f>
        <v>7893.7575955430275</v>
      </c>
      <c r="U22" s="18">
        <f>Spending!T23+12*(Table1[[#This Row],[Column17]]-Table1[[#This Row],[Column19]])</f>
        <v>61285.934182341734</v>
      </c>
      <c r="V22" s="13">
        <f>Table1[[#This Row],[Column19]]-Spending!U23</f>
        <v>5296.2575955430275</v>
      </c>
      <c r="W22" s="18">
        <f>W21+12*Table1[[#This Row],[Column21]]</f>
        <v>723068.1551177447</v>
      </c>
    </row>
    <row r="23" spans="1:31">
      <c r="A23" s="16">
        <f t="shared" si="0"/>
        <v>2037</v>
      </c>
      <c r="B23" s="11">
        <f>IF('Data Input'!$C$18+'Data Input'!$C$2&gt;Table1[[#This Row],[Column1]],('Data Input'!$C$10)*(1+'Data Input'!$C$17)^(Table1[[#This Row],[Column1]]-'Data Input'!$C$2),0)</f>
        <v>182301.44550038071</v>
      </c>
      <c r="C2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3" s="11">
        <f>IF('Data Input'!$F$18+'Data Input'!$C$2&gt;Table1[[#This Row],[Column1]],('Data Input'!$F$10)*(1+'Data Input'!$F$17)^(Table1[[#This Row],[Column1]]-'Data Input'!$C$2),0)</f>
        <v>0</v>
      </c>
      <c r="F23" s="11">
        <f>Table1[[#This Row],[Column2]]+Table1[[#This Row],[Column4]]+Table1[[#This Row],[Column5]]-Table1[[#This Row],[Column3]]-Table1[[#This Row],[Column23]]</f>
        <v>171018.31536169443</v>
      </c>
      <c r="G23" s="11">
        <f>Table1[[#This Row],[Column2]]+Table1[[#This Row],[Column4]]+Table1[[#This Row],[Column5]]-Table1[[#This Row],[Column3]]-Table1[[#This Row],[Column8]]</f>
        <v>152278.59203305683</v>
      </c>
      <c r="H23" s="11">
        <f>IF(Table1[[#This Row],[Column1]]&lt;'Data Input'!$C$3,MAX('Tax Information'!$C$15+'Data Input'!C48*'Tax Information'!$C$5,Spending!P24+'Student Loans'!B27),MAX('Tax Information'!$C$15+'Data Input'!C48*'Tax Information'!$C$5,'Mortgage Sheet'!C27+Spending!P24+'Student Loans'!C27))+'Tax Information'!$C$13*('Data Input'!C48+2)</f>
        <v>14283.130138686289</v>
      </c>
      <c r="I23" s="11">
        <f>IF(Table1[[#This Row],[Column1]]&lt;'Data Input'!$C$3,MAX('Tax Information'!$C$6+'Data Input'!C48*'Tax Information'!$C$5,Table1[[#This Row],[Column9]]+Spending!P24+'Student Loans'!C27),MAX('Tax Information'!$C$6+'Data Input'!C48*'Tax Information'!$C$5,'Mortgage Sheet'!C27+Table1[[#This Row],[Column9]]+Spending!P24+'Student Loans'!C27))+'Tax Information'!$C$4*('Data Input'!C48+2)</f>
        <v>33022.853467323868</v>
      </c>
      <c r="J23" s="6">
        <f>'Tax Information'!E46</f>
        <v>10857.723328637581</v>
      </c>
      <c r="K23" s="6">
        <f>'Tax Information'!C46</f>
        <v>29623.225769255914</v>
      </c>
      <c r="L23" s="18">
        <f>(0.01+0.0765)*(Table1[[#This Row],[Column2]]+Table1[[#This Row],[Column4]]+Table1[[#This Row],[Column5]])</f>
        <v>16028.575035782929</v>
      </c>
      <c r="M23" s="6">
        <f>(Table1[[#This Row],[Column2]]+Table1[[#This Row],[Column4]]+Table1[[#This Row],[Column5]])</f>
        <v>185301.44550038071</v>
      </c>
      <c r="N23" s="18">
        <f>(Table1[[#This Row],[Column2]]+Table1[[#This Row],[Column4]]+Table1[[#This Row],[Column5]])-(Table1[[#This Row],[Column3]]+Table1[[#This Row],[Column9]]+Table1[[#This Row],[Column10]]+Table1[[#This Row],[Column11]])</f>
        <v>128791.92136670428</v>
      </c>
      <c r="O23" s="7">
        <f>1-(Table1[[#This Row],[Column13]]/Table1[[#This Row],[Column12]])</f>
        <v>0.30495997471083047</v>
      </c>
      <c r="P23" s="11">
        <f>Table1[[#This Row],[Column3]]+MIN(5500,Table1[[#This Row],[Column2]]*'Data Input'!$C$14+Table1[[#This Row],[Column5]]*'Data Input'!$F$14+'Data Input'!$C$13+'Data Input'!$F$13)+P22</f>
        <v>0</v>
      </c>
      <c r="Q23" s="6">
        <f>Table1[[#This Row],[Column12]]/12</f>
        <v>15441.787125031726</v>
      </c>
      <c r="R23" s="6">
        <f>Table1[[#This Row],[Column13]]/12</f>
        <v>10732.660113892023</v>
      </c>
      <c r="S23" s="18">
        <f>Table1[[#This Row],[Column13]]/'Data Input'!$C$4</f>
        <v>5366.3300569460116</v>
      </c>
      <c r="T2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Sheet'!B27/12,'Mortgage Sheet'!$K$2))</f>
        <v>8222.998932030212</v>
      </c>
      <c r="U23" s="18">
        <f>Spending!T24+12*(Table1[[#This Row],[Column17]]-Table1[[#This Row],[Column19]])</f>
        <v>61285.934182341734</v>
      </c>
      <c r="V23" s="14">
        <f>Table1[[#This Row],[Column19]]-Spending!U24</f>
        <v>5625.498932030212</v>
      </c>
      <c r="W23" s="18">
        <f>W22+12*Table1[[#This Row],[Column21]]</f>
        <v>790574.1423021073</v>
      </c>
    </row>
    <row r="24" spans="1:31">
      <c r="A24" s="16">
        <f t="shared" si="0"/>
        <v>2038</v>
      </c>
      <c r="B24" s="11">
        <f>IF('Data Input'!$C$18+'Data Input'!$C$2&gt;Table1[[#This Row],[Column1]],('Data Input'!$C$10)*(1+'Data Input'!$C$17)^(Table1[[#This Row],[Column1]]-'Data Input'!$C$2),0)</f>
        <v>189593.50332039592</v>
      </c>
      <c r="C2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4" s="11">
        <f>IF('Data Input'!$F$18+'Data Input'!$C$2&gt;Table1[[#This Row],[Column1]],('Data Input'!$F$10)*(1+'Data Input'!$F$17)^(Table1[[#This Row],[Column1]]-'Data Input'!$C$2),0)</f>
        <v>0</v>
      </c>
      <c r="F24" s="11">
        <f>Table1[[#This Row],[Column2]]+Table1[[#This Row],[Column4]]+Table1[[#This Row],[Column5]]-Table1[[#This Row],[Column3]]-Table1[[#This Row],[Column23]]</f>
        <v>178964.30770355134</v>
      </c>
      <c r="G24" s="11">
        <f>Table1[[#This Row],[Column2]]+Table1[[#This Row],[Column4]]+Table1[[#This Row],[Column5]]-Table1[[#This Row],[Column3]]-Table1[[#This Row],[Column8]]</f>
        <v>159485.60708712108</v>
      </c>
      <c r="H24" s="11">
        <f>IF(Table1[[#This Row],[Column1]]&lt;'Data Input'!$C$3,MAX('Tax Information'!$C$15+'Data Input'!C49*'Tax Information'!$C$5,Spending!P25+'Student Loans'!B28),MAX('Tax Information'!$C$15+'Data Input'!C49*'Tax Information'!$C$5,'Mortgage Sheet'!C28+Spending!P25+'Student Loans'!C28))+'Tax Information'!$C$13*('Data Input'!C49+2)</f>
        <v>13629.195616844569</v>
      </c>
      <c r="I24" s="11">
        <f>IF(Table1[[#This Row],[Column1]]&lt;'Data Input'!$C$3,MAX('Tax Information'!$C$6+'Data Input'!C49*'Tax Information'!$C$5,Table1[[#This Row],[Column9]]+Spending!P25+'Student Loans'!C28),MAX('Tax Information'!$C$6+'Data Input'!C49*'Tax Information'!$C$5,'Mortgage Sheet'!C28+Table1[[#This Row],[Column9]]+Spending!P25+'Student Loans'!C28))+'Tax Information'!$C$4*('Data Input'!C49+2)</f>
        <v>33107.896233274842</v>
      </c>
      <c r="J24" s="6">
        <f>'Tax Information'!E47</f>
        <v>11596.700616430275</v>
      </c>
      <c r="K24" s="6">
        <f>'Tax Information'!C47</f>
        <v>31641.189984393903</v>
      </c>
      <c r="L24" s="18">
        <f>(0.01+0.0765)*(Table1[[#This Row],[Column2]]+Table1[[#This Row],[Column4]]+Table1[[#This Row],[Column5]])</f>
        <v>16659.338037214246</v>
      </c>
      <c r="M24" s="6">
        <f>(Table1[[#This Row],[Column2]]+Table1[[#This Row],[Column4]]+Table1[[#This Row],[Column5]])</f>
        <v>192593.50332039592</v>
      </c>
      <c r="N24" s="18">
        <f>(Table1[[#This Row],[Column2]]+Table1[[#This Row],[Column4]]+Table1[[#This Row],[Column5]])-(Table1[[#This Row],[Column3]]+Table1[[#This Row],[Column9]]+Table1[[#This Row],[Column10]]+Table1[[#This Row],[Column11]])</f>
        <v>132696.2746823575</v>
      </c>
      <c r="O24" s="7">
        <f>1-(Table1[[#This Row],[Column13]]/Table1[[#This Row],[Column12]])</f>
        <v>0.3110033703389995</v>
      </c>
      <c r="P24" s="11">
        <f>Table1[[#This Row],[Column3]]+MIN(5500,Table1[[#This Row],[Column2]]*'Data Input'!$C$14+Table1[[#This Row],[Column5]]*'Data Input'!$F$14+'Data Input'!$C$13+'Data Input'!$F$13)+P23</f>
        <v>0</v>
      </c>
      <c r="Q24" s="6">
        <f>Table1[[#This Row],[Column12]]/12</f>
        <v>16049.458610032993</v>
      </c>
      <c r="R24" s="6">
        <f>Table1[[#This Row],[Column13]]/12</f>
        <v>11058.022890196458</v>
      </c>
      <c r="S24" s="18">
        <f>Table1[[#This Row],[Column13]]/'Data Input'!$C$4</f>
        <v>5529.0114450982292</v>
      </c>
      <c r="T2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Sheet'!B28/12,'Mortgage Sheet'!$K$2))</f>
        <v>8548.3617083346471</v>
      </c>
      <c r="U24" s="18">
        <f>Spending!T25+12*(Table1[[#This Row],[Column17]]-Table1[[#This Row],[Column19]])</f>
        <v>61285.934182341734</v>
      </c>
      <c r="V24" s="13">
        <f>Table1[[#This Row],[Column19]]-Spending!U25</f>
        <v>5950.8617083346471</v>
      </c>
      <c r="W24" s="18">
        <f>W23+12*Table1[[#This Row],[Column21]]</f>
        <v>861984.48280212306</v>
      </c>
    </row>
    <row r="25" spans="1:31">
      <c r="A25" s="16">
        <f t="shared" si="0"/>
        <v>2039</v>
      </c>
      <c r="B25" s="11">
        <f>IF('Data Input'!$C$18+'Data Input'!$C$2&gt;Table1[[#This Row],[Column1]],('Data Input'!$C$10)*(1+'Data Input'!$C$17)^(Table1[[#This Row],[Column1]]-'Data Input'!$C$2),0)</f>
        <v>197177.24345321173</v>
      </c>
      <c r="C2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5" s="11">
        <f>IF('Data Input'!$F$18+'Data Input'!$C$2&gt;Table1[[#This Row],[Column1]],('Data Input'!$F$10)*(1+'Data Input'!$F$17)^(Table1[[#This Row],[Column1]]-'Data Input'!$C$2),0)</f>
        <v>0</v>
      </c>
      <c r="F25" s="11">
        <f>Table1[[#This Row],[Column2]]+Table1[[#This Row],[Column4]]+Table1[[#This Row],[Column5]]-Table1[[#This Row],[Column3]]-Table1[[#This Row],[Column23]]</f>
        <v>187228.62465959723</v>
      </c>
      <c r="G25" s="11">
        <f>Table1[[#This Row],[Column2]]+Table1[[#This Row],[Column4]]+Table1[[#This Row],[Column5]]-Table1[[#This Row],[Column3]]-Table1[[#This Row],[Column8]]</f>
        <v>166981.34256625469</v>
      </c>
      <c r="H25" s="11">
        <f>IF(Table1[[#This Row],[Column1]]&lt;'Data Input'!$C$3,MAX('Tax Information'!$C$15+'Data Input'!C50*'Tax Information'!$C$5,Spending!P26+'Student Loans'!B29),MAX('Tax Information'!$C$15+'Data Input'!C50*'Tax Information'!$C$5,'Mortgage Sheet'!C29+Spending!P26+'Student Loans'!C29))+'Tax Information'!$C$13*('Data Input'!C50+2)</f>
        <v>12948.618793614503</v>
      </c>
      <c r="I25" s="11">
        <f>IF(Table1[[#This Row],[Column1]]&lt;'Data Input'!$C$3,MAX('Tax Information'!$C$6+'Data Input'!C50*'Tax Information'!$C$5,Table1[[#This Row],[Column9]]+Spending!P26+'Student Loans'!C29),MAX('Tax Information'!$C$6+'Data Input'!C50*'Tax Information'!$C$5,'Mortgage Sheet'!C29+Table1[[#This Row],[Column9]]+Spending!P26+'Student Loans'!C29))+'Tax Information'!$C$4*('Data Input'!C50+2)</f>
        <v>33195.900886957046</v>
      </c>
      <c r="J25" s="6">
        <f>'Tax Information'!E48</f>
        <v>12365.282093342543</v>
      </c>
      <c r="K25" s="6">
        <f>'Tax Information'!C48</f>
        <v>33739.995918551314</v>
      </c>
      <c r="L25" s="18">
        <f>(0.01+0.0765)*(Table1[[#This Row],[Column2]]+Table1[[#This Row],[Column4]]+Table1[[#This Row],[Column5]])</f>
        <v>17315.331558702812</v>
      </c>
      <c r="M25" s="6">
        <f>(Table1[[#This Row],[Column2]]+Table1[[#This Row],[Column4]]+Table1[[#This Row],[Column5]])</f>
        <v>200177.24345321173</v>
      </c>
      <c r="N25" s="18">
        <f>(Table1[[#This Row],[Column2]]+Table1[[#This Row],[Column4]]+Table1[[#This Row],[Column5]])-(Table1[[#This Row],[Column3]]+Table1[[#This Row],[Column9]]+Table1[[#This Row],[Column10]]+Table1[[#This Row],[Column11]])</f>
        <v>136756.63388261507</v>
      </c>
      <c r="O25" s="7">
        <f>1-(Table1[[#This Row],[Column13]]/Table1[[#This Row],[Column12]])</f>
        <v>0.31682227448306444</v>
      </c>
      <c r="P25" s="11">
        <f>Table1[[#This Row],[Column3]]+MIN(5500,Table1[[#This Row],[Column2]]*'Data Input'!$C$14+Table1[[#This Row],[Column5]]*'Data Input'!$F$14+'Data Input'!$C$13+'Data Input'!$F$13)+P24</f>
        <v>0</v>
      </c>
      <c r="Q25" s="6">
        <f>Table1[[#This Row],[Column12]]/12</f>
        <v>16681.43695443431</v>
      </c>
      <c r="R25" s="6">
        <f>Table1[[#This Row],[Column13]]/12</f>
        <v>11396.38615688459</v>
      </c>
      <c r="S25" s="18">
        <f>Table1[[#This Row],[Column13]]/'Data Input'!$C$4</f>
        <v>5698.1930784422948</v>
      </c>
      <c r="T2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Sheet'!B29/12,'Mortgage Sheet'!$K$2))</f>
        <v>8886.7249750227784</v>
      </c>
      <c r="U25" s="18">
        <f>Spending!T26+12*(Table1[[#This Row],[Column17]]-Table1[[#This Row],[Column19]])</f>
        <v>61285.934182341734</v>
      </c>
      <c r="V25" s="14">
        <f>Table1[[#This Row],[Column19]]-Spending!U26</f>
        <v>6289.2249750227784</v>
      </c>
      <c r="W25" s="18">
        <f>W24+12*Table1[[#This Row],[Column21]]</f>
        <v>937455.1825023964</v>
      </c>
    </row>
    <row r="26" spans="1:31">
      <c r="A26" s="16">
        <f t="shared" si="0"/>
        <v>2040</v>
      </c>
      <c r="B26" s="11">
        <f>IF('Data Input'!$C$18+'Data Input'!$C$2&gt;Table1[[#This Row],[Column1]],('Data Input'!$C$10)*(1+'Data Input'!$C$17)^(Table1[[#This Row],[Column1]]-'Data Input'!$C$2),0)</f>
        <v>205064.33319134021</v>
      </c>
      <c r="C2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6" s="11">
        <f>IF('Data Input'!$F$18+'Data Input'!$C$2&gt;Table1[[#This Row],[Column1]],('Data Input'!$F$10)*(1+'Data Input'!$F$17)^(Table1[[#This Row],[Column1]]-'Data Input'!$C$2),0)</f>
        <v>0</v>
      </c>
      <c r="F26" s="11">
        <f>Table1[[#This Row],[Column2]]+Table1[[#This Row],[Column4]]+Table1[[#This Row],[Column5]]-Table1[[#This Row],[Column3]]-Table1[[#This Row],[Column23]]</f>
        <v>195824.01897080961</v>
      </c>
      <c r="G26" s="11">
        <f>Table1[[#This Row],[Column2]]+Table1[[#This Row],[Column4]]+Table1[[#This Row],[Column5]]-Table1[[#This Row],[Column3]]-Table1[[#This Row],[Column8]]</f>
        <v>174777.36520652432</v>
      </c>
      <c r="H26" s="11">
        <f>IF(Table1[[#This Row],[Column1]]&lt;'Data Input'!$C$3,MAX('Tax Information'!$C$15+'Data Input'!C51*'Tax Information'!$C$5,Spending!P27+'Student Loans'!B30),MAX('Tax Information'!$C$15+'Data Input'!C51*'Tax Information'!$C$5,'Mortgage Sheet'!C30+Spending!P27+'Student Loans'!C30))+'Tax Information'!$C$13*('Data Input'!C51+2)</f>
        <v>12240.314220530592</v>
      </c>
      <c r="I26" s="11">
        <f>IF(Table1[[#This Row],[Column1]]&lt;'Data Input'!$C$3,MAX('Tax Information'!$C$6+'Data Input'!C51*'Tax Information'!$C$5,Table1[[#This Row],[Column9]]+Spending!P27+'Student Loans'!C30),MAX('Tax Information'!$C$6+'Data Input'!C51*'Tax Information'!$C$5,'Mortgage Sheet'!C30+Table1[[#This Row],[Column9]]+Spending!P27+'Student Loans'!C30))+'Tax Information'!$C$4*('Data Input'!C51+2)</f>
        <v>33286.967984815885</v>
      </c>
      <c r="J26" s="6">
        <f>'Tax Information'!E49</f>
        <v>13164.653764285295</v>
      </c>
      <c r="K26" s="6">
        <f>'Tax Information'!C49</f>
        <v>35922.882257826808</v>
      </c>
      <c r="L26" s="18">
        <f>(0.01+0.0765)*(Table1[[#This Row],[Column2]]+Table1[[#This Row],[Column4]]+Table1[[#This Row],[Column5]])</f>
        <v>17997.564821050928</v>
      </c>
      <c r="M26" s="6">
        <f>(Table1[[#This Row],[Column2]]+Table1[[#This Row],[Column4]]+Table1[[#This Row],[Column5]])</f>
        <v>208064.33319134021</v>
      </c>
      <c r="N26" s="18">
        <f>(Table1[[#This Row],[Column2]]+Table1[[#This Row],[Column4]]+Table1[[#This Row],[Column5]])-(Table1[[#This Row],[Column3]]+Table1[[#This Row],[Column9]]+Table1[[#This Row],[Column10]]+Table1[[#This Row],[Column11]])</f>
        <v>140979.23234817717</v>
      </c>
      <c r="O26" s="7">
        <f>1-(Table1[[#This Row],[Column13]]/Table1[[#This Row],[Column12]])</f>
        <v>0.3224247991676219</v>
      </c>
      <c r="P26" s="11">
        <f>Table1[[#This Row],[Column3]]+MIN(5500,Table1[[#This Row],[Column2]]*'Data Input'!$C$14+Table1[[#This Row],[Column5]]*'Data Input'!$F$14+'Data Input'!$C$13+'Data Input'!$F$13)+P25</f>
        <v>0</v>
      </c>
      <c r="Q26" s="6">
        <f>Table1[[#This Row],[Column12]]/12</f>
        <v>17338.694432611683</v>
      </c>
      <c r="R26" s="6">
        <f>Table1[[#This Row],[Column13]]/12</f>
        <v>11748.269362348097</v>
      </c>
      <c r="S26" s="18">
        <f>Table1[[#This Row],[Column13]]/'Data Input'!$C$4</f>
        <v>5874.1346811740486</v>
      </c>
      <c r="T2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Sheet'!B30/12,'Mortgage Sheet'!$K$2))</f>
        <v>9238.6081804862861</v>
      </c>
      <c r="U26" s="18">
        <f>Spending!T27+12*(Table1[[#This Row],[Column17]]-Table1[[#This Row],[Column19]])</f>
        <v>61285.934182341734</v>
      </c>
      <c r="V26" s="13">
        <f>Table1[[#This Row],[Column19]]-Spending!U27</f>
        <v>6641.1081804862861</v>
      </c>
      <c r="W26" s="18">
        <f>W25+12*Table1[[#This Row],[Column21]]</f>
        <v>1017148.4806682318</v>
      </c>
    </row>
    <row r="27" spans="1:31">
      <c r="A27" s="16">
        <f t="shared" si="0"/>
        <v>2041</v>
      </c>
      <c r="B27" s="11">
        <f>IF('Data Input'!$C$18+'Data Input'!$C$2&gt;Table1[[#This Row],[Column1]],('Data Input'!$C$10)*(1+'Data Input'!$C$17)^(Table1[[#This Row],[Column1]]-'Data Input'!$C$2),0)</f>
        <v>213266.90651899387</v>
      </c>
      <c r="C2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7" s="11">
        <f>IF('Data Input'!$F$18+'Data Input'!$C$2&gt;Table1[[#This Row],[Column1]],('Data Input'!$F$10)*(1+'Data Input'!$F$17)^(Table1[[#This Row],[Column1]]-'Data Input'!$C$2),0)</f>
        <v>0</v>
      </c>
      <c r="F27" s="11">
        <f>Table1[[#This Row],[Column2]]+Table1[[#This Row],[Column4]]+Table1[[#This Row],[Column5]]-Table1[[#This Row],[Column3]]-Table1[[#This Row],[Column23]]</f>
        <v>204763.75429271176</v>
      </c>
      <c r="G27" s="11">
        <f>Table1[[#This Row],[Column2]]+Table1[[#This Row],[Column4]]+Table1[[#This Row],[Column5]]-Table1[[#This Row],[Column3]]-Table1[[#This Row],[Column8]]</f>
        <v>182885.70514348958</v>
      </c>
      <c r="H27" s="11">
        <f>IF(Table1[[#This Row],[Column1]]&lt;'Data Input'!$C$3,MAX('Tax Information'!$C$15+'Data Input'!C52*'Tax Information'!$C$5,Spending!P28+'Student Loans'!B31),MAX('Tax Information'!$C$15+'Data Input'!C52*'Tax Information'!$C$5,'Mortgage Sheet'!C31+Spending!P28+'Student Loans'!C31))+'Tax Information'!$C$13*('Data Input'!C52+2)</f>
        <v>11503.152226282102</v>
      </c>
      <c r="I27" s="11">
        <f>IF(Table1[[#This Row],[Column1]]&lt;'Data Input'!$C$3,MAX('Tax Information'!$C$6+'Data Input'!C52*'Tax Information'!$C$5,Table1[[#This Row],[Column9]]+Spending!P28+'Student Loans'!C31),MAX('Tax Information'!$C$6+'Data Input'!C52*'Tax Information'!$C$5,'Mortgage Sheet'!C31+Table1[[#This Row],[Column9]]+Spending!P28+'Student Loans'!C31))+'Tax Information'!$C$4*('Data Input'!C52+2)</f>
        <v>33381.201375504294</v>
      </c>
      <c r="J27" s="6">
        <f>'Tax Information'!E50</f>
        <v>13996.049149222194</v>
      </c>
      <c r="K27" s="6">
        <f>'Tax Information'!C50</f>
        <v>38193.217440177083</v>
      </c>
      <c r="L27" s="18">
        <f>(0.01+0.0765)*(Table1[[#This Row],[Column2]]+Table1[[#This Row],[Column4]]+Table1[[#This Row],[Column5]])</f>
        <v>18707.087413892968</v>
      </c>
      <c r="M27" s="6">
        <f>(Table1[[#This Row],[Column2]]+Table1[[#This Row],[Column4]]+Table1[[#This Row],[Column5]])</f>
        <v>216266.90651899387</v>
      </c>
      <c r="N27" s="18">
        <f>(Table1[[#This Row],[Column2]]+Table1[[#This Row],[Column4]]+Table1[[#This Row],[Column5]])-(Table1[[#This Row],[Column3]]+Table1[[#This Row],[Column9]]+Table1[[#This Row],[Column10]]+Table1[[#This Row],[Column11]])</f>
        <v>145370.55251570162</v>
      </c>
      <c r="O27" s="7">
        <f>1-(Table1[[#This Row],[Column13]]/Table1[[#This Row],[Column12]])</f>
        <v>0.3278187825610096</v>
      </c>
      <c r="P27" s="11">
        <f>Table1[[#This Row],[Column3]]+MIN(5500,Table1[[#This Row],[Column2]]*'Data Input'!$C$14+Table1[[#This Row],[Column5]]*'Data Input'!$F$14+'Data Input'!$C$13+'Data Input'!$F$13)+P26</f>
        <v>0</v>
      </c>
      <c r="Q27" s="6">
        <f>Table1[[#This Row],[Column12]]/12</f>
        <v>18022.242209916156</v>
      </c>
      <c r="R27" s="6">
        <f>Table1[[#This Row],[Column13]]/12</f>
        <v>12114.212709641803</v>
      </c>
      <c r="S27" s="18">
        <f>Table1[[#This Row],[Column13]]/'Data Input'!$C$4</f>
        <v>6057.1063548209013</v>
      </c>
      <c r="T2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Sheet'!B31/12,'Mortgage Sheet'!$K$2))</f>
        <v>9604.5515277799914</v>
      </c>
      <c r="U27" s="18">
        <f>Spending!T28+12*(Table1[[#This Row],[Column17]]-Table1[[#This Row],[Column19]])</f>
        <v>61285.934182341734</v>
      </c>
      <c r="V27" s="14">
        <f>Table1[[#This Row],[Column19]]-Spending!U28</f>
        <v>7007.0515277799914</v>
      </c>
      <c r="W27" s="18">
        <f>W26+12*Table1[[#This Row],[Column21]]</f>
        <v>1101233.0990015918</v>
      </c>
      <c r="Z27" s="16"/>
    </row>
    <row r="28" spans="1:31">
      <c r="A28" s="16">
        <f t="shared" si="0"/>
        <v>2042</v>
      </c>
      <c r="B28" s="11">
        <f>IF('Data Input'!$C$18+'Data Input'!$C$2&gt;Table1[[#This Row],[Column1]],('Data Input'!$C$10)*(1+'Data Input'!$C$17)^(Table1[[#This Row],[Column1]]-'Data Input'!$C$2),0)</f>
        <v>221797.5827797536</v>
      </c>
      <c r="C2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8" s="11">
        <f>IF('Data Input'!$F$18+'Data Input'!$C$2&gt;Table1[[#This Row],[Column1]],('Data Input'!$F$10)*(1+'Data Input'!$F$17)^(Table1[[#This Row],[Column1]]-'Data Input'!$C$2),0)</f>
        <v>0</v>
      </c>
      <c r="F28" s="11">
        <f>Table1[[#This Row],[Column2]]+Table1[[#This Row],[Column4]]+Table1[[#This Row],[Column5]]-Table1[[#This Row],[Column3]]-Table1[[#This Row],[Column23]]</f>
        <v>214061.62566474749</v>
      </c>
      <c r="G28" s="11">
        <f>Table1[[#This Row],[Column2]]+Table1[[#This Row],[Column4]]+Table1[[#This Row],[Column5]]-Table1[[#This Row],[Column3]]-Table1[[#This Row],[Column8]]</f>
        <v>191318.874477926</v>
      </c>
      <c r="H28" s="11">
        <f>IF(Table1[[#This Row],[Column1]]&lt;'Data Input'!$C$3,MAX('Tax Information'!$C$15+'Data Input'!C53*'Tax Information'!$C$5,Spending!P29+'Student Loans'!B32),MAX('Tax Information'!$C$15+'Data Input'!C53*'Tax Information'!$C$5,'Mortgage Sheet'!C32+Spending!P29+'Student Loans'!C32))+'Tax Information'!$C$13*('Data Input'!C53+2)</f>
        <v>10735.957115006098</v>
      </c>
      <c r="I28" s="11">
        <f>IF(Table1[[#This Row],[Column1]]&lt;'Data Input'!$C$3,MAX('Tax Information'!$C$6+'Data Input'!C53*'Tax Information'!$C$5,Table1[[#This Row],[Column9]]+Spending!P29+'Student Loans'!C32),MAX('Tax Information'!$C$6+'Data Input'!C53*'Tax Information'!$C$5,'Mortgage Sheet'!C32+Table1[[#This Row],[Column9]]+Spending!P29+'Student Loans'!C32))+'Tax Information'!$C$4*('Data Input'!C53+2)</f>
        <v>33478.708301827617</v>
      </c>
      <c r="J28" s="6">
        <f>'Tax Information'!E51</f>
        <v>14860.751186821517</v>
      </c>
      <c r="K28" s="6">
        <f>'Tax Information'!C51</f>
        <v>40554.504853819279</v>
      </c>
      <c r="L28" s="18">
        <f>(0.01+0.0765)*(Table1[[#This Row],[Column2]]+Table1[[#This Row],[Column4]]+Table1[[#This Row],[Column5]])</f>
        <v>19444.990910448687</v>
      </c>
      <c r="M28" s="6">
        <f>(Table1[[#This Row],[Column2]]+Table1[[#This Row],[Column4]]+Table1[[#This Row],[Column5]])</f>
        <v>224797.5827797536</v>
      </c>
      <c r="N28" s="18">
        <f>(Table1[[#This Row],[Column2]]+Table1[[#This Row],[Column4]]+Table1[[#This Row],[Column5]])-(Table1[[#This Row],[Column3]]+Table1[[#This Row],[Column9]]+Table1[[#This Row],[Column10]]+Table1[[#This Row],[Column11]])</f>
        <v>149937.33582866413</v>
      </c>
      <c r="O28" s="7">
        <f>1-(Table1[[#This Row],[Column13]]/Table1[[#This Row],[Column12]])</f>
        <v>0.33301179677022652</v>
      </c>
      <c r="P28" s="11">
        <f>Table1[[#This Row],[Column3]]+MIN(5500,Table1[[#This Row],[Column2]]*'Data Input'!$C$14+Table1[[#This Row],[Column5]]*'Data Input'!$F$14+'Data Input'!$C$13+'Data Input'!$F$13)+P27</f>
        <v>0</v>
      </c>
      <c r="Q28" s="6">
        <f>Table1[[#This Row],[Column12]]/12</f>
        <v>18733.1318983128</v>
      </c>
      <c r="R28" s="6">
        <f>Table1[[#This Row],[Column13]]/12</f>
        <v>12494.77798572201</v>
      </c>
      <c r="S28" s="18">
        <f>Table1[[#This Row],[Column13]]/'Data Input'!$C$4</f>
        <v>6247.3889928610051</v>
      </c>
      <c r="T2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Sheet'!B32/12,'Mortgage Sheet'!$K$2))</f>
        <v>9985.1168038601991</v>
      </c>
      <c r="U28" s="18">
        <f>Spending!T29+12*(Table1[[#This Row],[Column17]]-Table1[[#This Row],[Column19]])</f>
        <v>61285.934182341734</v>
      </c>
      <c r="V28" s="13">
        <f>Table1[[#This Row],[Column19]]-Spending!U29</f>
        <v>7387.6168038601991</v>
      </c>
      <c r="W28" s="18">
        <f>W27+12*Table1[[#This Row],[Column21]]</f>
        <v>1189884.5006479141</v>
      </c>
    </row>
    <row r="29" spans="1:31">
      <c r="A29" s="16">
        <f t="shared" si="0"/>
        <v>2043</v>
      </c>
      <c r="B29" s="11">
        <f>IF('Data Input'!$C$18+'Data Input'!$C$2&gt;Table1[[#This Row],[Column1]],('Data Input'!$C$10)*(1+'Data Input'!$C$17)^(Table1[[#This Row],[Column1]]-'Data Input'!$C$2),0)</f>
        <v>230669.48609094374</v>
      </c>
      <c r="C2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2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29" s="11">
        <f>IF('Data Input'!$F$18+'Data Input'!$C$2&gt;Table1[[#This Row],[Column1]],('Data Input'!$F$10)*(1+'Data Input'!$F$17)^(Table1[[#This Row],[Column1]]-'Data Input'!$C$2),0)</f>
        <v>0</v>
      </c>
      <c r="F29" s="11">
        <f>Table1[[#This Row],[Column2]]+Table1[[#This Row],[Column4]]+Table1[[#This Row],[Column5]]-Table1[[#This Row],[Column3]]-Table1[[#This Row],[Column23]]</f>
        <v>223731.98079976754</v>
      </c>
      <c r="G29" s="11">
        <f>Table1[[#This Row],[Column2]]+Table1[[#This Row],[Column4]]+Table1[[#This Row],[Column5]]-Table1[[#This Row],[Column3]]-Table1[[#This Row],[Column8]]</f>
        <v>200089.88658538918</v>
      </c>
      <c r="H29" s="11">
        <f>IF(Table1[[#This Row],[Column1]]&lt;'Data Input'!$C$3,MAX('Tax Information'!$C$15+'Data Input'!C54*'Tax Information'!$C$5,Spending!P30+'Student Loans'!B33),MAX('Tax Information'!$C$15+'Data Input'!C54*'Tax Information'!$C$5,'Mortgage Sheet'!C33+Spending!P30+'Student Loans'!C33))+'Tax Information'!$C$13*('Data Input'!C54+2)</f>
        <v>9937.5052911761886</v>
      </c>
      <c r="I29" s="11">
        <f>IF(Table1[[#This Row],[Column1]]&lt;'Data Input'!$C$3,MAX('Tax Information'!$C$6+'Data Input'!C54*'Tax Information'!$C$5,Table1[[#This Row],[Column9]]+Spending!P30+'Student Loans'!C33),MAX('Tax Information'!$C$6+'Data Input'!C54*'Tax Information'!$C$5,'Mortgage Sheet'!C33+Table1[[#This Row],[Column9]]+Spending!P30+'Student Loans'!C33))+'Tax Information'!$C$4*('Data Input'!C54+2)</f>
        <v>33579.599505554572</v>
      </c>
      <c r="J29" s="6">
        <f>'Tax Information'!E52</f>
        <v>15760.094214378381</v>
      </c>
      <c r="K29" s="6">
        <f>'Tax Information'!C52</f>
        <v>43010.388243908972</v>
      </c>
      <c r="L29" s="18">
        <f>(0.01+0.0765)*(Table1[[#This Row],[Column2]]+Table1[[#This Row],[Column4]]+Table1[[#This Row],[Column5]])</f>
        <v>20212.410546866631</v>
      </c>
      <c r="M29" s="6">
        <f>(Table1[[#This Row],[Column2]]+Table1[[#This Row],[Column4]]+Table1[[#This Row],[Column5]])</f>
        <v>233669.48609094374</v>
      </c>
      <c r="N29" s="18">
        <f>(Table1[[#This Row],[Column2]]+Table1[[#This Row],[Column4]]+Table1[[#This Row],[Column5]])-(Table1[[#This Row],[Column3]]+Table1[[#This Row],[Column9]]+Table1[[#This Row],[Column10]]+Table1[[#This Row],[Column11]])</f>
        <v>154686.59308578976</v>
      </c>
      <c r="O29" s="7">
        <f>1-(Table1[[#This Row],[Column13]]/Table1[[#This Row],[Column12]])</f>
        <v>0.33801115552765837</v>
      </c>
      <c r="P29" s="11">
        <f>Table1[[#This Row],[Column3]]+MIN(5500,Table1[[#This Row],[Column2]]*'Data Input'!$C$14+Table1[[#This Row],[Column5]]*'Data Input'!$F$14+'Data Input'!$C$13+'Data Input'!$F$13)+P28</f>
        <v>0</v>
      </c>
      <c r="Q29" s="6">
        <f>Table1[[#This Row],[Column12]]/12</f>
        <v>19472.457174245312</v>
      </c>
      <c r="R29" s="6">
        <f>Table1[[#This Row],[Column13]]/12</f>
        <v>12890.549423815813</v>
      </c>
      <c r="S29" s="18">
        <f>Table1[[#This Row],[Column13]]/'Data Input'!$C$4</f>
        <v>6445.2747119079067</v>
      </c>
      <c r="T2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Sheet'!B33/12,'Mortgage Sheet'!$K$2))</f>
        <v>10380.888241954002</v>
      </c>
      <c r="U29" s="18">
        <f>Spending!T30+12*(Table1[[#This Row],[Column17]]-Table1[[#This Row],[Column19]])</f>
        <v>61285.934182341734</v>
      </c>
      <c r="V29" s="14">
        <f>Table1[[#This Row],[Column19]]-Spending!U30</f>
        <v>7783.3882419540023</v>
      </c>
      <c r="W29" s="18">
        <f>W28+12*Table1[[#This Row],[Column21]]</f>
        <v>1283285.159551362</v>
      </c>
    </row>
    <row r="30" spans="1:31">
      <c r="A30" s="16">
        <f t="shared" si="0"/>
        <v>2044</v>
      </c>
      <c r="B30" s="11">
        <f>IF('Data Input'!$C$18+'Data Input'!$C$2&gt;Table1[[#This Row],[Column1]],('Data Input'!$C$10)*(1+'Data Input'!$C$17)^(Table1[[#This Row],[Column1]]-'Data Input'!$C$2),0)</f>
        <v>239896.26553458156</v>
      </c>
      <c r="C3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0" s="11">
        <f>IF('Data Input'!$F$18+'Data Input'!$C$2&gt;Table1[[#This Row],[Column1]],('Data Input'!$F$10)*(1+'Data Input'!$F$17)^(Table1[[#This Row],[Column1]]-'Data Input'!$C$2),0)</f>
        <v>0</v>
      </c>
      <c r="F30" s="11">
        <f>Table1[[#This Row],[Column2]]+Table1[[#This Row],[Column4]]+Table1[[#This Row],[Column5]]-Table1[[#This Row],[Column3]]-Table1[[#This Row],[Column23]]</f>
        <v>233789.74222648522</v>
      </c>
      <c r="G30" s="11">
        <f>Table1[[#This Row],[Column2]]+Table1[[#This Row],[Column4]]+Table1[[#This Row],[Column5]]-Table1[[#This Row],[Column3]]-Table1[[#This Row],[Column8]]</f>
        <v>209212.27619942211</v>
      </c>
      <c r="H30" s="11">
        <f>IF(Table1[[#This Row],[Column1]]&lt;'Data Input'!$C$3,MAX('Tax Information'!$C$15+'Data Input'!C55*'Tax Information'!$C$5,Spending!P31+'Student Loans'!B34),MAX('Tax Information'!$C$15+'Data Input'!C55*'Tax Information'!$C$5,'Mortgage Sheet'!C34+Spending!P31+'Student Loans'!C34))+'Tax Information'!$C$13*('Data Input'!C55+2)</f>
        <v>9106.5233080963317</v>
      </c>
      <c r="I30" s="11">
        <f>IF(Table1[[#This Row],[Column1]]&lt;'Data Input'!$C$3,MAX('Tax Information'!$C$6+'Data Input'!C55*'Tax Information'!$C$5,Table1[[#This Row],[Column9]]+Spending!P31+'Student Loans'!C34),MAX('Tax Information'!$C$6+'Data Input'!C55*'Tax Information'!$C$5,'Mortgage Sheet'!C34+Table1[[#This Row],[Column9]]+Spending!P31+'Student Loans'!C34))+'Tax Information'!$C$4*('Data Input'!C55+2)</f>
        <v>33683.989335159458</v>
      </c>
      <c r="J30" s="18">
        <f>'Tax Information'!E53</f>
        <v>16695.466027063128</v>
      </c>
      <c r="K30" s="6">
        <f>'Tax Information'!C53</f>
        <v>45564.657335838194</v>
      </c>
      <c r="L30" s="18">
        <f>(0.01+0.0765)*(Table1[[#This Row],[Column2]]+Table1[[#This Row],[Column4]]+Table1[[#This Row],[Column5]])</f>
        <v>21010.526968741302</v>
      </c>
      <c r="M30" s="6">
        <f>(Table1[[#This Row],[Column2]]+Table1[[#This Row],[Column4]]+Table1[[#This Row],[Column5]])</f>
        <v>242896.26553458156</v>
      </c>
      <c r="N30" s="18">
        <f>(Table1[[#This Row],[Column2]]+Table1[[#This Row],[Column4]]+Table1[[#This Row],[Column5]])-(Table1[[#This Row],[Column3]]+Table1[[#This Row],[Column9]]+Table1[[#This Row],[Column10]]+Table1[[#This Row],[Column11]])</f>
        <v>159625.61520293893</v>
      </c>
      <c r="O30" s="7">
        <f>1-(Table1[[#This Row],[Column13]]/Table1[[#This Row],[Column12]])</f>
        <v>0.34282392176090182</v>
      </c>
      <c r="P30" s="11">
        <f>Table1[[#This Row],[Column3]]+MIN(5500,Table1[[#This Row],[Column2]]*'Data Input'!$C$14+Table1[[#This Row],[Column5]]*'Data Input'!$F$14+'Data Input'!$C$13+'Data Input'!$F$13)+P29</f>
        <v>0</v>
      </c>
      <c r="Q30" s="6">
        <f>Table1[[#This Row],[Column12]]/12</f>
        <v>20241.355461215131</v>
      </c>
      <c r="R30" s="6">
        <f>Table1[[#This Row],[Column13]]/12</f>
        <v>13302.134600244912</v>
      </c>
      <c r="S30" s="18">
        <f>Table1[[#This Row],[Column13]]/'Data Input'!$C$4</f>
        <v>6651.0673001224559</v>
      </c>
      <c r="T3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Sheet'!B34/12,'Mortgage Sheet'!$K$2))</f>
        <v>10792.473418383101</v>
      </c>
      <c r="U30" s="18">
        <f>Spending!T31+12*(Table1[[#This Row],[Column17]]-Table1[[#This Row],[Column19]])</f>
        <v>61285.934182341734</v>
      </c>
      <c r="V30" s="13">
        <f>Table1[[#This Row],[Column19]]-Spending!U31</f>
        <v>8194.9734183831006</v>
      </c>
      <c r="W30" s="18">
        <f>W29+12*Table1[[#This Row],[Column21]]</f>
        <v>1381624.8405719593</v>
      </c>
    </row>
    <row r="31" spans="1:31">
      <c r="A31" s="16">
        <f t="shared" si="0"/>
        <v>2045</v>
      </c>
      <c r="B31" s="11">
        <f>IF('Data Input'!$C$18+'Data Input'!$C$2&gt;Table1[[#This Row],[Column1]],('Data Input'!$C$10)*(1+'Data Input'!$C$17)^(Table1[[#This Row],[Column1]]-'Data Input'!$C$2),0)</f>
        <v>249492.11615596482</v>
      </c>
      <c r="C3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1" s="11">
        <f>IF('Data Input'!$F$18+'Data Input'!$C$2&gt;Table1[[#This Row],[Column1]],('Data Input'!$F$10)*(1+'Data Input'!$F$17)^(Table1[[#This Row],[Column1]]-'Data Input'!$C$2),0)</f>
        <v>0</v>
      </c>
      <c r="F31" s="11">
        <f>Table1[[#This Row],[Column2]]+Table1[[#This Row],[Column4]]+Table1[[#This Row],[Column5]]-Table1[[#This Row],[Column3]]-Table1[[#This Row],[Column23]]</f>
        <v>244186.11615596482</v>
      </c>
      <c r="G31" s="11">
        <f>Table1[[#This Row],[Column2]]+Table1[[#This Row],[Column4]]+Table1[[#This Row],[Column5]]-Table1[[#This Row],[Column3]]-Table1[[#This Row],[Column8]]</f>
        <v>218853.62864163527</v>
      </c>
      <c r="H31" s="11">
        <f>IF(Table1[[#This Row],[Column1]]&lt;'Data Input'!$C$3,MAX('Tax Information'!$C$15+'Data Input'!C56*'Tax Information'!$C$5,Spending!P32+'Student Loans'!B35),MAX('Tax Information'!$C$15+'Data Input'!C56*'Tax Information'!$C$5,'Mortgage Sheet'!C35+Spending!P32+'Student Loans'!C35))+'Tax Information'!$C$13*('Data Input'!C56+2)</f>
        <v>8306</v>
      </c>
      <c r="I31" s="11">
        <f>IF(Table1[[#This Row],[Column1]]&lt;'Data Input'!$C$3,MAX('Tax Information'!$C$6+'Data Input'!C56*'Tax Information'!$C$5,Table1[[#This Row],[Column9]]+Spending!P32+'Student Loans'!C35),MAX('Tax Information'!$C$6+'Data Input'!C56*'Tax Information'!$C$5,'Mortgage Sheet'!C35+Table1[[#This Row],[Column9]]+Spending!P32+'Student Loans'!C35))+'Tax Information'!$C$4*('Data Input'!C56+2)</f>
        <v>33638.487514329558</v>
      </c>
      <c r="J31" s="18">
        <f>'Tax Information'!E54</f>
        <v>17662.32880250473</v>
      </c>
      <c r="K31" s="18">
        <f>'Tax Information'!C54</f>
        <v>48264.236019657881</v>
      </c>
      <c r="L31" s="18">
        <f>(0.01+0.0765)*(Table1[[#This Row],[Column2]]+Table1[[#This Row],[Column4]]+Table1[[#This Row],[Column5]])</f>
        <v>21840.568047490957</v>
      </c>
      <c r="M31" s="6">
        <f>(Table1[[#This Row],[Column2]]+Table1[[#This Row],[Column4]]+Table1[[#This Row],[Column5]])</f>
        <v>252492.11615596482</v>
      </c>
      <c r="N31" s="18">
        <f>(Table1[[#This Row],[Column2]]+Table1[[#This Row],[Column4]]+Table1[[#This Row],[Column5]])-(Table1[[#This Row],[Column3]]+Table1[[#This Row],[Column9]]+Table1[[#This Row],[Column10]]+Table1[[#This Row],[Column11]])</f>
        <v>164724.98328631124</v>
      </c>
      <c r="O31" s="7">
        <f>1-(Table1[[#This Row],[Column13]]/Table1[[#This Row],[Column12]])</f>
        <v>0.34760345869745757</v>
      </c>
      <c r="P31" s="11">
        <f>Table1[[#This Row],[Column3]]+MIN(5500,Table1[[#This Row],[Column2]]*'Data Input'!$C$14+Table1[[#This Row],[Column5]]*'Data Input'!$F$14+'Data Input'!$C$13+'Data Input'!$F$13)+P30</f>
        <v>0</v>
      </c>
      <c r="Q31" s="6">
        <f>Table1[[#This Row],[Column12]]/12</f>
        <v>21041.009679663734</v>
      </c>
      <c r="R31" s="6">
        <f>Table1[[#This Row],[Column13]]/12</f>
        <v>13727.081940525937</v>
      </c>
      <c r="S31" s="18">
        <f>Table1[[#This Row],[Column13]]/'Data Input'!$C$4</f>
        <v>6863.5409702629686</v>
      </c>
      <c r="T3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Sheet'!B35/12,'Mortgage Sheet'!$K$2))</f>
        <v>11376.559190485943</v>
      </c>
      <c r="U31" s="18">
        <f>Spending!T32+12*(Table1[[#This Row],[Column17]]-Table1[[#This Row],[Column19]])</f>
        <v>59376.27300047993</v>
      </c>
      <c r="V31" s="14">
        <f>Table1[[#This Row],[Column19]]-Spending!U32</f>
        <v>8779.059190485943</v>
      </c>
      <c r="W31" s="18">
        <f>W30+12*Table1[[#This Row],[Column21]]</f>
        <v>1486973.5508577905</v>
      </c>
    </row>
    <row r="32" spans="1:31">
      <c r="A32" s="16">
        <f t="shared" si="0"/>
        <v>2046</v>
      </c>
      <c r="B32" s="11">
        <f>IF('Data Input'!$C$18+'Data Input'!$C$2&gt;Table1[[#This Row],[Column1]],('Data Input'!$C$10)*(1+'Data Input'!$C$17)^(Table1[[#This Row],[Column1]]-'Data Input'!$C$2),0)</f>
        <v>259471.80080220339</v>
      </c>
      <c r="C32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2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2" s="11">
        <f>IF('Data Input'!$F$18+'Data Input'!$C$2&gt;Table1[[#This Row],[Column1]],('Data Input'!$F$10)*(1+'Data Input'!$F$17)^(Table1[[#This Row],[Column1]]-'Data Input'!$C$2),0)</f>
        <v>0</v>
      </c>
      <c r="F32" s="11">
        <f>Table1[[#This Row],[Column2]]+Table1[[#This Row],[Column4]]+Table1[[#This Row],[Column5]]-Table1[[#This Row],[Column3]]-Table1[[#This Row],[Column23]]</f>
        <v>254165.80080220336</v>
      </c>
      <c r="G32" s="11">
        <f>Table1[[#This Row],[Column2]]+Table1[[#This Row],[Column4]]+Table1[[#This Row],[Column5]]-Table1[[#This Row],[Column3]]-Table1[[#This Row],[Column8]]</f>
        <v>227979.33520067536</v>
      </c>
      <c r="H32" s="11">
        <f>IF(Table1[[#This Row],[Column1]]&lt;'Data Input'!$C$3,MAX('Tax Information'!$C$15+'Data Input'!C57*'Tax Information'!$C$5,Spending!P33+'Student Loans'!B36),MAX('Tax Information'!$C$15+'Data Input'!C57*'Tax Information'!$C$5,'Mortgage Sheet'!C36+Spending!P33+'Student Loans'!C36))+'Tax Information'!$C$13*('Data Input'!C57+2)</f>
        <v>8306</v>
      </c>
      <c r="I32" s="11">
        <f>IF(Table1[[#This Row],[Column1]]&lt;'Data Input'!$C$3,MAX('Tax Information'!$C$6+'Data Input'!C57*'Tax Information'!$C$5,Table1[[#This Row],[Column9]]+Spending!P33+'Student Loans'!C36),MAX('Tax Information'!$C$6+'Data Input'!C57*'Tax Information'!$C$5,'Mortgage Sheet'!C36+Table1[[#This Row],[Column9]]+Spending!P33+'Student Loans'!C36))+'Tax Information'!$C$4*('Data Input'!C57+2)</f>
        <v>34492.46560152802</v>
      </c>
      <c r="J32" s="18">
        <f>'Tax Information'!E55</f>
        <v>18590.439474604915</v>
      </c>
      <c r="K32" s="18">
        <f>'Tax Information'!C55</f>
        <v>50819.433856189105</v>
      </c>
      <c r="L32" s="18">
        <f>(0.01+0.0765)*(Table1[[#This Row],[Column2]]+Table1[[#This Row],[Column4]]+Table1[[#This Row],[Column5]])</f>
        <v>22703.810769390588</v>
      </c>
      <c r="M32" s="18">
        <f>(Table1[[#This Row],[Column2]]+Table1[[#This Row],[Column4]]+Table1[[#This Row],[Column5]])</f>
        <v>262471.80080220336</v>
      </c>
      <c r="N32" s="18">
        <f>(Table1[[#This Row],[Column2]]+Table1[[#This Row],[Column4]]+Table1[[#This Row],[Column5]])-(Table1[[#This Row],[Column3]]+Table1[[#This Row],[Column9]]+Table1[[#This Row],[Column10]]+Table1[[#This Row],[Column11]])</f>
        <v>170358.11670201877</v>
      </c>
      <c r="O32" s="7">
        <f>1-(Table1[[#This Row],[Column13]]/Table1[[#This Row],[Column12]])</f>
        <v>0.35094697342211145</v>
      </c>
      <c r="P32" s="11">
        <f>Table1[[#This Row],[Column3]]+MIN(5500,Table1[[#This Row],[Column2]]*'Data Input'!$C$14+Table1[[#This Row],[Column5]]*'Data Input'!$F$14+'Data Input'!$C$13+'Data Input'!$F$13)+P31</f>
        <v>0</v>
      </c>
      <c r="Q32" s="18">
        <f>Table1[[#This Row],[Column12]]/12</f>
        <v>21872.650066850281</v>
      </c>
      <c r="R32" s="18">
        <f>Table1[[#This Row],[Column13]]/12</f>
        <v>14196.509725168231</v>
      </c>
      <c r="S32" s="18">
        <f>Table1[[#This Row],[Column13]]/'Data Input'!$C$4</f>
        <v>7098.2548625841155</v>
      </c>
      <c r="T32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Sheet'!B36/12,'Mortgage Sheet'!$K$2))</f>
        <v>12005.125406950054</v>
      </c>
      <c r="U32" s="18">
        <f>Spending!T33+12*(Table1[[#This Row],[Column17]]-Table1[[#This Row],[Column19]])</f>
        <v>57466.611818618127</v>
      </c>
      <c r="V32" s="14">
        <f>Table1[[#This Row],[Column19]]-Spending!U33</f>
        <v>9407.6254069500537</v>
      </c>
      <c r="W32" s="18">
        <f>W31+12*Table1[[#This Row],[Column21]]</f>
        <v>1599865.0557411911</v>
      </c>
    </row>
    <row r="33" spans="1:26">
      <c r="A33" s="16">
        <f t="shared" si="0"/>
        <v>2047</v>
      </c>
      <c r="B33" s="11">
        <f>IF('Data Input'!$C$18+'Data Input'!$C$2&gt;Table1[[#This Row],[Column1]],('Data Input'!$C$10)*(1+'Data Input'!$C$17)^(Table1[[#This Row],[Column1]]-'Data Input'!$C$2),0)</f>
        <v>269850.67283429153</v>
      </c>
      <c r="C33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3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3" s="11">
        <f>IF('Data Input'!$F$18+'Data Input'!$C$2&gt;Table1[[#This Row],[Column1]],('Data Input'!$F$10)*(1+'Data Input'!$F$17)^(Table1[[#This Row],[Column1]]-'Data Input'!$C$2),0)</f>
        <v>0</v>
      </c>
      <c r="F33" s="11">
        <f>Table1[[#This Row],[Column2]]+Table1[[#This Row],[Column4]]+Table1[[#This Row],[Column5]]-Table1[[#This Row],[Column3]]-Table1[[#This Row],[Column23]]</f>
        <v>264544.67283429153</v>
      </c>
      <c r="G33" s="11">
        <f>Table1[[#This Row],[Column2]]+Table1[[#This Row],[Column4]]+Table1[[#This Row],[Column5]]-Table1[[#This Row],[Column3]]-Table1[[#This Row],[Column8]]</f>
        <v>237467.35182729736</v>
      </c>
      <c r="H33" s="11">
        <f>IF(Table1[[#This Row],[Column1]]&lt;'Data Input'!$C$3,MAX('Tax Information'!$C$15+'Data Input'!C58*'Tax Information'!$C$5,Spending!P34+'Student Loans'!B37),MAX('Tax Information'!$C$15+'Data Input'!C58*'Tax Information'!$C$5,'Mortgage Sheet'!C37+Spending!P34+'Student Loans'!C37))+'Tax Information'!$C$13*('Data Input'!C58+2)</f>
        <v>8306</v>
      </c>
      <c r="I33" s="11">
        <f>IF(Table1[[#This Row],[Column1]]&lt;'Data Input'!$C$3,MAX('Tax Information'!$C$6+'Data Input'!C58*'Tax Information'!$C$5,Table1[[#This Row],[Column9]]+Spending!P34+'Student Loans'!C37),MAX('Tax Information'!$C$6+'Data Input'!C58*'Tax Information'!$C$5,'Mortgage Sheet'!C37+Table1[[#This Row],[Column9]]+Spending!P34+'Student Loans'!C37))+'Tax Information'!$C$4*('Data Input'!C58+2)</f>
        <v>35383.321006994156</v>
      </c>
      <c r="J33" s="18">
        <f>'Tax Information'!E56</f>
        <v>19555.674573589113</v>
      </c>
      <c r="K33" s="18">
        <f>'Tax Information'!C56</f>
        <v>53776.896103008126</v>
      </c>
      <c r="L33" s="18">
        <f>(0.01+0.0765)*(Table1[[#This Row],[Column2]]+Table1[[#This Row],[Column4]]+Table1[[#This Row],[Column5]])</f>
        <v>23601.583200166217</v>
      </c>
      <c r="M33" s="18">
        <f>(Table1[[#This Row],[Column2]]+Table1[[#This Row],[Column4]]+Table1[[#This Row],[Column5]])</f>
        <v>272850.67283429153</v>
      </c>
      <c r="N33" s="18">
        <f>(Table1[[#This Row],[Column2]]+Table1[[#This Row],[Column4]]+Table1[[#This Row],[Column5]])-(Table1[[#This Row],[Column3]]+Table1[[#This Row],[Column9]]+Table1[[#This Row],[Column10]]+Table1[[#This Row],[Column11]])</f>
        <v>175916.51895752805</v>
      </c>
      <c r="O33" s="7">
        <f>1-(Table1[[#This Row],[Column13]]/Table1[[#This Row],[Column12]])</f>
        <v>0.35526448540456346</v>
      </c>
      <c r="P33" s="11">
        <f>Table1[[#This Row],[Column3]]+MIN(5500,Table1[[#This Row],[Column2]]*'Data Input'!$C$14+Table1[[#This Row],[Column5]]*'Data Input'!$F$14+'Data Input'!$C$13+'Data Input'!$F$13)+P32</f>
        <v>0</v>
      </c>
      <c r="Q33" s="18">
        <f>Table1[[#This Row],[Column12]]/12</f>
        <v>22737.556069524293</v>
      </c>
      <c r="R33" s="18">
        <f>Table1[[#This Row],[Column13]]/12</f>
        <v>14659.709913127337</v>
      </c>
      <c r="S33" s="18">
        <f>Table1[[#This Row],[Column13]]/'Data Input'!$C$4</f>
        <v>7329.8549565636686</v>
      </c>
      <c r="T33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Sheet'!B37/12,'Mortgage Sheet'!$K$2))</f>
        <v>12627.464026730979</v>
      </c>
      <c r="U33" s="18">
        <f>Spending!T34+12*(Table1[[#This Row],[Column17]]-Table1[[#This Row],[Column19]])</f>
        <v>55556.950636756301</v>
      </c>
      <c r="V33" s="14">
        <f>Table1[[#This Row],[Column19]]-Spending!U34</f>
        <v>10029.964026730979</v>
      </c>
      <c r="W33" s="18">
        <f>W32+12*Table1[[#This Row],[Column21]]</f>
        <v>1720224.6240619628</v>
      </c>
    </row>
    <row r="34" spans="1:26">
      <c r="A34" s="16">
        <f t="shared" si="0"/>
        <v>2048</v>
      </c>
      <c r="B34" s="11">
        <f>IF('Data Input'!$C$18+'Data Input'!$C$2&gt;Table1[[#This Row],[Column1]],('Data Input'!$C$10)*(1+'Data Input'!$C$17)^(Table1[[#This Row],[Column1]]-'Data Input'!$C$2),0)</f>
        <v>280644.69974766322</v>
      </c>
      <c r="C34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4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4" s="11">
        <f>IF('Data Input'!$F$18+'Data Input'!$C$2&gt;Table1[[#This Row],[Column1]],('Data Input'!$F$10)*(1+'Data Input'!$F$17)^(Table1[[#This Row],[Column1]]-'Data Input'!$C$2),0)</f>
        <v>0</v>
      </c>
      <c r="F34" s="11">
        <f>Table1[[#This Row],[Column2]]+Table1[[#This Row],[Column4]]+Table1[[#This Row],[Column5]]-Table1[[#This Row],[Column3]]-Table1[[#This Row],[Column23]]</f>
        <v>275338.69974766322</v>
      </c>
      <c r="G34" s="11">
        <f>Table1[[#This Row],[Column2]]+Table1[[#This Row],[Column4]]+Table1[[#This Row],[Column5]]-Table1[[#This Row],[Column3]]-Table1[[#This Row],[Column8]]</f>
        <v>247332.16186355529</v>
      </c>
      <c r="H34" s="11">
        <f>IF(Table1[[#This Row],[Column1]]&lt;'Data Input'!$C$3,MAX('Tax Information'!$C$15+'Data Input'!C59*'Tax Information'!$C$5,Spending!P35+'Student Loans'!B38),MAX('Tax Information'!$C$15+'Data Input'!C59*'Tax Information'!$C$5,'Mortgage Sheet'!C38+Spending!P35+'Student Loans'!C38))+'Tax Information'!$C$13*('Data Input'!C59+2)</f>
        <v>8306</v>
      </c>
      <c r="I34" s="11">
        <f>IF(Table1[[#This Row],[Column1]]&lt;'Data Input'!$C$3,MAX('Tax Information'!$C$6+'Data Input'!C59*'Tax Information'!$C$5,Table1[[#This Row],[Column9]]+Spending!P35+'Student Loans'!C38),MAX('Tax Information'!$C$6+'Data Input'!C59*'Tax Information'!$C$5,'Mortgage Sheet'!C38+Table1[[#This Row],[Column9]]+Spending!P35+'Student Loans'!C38))+'Tax Information'!$C$4*('Data Input'!C59+2)</f>
        <v>36312.537884107936</v>
      </c>
      <c r="J34" s="18">
        <f>'Tax Information'!E57</f>
        <v>20559.519076532681</v>
      </c>
      <c r="K34" s="18">
        <f>'Tax Information'!C57</f>
        <v>57032.283414973244</v>
      </c>
      <c r="L34" s="18">
        <f>(0.01+0.0765)*(Table1[[#This Row],[Column2]]+Table1[[#This Row],[Column4]]+Table1[[#This Row],[Column5]])</f>
        <v>24535.266528172866</v>
      </c>
      <c r="M34" s="18">
        <f>(Table1[[#This Row],[Column2]]+Table1[[#This Row],[Column4]]+Table1[[#This Row],[Column5]])</f>
        <v>283644.69974766322</v>
      </c>
      <c r="N34" s="18">
        <f>(Table1[[#This Row],[Column2]]+Table1[[#This Row],[Column4]]+Table1[[#This Row],[Column5]])-(Table1[[#This Row],[Column3]]+Table1[[#This Row],[Column9]]+Table1[[#This Row],[Column10]]+Table1[[#This Row],[Column11]])</f>
        <v>181517.63072798442</v>
      </c>
      <c r="O34" s="7">
        <f>1-(Table1[[#This Row],[Column13]]/Table1[[#This Row],[Column12]])</f>
        <v>0.36005280236342641</v>
      </c>
      <c r="P34" s="11">
        <f>Table1[[#This Row],[Column3]]+MIN(5500,Table1[[#This Row],[Column2]]*'Data Input'!$C$14+Table1[[#This Row],[Column5]]*'Data Input'!$F$14+'Data Input'!$C$13+'Data Input'!$F$13)+P33</f>
        <v>0</v>
      </c>
      <c r="Q34" s="18">
        <f>Table1[[#This Row],[Column12]]/12</f>
        <v>23637.058312305267</v>
      </c>
      <c r="R34" s="18">
        <f>Table1[[#This Row],[Column13]]/12</f>
        <v>15126.469227332034</v>
      </c>
      <c r="S34" s="18">
        <f>Table1[[#This Row],[Column13]]/'Data Input'!$C$4</f>
        <v>7563.2346136660171</v>
      </c>
      <c r="T34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Sheet'!B38/12,'Mortgage Sheet'!$K$2))</f>
        <v>14526.469227332034</v>
      </c>
      <c r="U34" s="18">
        <f>Spending!T35+12*(Table1[[#This Row],[Column17]]-Table1[[#This Row],[Column19]])</f>
        <v>38370</v>
      </c>
      <c r="V34" s="14">
        <f>Table1[[#This Row],[Column19]]-Spending!U35</f>
        <v>11928.969227332034</v>
      </c>
      <c r="W34" s="18">
        <f>W33+12*Table1[[#This Row],[Column21]]</f>
        <v>1863372.2547899473</v>
      </c>
    </row>
    <row r="35" spans="1:26">
      <c r="A35" s="16">
        <f t="shared" si="0"/>
        <v>2049</v>
      </c>
      <c r="B35" s="11">
        <f>IF('Data Input'!$C$18+'Data Input'!$C$2&gt;Table1[[#This Row],[Column1]],('Data Input'!$C$10)*(1+'Data Input'!$C$17)^(Table1[[#This Row],[Column1]]-'Data Input'!$C$2),0)</f>
        <v>291870.48773756973</v>
      </c>
      <c r="C35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5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5" s="11">
        <f>IF('Data Input'!$F$18+'Data Input'!$C$2&gt;Table1[[#This Row],[Column1]],('Data Input'!$F$10)*(1+'Data Input'!$F$17)^(Table1[[#This Row],[Column1]]-'Data Input'!$C$2),0)</f>
        <v>0</v>
      </c>
      <c r="F35" s="11">
        <f>Table1[[#This Row],[Column2]]+Table1[[#This Row],[Column4]]+Table1[[#This Row],[Column5]]-Table1[[#This Row],[Column3]]-Table1[[#This Row],[Column23]]</f>
        <v>286564.48773756973</v>
      </c>
      <c r="G35" s="11">
        <f>Table1[[#This Row],[Column2]]+Table1[[#This Row],[Column4]]+Table1[[#This Row],[Column5]]-Table1[[#This Row],[Column3]]-Table1[[#This Row],[Column8]]</f>
        <v>257588.82795498305</v>
      </c>
      <c r="H35" s="11">
        <f>IF(Table1[[#This Row],[Column1]]&lt;'Data Input'!$C$3,MAX('Tax Information'!$C$15+'Data Input'!C60*'Tax Information'!$C$5,Spending!P36+'Student Loans'!B39),MAX('Tax Information'!$C$15+'Data Input'!C60*'Tax Information'!$C$5,'Mortgage Sheet'!C39+Spending!P36+'Student Loans'!C39))+'Tax Information'!$C$13*('Data Input'!C60+2)</f>
        <v>8306</v>
      </c>
      <c r="I35" s="11">
        <f>IF(Table1[[#This Row],[Column1]]&lt;'Data Input'!$C$3,MAX('Tax Information'!$C$6+'Data Input'!C60*'Tax Information'!$C$5,Table1[[#This Row],[Column9]]+Spending!P36+'Student Loans'!C39),MAX('Tax Information'!$C$6+'Data Input'!C60*'Tax Information'!$C$5,'Mortgage Sheet'!C39+Table1[[#This Row],[Column9]]+Spending!P36+'Student Loans'!C39))+'Tax Information'!$C$4*('Data Input'!C60+2)</f>
        <v>37281.659782586685</v>
      </c>
      <c r="J35" s="18">
        <f>'Tax Information'!E58</f>
        <v>21603.517359593985</v>
      </c>
      <c r="K35" s="18">
        <f>'Tax Information'!C58</f>
        <v>60416.983225144402</v>
      </c>
      <c r="L35" s="18">
        <f>(0.01+0.0765)*(Table1[[#This Row],[Column2]]+Table1[[#This Row],[Column4]]+Table1[[#This Row],[Column5]])</f>
        <v>25506.297189299778</v>
      </c>
      <c r="M35" s="18">
        <f>(Table1[[#This Row],[Column2]]+Table1[[#This Row],[Column4]]+Table1[[#This Row],[Column5]])</f>
        <v>294870.48773756973</v>
      </c>
      <c r="N35" s="18">
        <f>(Table1[[#This Row],[Column2]]+Table1[[#This Row],[Column4]]+Table1[[#This Row],[Column5]])-(Table1[[#This Row],[Column3]]+Table1[[#This Row],[Column9]]+Table1[[#This Row],[Column10]]+Table1[[#This Row],[Column11]])</f>
        <v>187343.68996353156</v>
      </c>
      <c r="O35" s="7">
        <f>1-(Table1[[#This Row],[Column13]]/Table1[[#This Row],[Column12]])</f>
        <v>0.3646577132864357</v>
      </c>
      <c r="P35" s="11">
        <f>Table1[[#This Row],[Column3]]+MIN(5500,Table1[[#This Row],[Column2]]*'Data Input'!$C$14+Table1[[#This Row],[Column5]]*'Data Input'!$F$14+'Data Input'!$C$13+'Data Input'!$F$13)+P34</f>
        <v>0</v>
      </c>
      <c r="Q35" s="18">
        <f>Table1[[#This Row],[Column12]]/12</f>
        <v>24572.540644797478</v>
      </c>
      <c r="R35" s="18">
        <f>Table1[[#This Row],[Column13]]/12</f>
        <v>15611.97416362763</v>
      </c>
      <c r="S35" s="18">
        <f>Table1[[#This Row],[Column13]]/'Data Input'!$C$4</f>
        <v>7805.9870818138152</v>
      </c>
      <c r="T35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Sheet'!B39/12,'Mortgage Sheet'!$K$2))</f>
        <v>15011.97416362763</v>
      </c>
      <c r="U35" s="18">
        <f>Spending!T36+12*(Table1[[#This Row],[Column17]]-Table1[[#This Row],[Column19]])</f>
        <v>38370</v>
      </c>
      <c r="V35" s="14">
        <f>Table1[[#This Row],[Column19]]-Spending!U36</f>
        <v>12414.47416362763</v>
      </c>
      <c r="W35" s="18">
        <f>W34+12*Table1[[#This Row],[Column21]]</f>
        <v>2012345.9447534787</v>
      </c>
    </row>
    <row r="36" spans="1:26">
      <c r="A36" s="16">
        <f t="shared" si="0"/>
        <v>2050</v>
      </c>
      <c r="B36" s="11">
        <f>IF('Data Input'!$C$18+'Data Input'!$C$2&gt;Table1[[#This Row],[Column1]],('Data Input'!$C$10)*(1+'Data Input'!$C$17)^(Table1[[#This Row],[Column1]]-'Data Input'!$C$2),0)</f>
        <v>303545.30724707257</v>
      </c>
      <c r="C36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6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6" s="11">
        <f>IF('Data Input'!$F$18+'Data Input'!$C$2&gt;Table1[[#This Row],[Column1]],('Data Input'!$F$10)*(1+'Data Input'!$F$17)^(Table1[[#This Row],[Column1]]-'Data Input'!$C$2),0)</f>
        <v>0</v>
      </c>
      <c r="F36" s="11">
        <f>Table1[[#This Row],[Column2]]+Table1[[#This Row],[Column4]]+Table1[[#This Row],[Column5]]-Table1[[#This Row],[Column3]]-Table1[[#This Row],[Column23]]</f>
        <v>298239.30724707257</v>
      </c>
      <c r="G36" s="11">
        <f>Table1[[#This Row],[Column2]]+Table1[[#This Row],[Column4]]+Table1[[#This Row],[Column5]]-Table1[[#This Row],[Column3]]-Table1[[#This Row],[Column8]]</f>
        <v>268253.01522263326</v>
      </c>
      <c r="H36" s="11">
        <f>IF(Table1[[#This Row],[Column1]]&lt;'Data Input'!$C$3,MAX('Tax Information'!$C$15+'Data Input'!C61*'Tax Information'!$C$5,Spending!P37+'Student Loans'!B40),MAX('Tax Information'!$C$15+'Data Input'!C61*'Tax Information'!$C$5,'Mortgage Sheet'!C40+Spending!P37+'Student Loans'!C40))+'Tax Information'!$C$13*('Data Input'!C61+2)</f>
        <v>8306</v>
      </c>
      <c r="I36" s="11">
        <f>IF(Table1[[#This Row],[Column1]]&lt;'Data Input'!$C$3,MAX('Tax Information'!$C$6+'Data Input'!C61*'Tax Information'!$C$5,Table1[[#This Row],[Column9]]+Spending!P37+'Student Loans'!C40),MAX('Tax Information'!$C$6+'Data Input'!C61*'Tax Information'!$C$5,'Mortgage Sheet'!C40+Table1[[#This Row],[Column9]]+Spending!P37+'Student Loans'!C40))+'Tax Information'!$C$4*('Data Input'!C61+2)</f>
        <v>38292.292024439288</v>
      </c>
      <c r="J36" s="18">
        <f>'Tax Information'!E59</f>
        <v>22689.275573977749</v>
      </c>
      <c r="K36" s="18">
        <f>'Tax Information'!C59</f>
        <v>63936.165023468973</v>
      </c>
      <c r="L36" s="18">
        <f>(0.01+0.0765)*(Table1[[#This Row],[Column2]]+Table1[[#This Row],[Column4]]+Table1[[#This Row],[Column5]])</f>
        <v>26516.169076871774</v>
      </c>
      <c r="M36" s="18">
        <f>(Table1[[#This Row],[Column2]]+Table1[[#This Row],[Column4]]+Table1[[#This Row],[Column5]])</f>
        <v>306545.30724707257</v>
      </c>
      <c r="N36" s="18">
        <f>(Table1[[#This Row],[Column2]]+Table1[[#This Row],[Column4]]+Table1[[#This Row],[Column5]])-(Table1[[#This Row],[Column3]]+Table1[[#This Row],[Column9]]+Table1[[#This Row],[Column10]]+Table1[[#This Row],[Column11]])</f>
        <v>193403.69757275408</v>
      </c>
      <c r="O36" s="7">
        <f>1-(Table1[[#This Row],[Column13]]/Table1[[#This Row],[Column12]])</f>
        <v>0.36908609265751191</v>
      </c>
      <c r="P36" s="11">
        <f>Table1[[#This Row],[Column3]]+MIN(5500,Table1[[#This Row],[Column2]]*'Data Input'!$C$14+Table1[[#This Row],[Column5]]*'Data Input'!$F$14+'Data Input'!$C$13+'Data Input'!$F$13)+P35</f>
        <v>0</v>
      </c>
      <c r="Q36" s="18">
        <f>Table1[[#This Row],[Column12]]/12</f>
        <v>25545.442270589381</v>
      </c>
      <c r="R36" s="18">
        <f>Table1[[#This Row],[Column13]]/12</f>
        <v>16116.974797729506</v>
      </c>
      <c r="S36" s="18">
        <f>Table1[[#This Row],[Column13]]/'Data Input'!$C$4</f>
        <v>8058.4873988647532</v>
      </c>
      <c r="T36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Sheet'!B40/12,'Mortgage Sheet'!$K$2))</f>
        <v>15516.974797729506</v>
      </c>
      <c r="U36" s="18">
        <f>Spending!T37+12*(Table1[[#This Row],[Column17]]-Table1[[#This Row],[Column19]])</f>
        <v>38370</v>
      </c>
      <c r="V36" s="14">
        <f>Table1[[#This Row],[Column19]]-Spending!U37</f>
        <v>12919.474797729506</v>
      </c>
      <c r="W36" s="18">
        <f>W35+12*Table1[[#This Row],[Column21]]</f>
        <v>2167379.642326233</v>
      </c>
    </row>
    <row r="37" spans="1:26">
      <c r="A37" s="16">
        <f t="shared" si="0"/>
        <v>2051</v>
      </c>
      <c r="B37" s="11">
        <f>IF('Data Input'!$C$18+'Data Input'!$C$2&gt;Table1[[#This Row],[Column1]],('Data Input'!$C$10)*(1+'Data Input'!$C$17)^(Table1[[#This Row],[Column1]]-'Data Input'!$C$2),0)</f>
        <v>315687.11953695549</v>
      </c>
      <c r="C37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7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7" s="11">
        <f>IF('Data Input'!$F$18+'Data Input'!$C$2&gt;Table1[[#This Row],[Column1]],('Data Input'!$F$10)*(1+'Data Input'!$F$17)^(Table1[[#This Row],[Column1]]-'Data Input'!$C$2),0)</f>
        <v>0</v>
      </c>
      <c r="F37" s="11">
        <f>Table1[[#This Row],[Column2]]+Table1[[#This Row],[Column4]]+Table1[[#This Row],[Column5]]-Table1[[#This Row],[Column3]]-Table1[[#This Row],[Column23]]</f>
        <v>310381.11953695549</v>
      </c>
      <c r="G37" s="11">
        <f>Table1[[#This Row],[Column2]]+Table1[[#This Row],[Column4]]+Table1[[#This Row],[Column5]]-Table1[[#This Row],[Column3]]-Table1[[#This Row],[Column8]]</f>
        <v>279341.01536199672</v>
      </c>
      <c r="H37" s="11">
        <f>IF(Table1[[#This Row],[Column1]]&lt;'Data Input'!$C$3,MAX('Tax Information'!$C$15+'Data Input'!C62*'Tax Information'!$C$5,Spending!P38+'Student Loans'!B41),MAX('Tax Information'!$C$15+'Data Input'!C62*'Tax Information'!$C$5,'Mortgage Sheet'!C41+Spending!P38+'Student Loans'!C41))+'Tax Information'!$C$13*('Data Input'!C62+2)</f>
        <v>8306</v>
      </c>
      <c r="I37" s="11">
        <f>IF(Table1[[#This Row],[Column1]]&lt;'Data Input'!$C$3,MAX('Tax Information'!$C$6+'Data Input'!C62*'Tax Information'!$C$5,Table1[[#This Row],[Column9]]+Spending!P38+'Student Loans'!C41),MAX('Tax Information'!$C$6+'Data Input'!C62*'Tax Information'!$C$5,'Mortgage Sheet'!C41+Table1[[#This Row],[Column9]]+Spending!P38+'Student Loans'!C41))+'Tax Information'!$C$4*('Data Input'!C62+2)</f>
        <v>39346.104174958797</v>
      </c>
      <c r="J37" s="18">
        <f>'Tax Information'!E60</f>
        <v>23818.464116936862</v>
      </c>
      <c r="K37" s="18">
        <f>'Tax Information'!C60</f>
        <v>67595.205069458912</v>
      </c>
      <c r="L37" s="18">
        <f>(0.01+0.0765)*(Table1[[#This Row],[Column2]]+Table1[[#This Row],[Column4]]+Table1[[#This Row],[Column5]])</f>
        <v>27566.435839946647</v>
      </c>
      <c r="M37" s="18">
        <f>(Table1[[#This Row],[Column2]]+Table1[[#This Row],[Column4]]+Table1[[#This Row],[Column5]])</f>
        <v>318687.11953695549</v>
      </c>
      <c r="N37" s="18">
        <f>(Table1[[#This Row],[Column2]]+Table1[[#This Row],[Column4]]+Table1[[#This Row],[Column5]])-(Table1[[#This Row],[Column3]]+Table1[[#This Row],[Column9]]+Table1[[#This Row],[Column10]]+Table1[[#This Row],[Column11]])</f>
        <v>199707.01451061308</v>
      </c>
      <c r="O37" s="7">
        <f>1-(Table1[[#This Row],[Column13]]/Table1[[#This Row],[Column12]])</f>
        <v>0.37334456817463335</v>
      </c>
      <c r="P37" s="11">
        <f>Table1[[#This Row],[Column3]]+MIN(5500,Table1[[#This Row],[Column2]]*'Data Input'!$C$14+Table1[[#This Row],[Column5]]*'Data Input'!$F$14+'Data Input'!$C$13+'Data Input'!$F$13)+P36</f>
        <v>0</v>
      </c>
      <c r="Q37" s="18">
        <f>Table1[[#This Row],[Column12]]/12</f>
        <v>26557.259961412958</v>
      </c>
      <c r="R37" s="18">
        <f>Table1[[#This Row],[Column13]]/12</f>
        <v>16642.251209217757</v>
      </c>
      <c r="S37" s="18">
        <f>Table1[[#This Row],[Column13]]/'Data Input'!$C$4</f>
        <v>8321.1256046088783</v>
      </c>
      <c r="T37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Sheet'!B41/12,'Mortgage Sheet'!$K$2))</f>
        <v>16042.251209217757</v>
      </c>
      <c r="U37" s="18">
        <f>Spending!T38+12*(Table1[[#This Row],[Column17]]-Table1[[#This Row],[Column19]])</f>
        <v>38370</v>
      </c>
      <c r="V37" s="14">
        <f>Table1[[#This Row],[Column19]]-Spending!U38</f>
        <v>13444.751209217757</v>
      </c>
      <c r="W37" s="18">
        <f>W36+12*Table1[[#This Row],[Column21]]</f>
        <v>2328716.6568368459</v>
      </c>
      <c r="X37" s="16"/>
      <c r="Y37" s="16"/>
      <c r="Z37" s="16"/>
    </row>
    <row r="38" spans="1:26">
      <c r="A38" s="16">
        <f t="shared" si="0"/>
        <v>2052</v>
      </c>
      <c r="B38" s="11">
        <f>IF('Data Input'!$C$18+'Data Input'!$C$2&gt;Table1[[#This Row],[Column1]],('Data Input'!$C$10)*(1+'Data Input'!$C$17)^(Table1[[#This Row],[Column1]]-'Data Input'!$C$2),0)</f>
        <v>328314.60431843367</v>
      </c>
      <c r="C38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8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8" s="11">
        <f>IF('Data Input'!$F$18+'Data Input'!$C$2&gt;Table1[[#This Row],[Column1]],('Data Input'!$F$10)*(1+'Data Input'!$F$17)^(Table1[[#This Row],[Column1]]-'Data Input'!$C$2),0)</f>
        <v>0</v>
      </c>
      <c r="F38" s="11">
        <f>Table1[[#This Row],[Column2]]+Table1[[#This Row],[Column4]]+Table1[[#This Row],[Column5]]-Table1[[#This Row],[Column3]]-Table1[[#This Row],[Column23]]</f>
        <v>323008.60431843367</v>
      </c>
      <c r="G38" s="11">
        <f>Table1[[#This Row],[Column2]]+Table1[[#This Row],[Column4]]+Table1[[#This Row],[Column5]]-Table1[[#This Row],[Column3]]-Table1[[#This Row],[Column8]]</f>
        <v>290869.77170587849</v>
      </c>
      <c r="H38" s="11">
        <f>IF(Table1[[#This Row],[Column1]]&lt;'Data Input'!$C$3,MAX('Tax Information'!$C$15+'Data Input'!C63*'Tax Information'!$C$5,Spending!P39+'Student Loans'!B42),MAX('Tax Information'!$C$15+'Data Input'!C63*'Tax Information'!$C$5,'Mortgage Sheet'!C42+Spending!P39+'Student Loans'!C42))+'Tax Information'!$C$13*('Data Input'!C63+2)</f>
        <v>8306</v>
      </c>
      <c r="I38" s="11">
        <f>IF(Table1[[#This Row],[Column1]]&lt;'Data Input'!$C$3,MAX('Tax Information'!$C$6+'Data Input'!C63*'Tax Information'!$C$5,Table1[[#This Row],[Column9]]+Spending!P39+'Student Loans'!C42),MAX('Tax Information'!$C$6+'Data Input'!C63*'Tax Information'!$C$5,'Mortgage Sheet'!C42+Table1[[#This Row],[Column9]]+Spending!P39+'Student Loans'!C42))+'Tax Information'!$C$4*('Data Input'!C63+2)</f>
        <v>40444.832612555205</v>
      </c>
      <c r="J38" s="18">
        <f>'Tax Information'!E61</f>
        <v>24992.820201614333</v>
      </c>
      <c r="K38" s="18">
        <f>'Tax Information'!C61</f>
        <v>71399.694662939903</v>
      </c>
      <c r="L38" s="18">
        <f>(0.01+0.0765)*(Table1[[#This Row],[Column2]]+Table1[[#This Row],[Column4]]+Table1[[#This Row],[Column5]])</f>
        <v>28658.713273544512</v>
      </c>
      <c r="M38" s="18">
        <f>(Table1[[#This Row],[Column2]]+Table1[[#This Row],[Column4]]+Table1[[#This Row],[Column5]])</f>
        <v>331314.60431843367</v>
      </c>
      <c r="N38" s="18">
        <f>(Table1[[#This Row],[Column2]]+Table1[[#This Row],[Column4]]+Table1[[#This Row],[Column5]])-(Table1[[#This Row],[Column3]]+Table1[[#This Row],[Column9]]+Table1[[#This Row],[Column10]]+Table1[[#This Row],[Column11]])</f>
        <v>206263.37618033492</v>
      </c>
      <c r="O38" s="7">
        <f>1-(Table1[[#This Row],[Column13]]/Table1[[#This Row],[Column12]])</f>
        <v>0.37743952879876463</v>
      </c>
      <c r="P38" s="11">
        <f>Table1[[#This Row],[Column3]]+MIN(5500,Table1[[#This Row],[Column2]]*'Data Input'!$C$14+Table1[[#This Row],[Column5]]*'Data Input'!$F$14+'Data Input'!$C$13+'Data Input'!$F$13)+P37</f>
        <v>0</v>
      </c>
      <c r="Q38" s="18">
        <f>Table1[[#This Row],[Column12]]/12</f>
        <v>27609.550359869474</v>
      </c>
      <c r="R38" s="18">
        <f>Table1[[#This Row],[Column13]]/12</f>
        <v>17188.614681694577</v>
      </c>
      <c r="S38" s="18">
        <f>Table1[[#This Row],[Column13]]/'Data Input'!$C$4</f>
        <v>8594.3073408472883</v>
      </c>
      <c r="T38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Sheet'!B42/12,'Mortgage Sheet'!$K$2))</f>
        <v>16588.614681694577</v>
      </c>
      <c r="U38" s="18">
        <f>Spending!T39+12*(Table1[[#This Row],[Column17]]-Table1[[#This Row],[Column19]])</f>
        <v>38370</v>
      </c>
      <c r="V38" s="14">
        <f>Table1[[#This Row],[Column19]]-Spending!U39</f>
        <v>13991.114681694577</v>
      </c>
      <c r="W38" s="18">
        <f>W37+12*Table1[[#This Row],[Column21]]</f>
        <v>2496610.0330171809</v>
      </c>
      <c r="X38" s="16"/>
      <c r="Y38" s="16"/>
      <c r="Z38" s="16"/>
    </row>
    <row r="39" spans="1:26">
      <c r="A39" s="16">
        <f t="shared" si="0"/>
        <v>2053</v>
      </c>
      <c r="B39" s="11">
        <f>IF('Data Input'!$C$18+'Data Input'!$C$2&gt;Table1[[#This Row],[Column1]],('Data Input'!$C$10)*(1+'Data Input'!$C$17)^(Table1[[#This Row],[Column1]]-'Data Input'!$C$2),0)</f>
        <v>341447.18849117111</v>
      </c>
      <c r="C39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39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39" s="11">
        <f>IF('Data Input'!$F$18+'Data Input'!$C$2&gt;Table1[[#This Row],[Column1]],('Data Input'!$F$10)*(1+'Data Input'!$F$17)^(Table1[[#This Row],[Column1]]-'Data Input'!$C$2),0)</f>
        <v>0</v>
      </c>
      <c r="F39" s="11">
        <f>Table1[[#This Row],[Column2]]+Table1[[#This Row],[Column4]]+Table1[[#This Row],[Column5]]-Table1[[#This Row],[Column3]]-Table1[[#This Row],[Column23]]</f>
        <v>336141.18849117111</v>
      </c>
      <c r="G39" s="11">
        <f>Table1[[#This Row],[Column2]]+Table1[[#This Row],[Column4]]+Table1[[#This Row],[Column5]]-Table1[[#This Row],[Column3]]-Table1[[#This Row],[Column8]]</f>
        <v>302856.90528978931</v>
      </c>
      <c r="H39" s="11">
        <f>IF(Table1[[#This Row],[Column1]]&lt;'Data Input'!$C$3,MAX('Tax Information'!$C$15+'Data Input'!C64*'Tax Information'!$C$5,Spending!P40+'Student Loans'!B43),MAX('Tax Information'!$C$15+'Data Input'!C64*'Tax Information'!$C$5,'Mortgage Sheet'!C43+Spending!P40+'Student Loans'!C43))+'Tax Information'!$C$13*('Data Input'!C64+2)</f>
        <v>8306</v>
      </c>
      <c r="I39" s="11">
        <f>IF(Table1[[#This Row],[Column1]]&lt;'Data Input'!$C$3,MAX('Tax Information'!$C$6+'Data Input'!C64*'Tax Information'!$C$5,Table1[[#This Row],[Column9]]+Spending!P40+'Student Loans'!C43),MAX('Tax Information'!$C$6+'Data Input'!C64*'Tax Information'!$C$5,'Mortgage Sheet'!C43+Table1[[#This Row],[Column9]]+Spending!P40+'Student Loans'!C43))+'Tax Information'!$C$4*('Data Input'!C64+2)</f>
        <v>41590.283201381782</v>
      </c>
      <c r="J39" s="18">
        <f>'Tax Information'!E62</f>
        <v>26214.150529678911</v>
      </c>
      <c r="K39" s="18">
        <f>'Tax Information'!C62</f>
        <v>75355.448745630478</v>
      </c>
      <c r="L39" s="18">
        <f>(0.01+0.0765)*(Table1[[#This Row],[Column2]]+Table1[[#This Row],[Column4]]+Table1[[#This Row],[Column5]])</f>
        <v>29794.681804486299</v>
      </c>
      <c r="M39" s="18">
        <f>(Table1[[#This Row],[Column2]]+Table1[[#This Row],[Column4]]+Table1[[#This Row],[Column5]])</f>
        <v>344447.18849117111</v>
      </c>
      <c r="N39" s="18">
        <f>(Table1[[#This Row],[Column2]]+Table1[[#This Row],[Column4]]+Table1[[#This Row],[Column5]])-(Table1[[#This Row],[Column3]]+Table1[[#This Row],[Column9]]+Table1[[#This Row],[Column10]]+Table1[[#This Row],[Column11]])</f>
        <v>213082.90741137543</v>
      </c>
      <c r="O39" s="7">
        <f>1-(Table1[[#This Row],[Column13]]/Table1[[#This Row],[Column12]])</f>
        <v>0.38137713260261619</v>
      </c>
      <c r="P39" s="11">
        <f>Table1[[#This Row],[Column3]]+MIN(5500,Table1[[#This Row],[Column2]]*'Data Input'!$C$14+Table1[[#This Row],[Column5]]*'Data Input'!$F$14+'Data Input'!$C$13+'Data Input'!$F$13)+P38</f>
        <v>0</v>
      </c>
      <c r="Q39" s="18">
        <f>Table1[[#This Row],[Column12]]/12</f>
        <v>28703.932374264259</v>
      </c>
      <c r="R39" s="18">
        <f>Table1[[#This Row],[Column13]]/12</f>
        <v>17756.908950947953</v>
      </c>
      <c r="S39" s="18">
        <f>Table1[[#This Row],[Column13]]/'Data Input'!$C$4</f>
        <v>8878.4544754739763</v>
      </c>
      <c r="T39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Sheet'!B43/12,'Mortgage Sheet'!$K$2))</f>
        <v>17156.908950947953</v>
      </c>
      <c r="U39" s="18">
        <f>Spending!T40+12*(Table1[[#This Row],[Column17]]-Table1[[#This Row],[Column19]])</f>
        <v>38370</v>
      </c>
      <c r="V39" s="14">
        <f>Table1[[#This Row],[Column19]]-Spending!U40</f>
        <v>14559.408950947953</v>
      </c>
      <c r="W39" s="18">
        <f>W38+12*Table1[[#This Row],[Column21]]</f>
        <v>2671322.9404285564</v>
      </c>
      <c r="X39" s="16"/>
      <c r="Y39" s="16"/>
      <c r="Z39" s="16"/>
    </row>
    <row r="40" spans="1:26">
      <c r="A40" s="16">
        <f t="shared" si="0"/>
        <v>2054</v>
      </c>
      <c r="B40" s="11">
        <f>IF('Data Input'!$C$18+'Data Input'!$C$2&gt;Table1[[#This Row],[Column1]],('Data Input'!$C$10)*(1+'Data Input'!$C$17)^(Table1[[#This Row],[Column1]]-'Data Input'!$C$2),0)</f>
        <v>355105.07603081793</v>
      </c>
      <c r="C40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40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40" s="11">
        <f>IF('Data Input'!$F$18+'Data Input'!$C$2&gt;Table1[[#This Row],[Column1]],('Data Input'!$F$10)*(1+'Data Input'!$F$17)^(Table1[[#This Row],[Column1]]-'Data Input'!$C$2),0)</f>
        <v>0</v>
      </c>
      <c r="F40" s="11">
        <f>Table1[[#This Row],[Column2]]+Table1[[#This Row],[Column4]]+Table1[[#This Row],[Column5]]-Table1[[#This Row],[Column3]]-Table1[[#This Row],[Column23]]</f>
        <v>349799.07603081793</v>
      </c>
      <c r="G40" s="11">
        <f>Table1[[#This Row],[Column2]]+Table1[[#This Row],[Column4]]+Table1[[#This Row],[Column5]]-Table1[[#This Row],[Column3]]-Table1[[#This Row],[Column8]]</f>
        <v>315320.74195995188</v>
      </c>
      <c r="H40" s="11">
        <f>IF(Table1[[#This Row],[Column1]]&lt;'Data Input'!$C$3,MAX('Tax Information'!$C$15+'Data Input'!C65*'Tax Information'!$C$5,Spending!P41+'Student Loans'!B44),MAX('Tax Information'!$C$15+'Data Input'!C65*'Tax Information'!$C$5,'Mortgage Sheet'!C44+Spending!P41+'Student Loans'!C44))+'Tax Information'!$C$13*('Data Input'!C65+2)</f>
        <v>8306</v>
      </c>
      <c r="I40" s="11">
        <f>IF(Table1[[#This Row],[Column1]]&lt;'Data Input'!$C$3,MAX('Tax Information'!$C$6+'Data Input'!C65*'Tax Information'!$C$5,Table1[[#This Row],[Column9]]+Spending!P41+'Student Loans'!C44),MAX('Tax Information'!$C$6+'Data Input'!C65*'Tax Information'!$C$5,'Mortgage Sheet'!C44+Table1[[#This Row],[Column9]]+Spending!P41+'Student Loans'!C44))+'Tax Information'!$C$4*('Data Input'!C65+2)</f>
        <v>42784.334070866069</v>
      </c>
      <c r="J40" s="18">
        <f>'Tax Information'!E63</f>
        <v>27484.334070866069</v>
      </c>
      <c r="K40" s="18">
        <f>'Tax Information'!C63</f>
        <v>79468.514846784121</v>
      </c>
      <c r="L40" s="18">
        <f>(0.01+0.0765)*(Table1[[#This Row],[Column2]]+Table1[[#This Row],[Column4]]+Table1[[#This Row],[Column5]])</f>
        <v>30976.08907666575</v>
      </c>
      <c r="M40" s="18">
        <f>(Table1[[#This Row],[Column2]]+Table1[[#This Row],[Column4]]+Table1[[#This Row],[Column5]])</f>
        <v>358105.07603081793</v>
      </c>
      <c r="N40" s="18">
        <f>(Table1[[#This Row],[Column2]]+Table1[[#This Row],[Column4]]+Table1[[#This Row],[Column5]])-(Table1[[#This Row],[Column3]]+Table1[[#This Row],[Column9]]+Table1[[#This Row],[Column10]]+Table1[[#This Row],[Column11]])</f>
        <v>220176.138036502</v>
      </c>
      <c r="O40" s="7">
        <f>1-(Table1[[#This Row],[Column13]]/Table1[[#This Row],[Column12]])</f>
        <v>0.3851633144190505</v>
      </c>
      <c r="P40" s="11">
        <f>Table1[[#This Row],[Column3]]+MIN(5500,Table1[[#This Row],[Column2]]*'Data Input'!$C$14+Table1[[#This Row],[Column5]]*'Data Input'!$F$14+'Data Input'!$C$13+'Data Input'!$F$13)+P39</f>
        <v>0</v>
      </c>
      <c r="Q40" s="18">
        <f>Table1[[#This Row],[Column12]]/12</f>
        <v>29842.089669234829</v>
      </c>
      <c r="R40" s="18">
        <f>Table1[[#This Row],[Column13]]/12</f>
        <v>18348.011503041835</v>
      </c>
      <c r="S40" s="18">
        <f>Table1[[#This Row],[Column13]]/'Data Input'!$C$4</f>
        <v>9174.0057515209173</v>
      </c>
      <c r="T40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Sheet'!B44/12,'Mortgage Sheet'!$K$2))</f>
        <v>17748.011503041835</v>
      </c>
      <c r="U40" s="18">
        <f>Spending!T41+12*(Table1[[#This Row],[Column17]]-Table1[[#This Row],[Column19]])</f>
        <v>38370</v>
      </c>
      <c r="V40" s="14">
        <f>Table1[[#This Row],[Column19]]-Spending!U41</f>
        <v>15150.511503041835</v>
      </c>
      <c r="W40" s="18">
        <f>W39+12*Table1[[#This Row],[Column21]]</f>
        <v>2853129.0784650585</v>
      </c>
      <c r="X40" s="16"/>
      <c r="Y40" s="16"/>
      <c r="Z40" s="16"/>
    </row>
    <row r="41" spans="1:26">
      <c r="A41" s="16">
        <f t="shared" si="0"/>
        <v>2055</v>
      </c>
      <c r="B41" s="11">
        <f>IF('Data Input'!$C$18+'Data Input'!$C$2&gt;Table1[[#This Row],[Column1]],('Data Input'!$C$10)*(1+'Data Input'!$C$17)^(Table1[[#This Row],[Column1]]-'Data Input'!$C$2),0)</f>
        <v>369309.27907205059</v>
      </c>
      <c r="C41" s="11">
        <f>IF('Data Input'!$C$18+'Data Input'!$C$2&gt;Table1[[#This Row],[Column1]],'Data Input'!$C$11+'Data Input'!$C$12*Table1[[#This Row],[Column2]],0)+IF('Data Input'!$F$18+'Data Input'!$C$2&gt;Table1[[#This Row],[Column1]],'Data Input'!$F$11+'Data Input'!$F$12*Table1[[#This Row],[Column5]],0)</f>
        <v>0</v>
      </c>
      <c r="D41" s="11">
        <f>IF('Data Input'!$C$18+'Data Input'!$C$2&gt;Table1[[#This Row],[Column1]],'Data Input'!$C$15+'Data Input'!$C$16*Table1[[#This Row],[Column2]],0)+IF('Data Input'!$F$18+'Data Input'!$C$2&gt;Table1[[#This Row],[Column1]],'Data Input'!$F$15+'Data Input'!$F$16*Table1[[#This Row],[Column5]],0)</f>
        <v>3000</v>
      </c>
      <c r="E41" s="11">
        <f>IF('Data Input'!$F$18+'Data Input'!$C$2&gt;Table1[[#This Row],[Column1]],('Data Input'!$F$10)*(1+'Data Input'!$F$17)^(Table1[[#This Row],[Column1]]-'Data Input'!$C$2),0)</f>
        <v>0</v>
      </c>
      <c r="F41" s="11">
        <f>Table1[[#This Row],[Column2]]+Table1[[#This Row],[Column4]]+Table1[[#This Row],[Column5]]-Table1[[#This Row],[Column3]]-Table1[[#This Row],[Column23]]</f>
        <v>364003.27907205059</v>
      </c>
      <c r="G41" s="11">
        <f>Table1[[#This Row],[Column2]]+Table1[[#This Row],[Column4]]+Table1[[#This Row],[Column5]]-Table1[[#This Row],[Column3]]-Table1[[#This Row],[Column8]]</f>
        <v>328203.95411834988</v>
      </c>
      <c r="H41" s="11">
        <f>IF(Table1[[#This Row],[Column1]]&lt;'Data Input'!$C$3,MAX('Tax Information'!$C$15+'Data Input'!C66*'Tax Information'!$C$5,Spending!P42+'Student Loans'!B45),MAX('Tax Information'!$C$15+'Data Input'!C66*'Tax Information'!$C$5,'Mortgage Sheet'!C45+Spending!P42+'Student Loans'!C45))+'Tax Information'!$C$13*('Data Input'!C66+2)</f>
        <v>8306</v>
      </c>
      <c r="I41" s="11">
        <f>IF(Table1[[#This Row],[Column1]]&lt;'Data Input'!$C$3,MAX('Tax Information'!$C$6+'Data Input'!C66*'Tax Information'!$C$5,Table1[[#This Row],[Column9]]+Spending!P42+'Student Loans'!C45),MAX('Tax Information'!$C$6+'Data Input'!C66*'Tax Information'!$C$5,'Mortgage Sheet'!C45+Table1[[#This Row],[Column9]]+Spending!P42+'Student Loans'!C45))+'Tax Information'!$C$4*('Data Input'!C66+2)</f>
        <v>44105.324953700707</v>
      </c>
      <c r="J41" s="18">
        <f>'Tax Information'!E64</f>
        <v>28805.324953700707</v>
      </c>
      <c r="K41" s="18">
        <f>'Tax Information'!C64</f>
        <v>83719.974859055466</v>
      </c>
      <c r="L41" s="18">
        <f>(0.01+0.0765)*(Table1[[#This Row],[Column2]]+Table1[[#This Row],[Column4]]+Table1[[#This Row],[Column5]])</f>
        <v>32204.752639732375</v>
      </c>
      <c r="M41" s="18">
        <f>(Table1[[#This Row],[Column2]]+Table1[[#This Row],[Column4]]+Table1[[#This Row],[Column5]])</f>
        <v>372309.27907205059</v>
      </c>
      <c r="N41" s="18">
        <f>(Table1[[#This Row],[Column2]]+Table1[[#This Row],[Column4]]+Table1[[#This Row],[Column5]])-(Table1[[#This Row],[Column3]]+Table1[[#This Row],[Column9]]+Table1[[#This Row],[Column10]]+Table1[[#This Row],[Column11]])</f>
        <v>227579.22661956205</v>
      </c>
      <c r="O41" s="7">
        <f>1-(Table1[[#This Row],[Column13]]/Table1[[#This Row],[Column12]])</f>
        <v>0.38873608740887677</v>
      </c>
      <c r="P41" s="11">
        <f>Table1[[#This Row],[Column3]]+MIN(5500,Table1[[#This Row],[Column2]]*'Data Input'!$C$14+Table1[[#This Row],[Column5]]*'Data Input'!$F$14+'Data Input'!$C$13+'Data Input'!$F$13)+P40</f>
        <v>0</v>
      </c>
      <c r="Q41" s="18">
        <f>Table1[[#This Row],[Column12]]/12</f>
        <v>31025.773256004217</v>
      </c>
      <c r="R41" s="18">
        <f>Table1[[#This Row],[Column13]]/12</f>
        <v>18964.935551630169</v>
      </c>
      <c r="S41" s="18">
        <f>Table1[[#This Row],[Column13]]/'Data Input'!$C$4</f>
        <v>9482.4677758150847</v>
      </c>
      <c r="T41" s="11">
        <f>Table1[[#This Row],[Column17]]-IF(Table1[[#This Row],[Column1]]&lt;'Data Input'!$C$3,'Data Input'!$R$8*(1+'Data Input'!$R$9)^(Table1[[#This Row],[Column1]]-'Data Input'!$C$2),IF('Data Input'!$C$3+'Data Input'!$I$11&gt;Table1[[#This Row],[Column1]],'Mortgage Sheet'!B45/12,'Mortgage Sheet'!$K$2))</f>
        <v>18364.935551630169</v>
      </c>
      <c r="U41" s="18">
        <f>Spending!T42+12*(Table1[[#This Row],[Column17]]-Table1[[#This Row],[Column19]])</f>
        <v>38370</v>
      </c>
      <c r="V41" s="14">
        <f>Table1[[#This Row],[Column19]]-Spending!U42</f>
        <v>15767.435551630169</v>
      </c>
      <c r="W41" s="18">
        <f>W40+12*Table1[[#This Row],[Column21]]</f>
        <v>3042338.3050846206</v>
      </c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V47" s="16"/>
      <c r="W47" s="16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4"/>
  <sheetViews>
    <sheetView zoomScale="90" zoomScaleNormal="90" workbookViewId="0">
      <selection activeCell="A7" sqref="A7"/>
    </sheetView>
  </sheetViews>
  <sheetFormatPr defaultRowHeight="15"/>
  <cols>
    <col min="1" max="1" width="22.42578125" bestFit="1" customWidth="1"/>
    <col min="2" max="2" width="13.140625" bestFit="1" customWidth="1"/>
    <col min="3" max="3" width="13.140625" style="16" customWidth="1"/>
    <col min="5" max="5" width="13.140625" hidden="1" customWidth="1"/>
    <col min="6" max="7" width="12.7109375" bestFit="1" customWidth="1"/>
    <col min="8" max="9" width="18.85546875" bestFit="1" customWidth="1"/>
    <col min="10" max="10" width="22.140625" bestFit="1" customWidth="1"/>
    <col min="11" max="11" width="28.28515625" bestFit="1" customWidth="1"/>
    <col min="12" max="12" width="20.28515625" customWidth="1"/>
    <col min="14" max="14" width="11.140625" bestFit="1" customWidth="1"/>
  </cols>
  <sheetData>
    <row r="1" spans="1:14">
      <c r="E1" s="17">
        <f>G1*1.25</f>
        <v>500000</v>
      </c>
      <c r="F1" s="23" t="s">
        <v>5</v>
      </c>
      <c r="G1" s="88">
        <f>'Data Input'!I8</f>
        <v>400000</v>
      </c>
      <c r="H1" s="5" t="s">
        <v>3</v>
      </c>
      <c r="I1" s="4">
        <v>0</v>
      </c>
      <c r="J1" s="5" t="s">
        <v>28</v>
      </c>
      <c r="K1" s="2">
        <f>SUM(F5:F364)</f>
        <v>687478.02547025133</v>
      </c>
    </row>
    <row r="2" spans="1:14">
      <c r="A2" s="117"/>
      <c r="B2" s="90"/>
      <c r="C2" s="90"/>
      <c r="F2" s="5" t="s">
        <v>6</v>
      </c>
      <c r="G2" s="89">
        <f>'Data Input'!I9</f>
        <v>0.04</v>
      </c>
      <c r="H2" s="5" t="s">
        <v>10</v>
      </c>
      <c r="I2" s="3">
        <f>ROUNDUP(12+(K17+SUM(H17:H364))/(SUM(F17:F28)/12)-0.000001,0)</f>
        <v>360</v>
      </c>
      <c r="J2" s="5" t="s">
        <v>29</v>
      </c>
      <c r="K2" s="17">
        <f>('Data Input'!I12+'Data Input'!I13)/12</f>
        <v>600</v>
      </c>
      <c r="L2" s="17">
        <f>'Data Input'!I12</f>
        <v>6000</v>
      </c>
    </row>
    <row r="3" spans="1:14">
      <c r="A3" s="123" t="s">
        <v>153</v>
      </c>
      <c r="B3" s="124">
        <v>360</v>
      </c>
      <c r="C3" s="90"/>
      <c r="F3" s="5" t="s">
        <v>8</v>
      </c>
      <c r="G3" s="3">
        <f>'Data Input'!I10</f>
        <v>30</v>
      </c>
      <c r="H3" s="5" t="s">
        <v>9</v>
      </c>
      <c r="I3" s="2">
        <f>SUM(H5:H364)</f>
        <v>287478.02547027072</v>
      </c>
      <c r="J3" s="5" t="s">
        <v>11</v>
      </c>
      <c r="K3" s="2">
        <f>K2+F5</f>
        <v>2509.6611818618112</v>
      </c>
    </row>
    <row r="4" spans="1:14">
      <c r="D4" s="9" t="s">
        <v>0</v>
      </c>
      <c r="E4" s="9" t="s">
        <v>4</v>
      </c>
      <c r="F4" s="9" t="s">
        <v>2</v>
      </c>
      <c r="G4" s="9" t="s">
        <v>52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45">
      <c r="A5" t="s">
        <v>30</v>
      </c>
      <c r="B5" t="s">
        <v>31</v>
      </c>
      <c r="C5" s="8" t="s">
        <v>130</v>
      </c>
      <c r="D5">
        <v>1</v>
      </c>
      <c r="E5" s="1">
        <v>43101</v>
      </c>
      <c r="F5" s="2">
        <f>I5+$G$1*($G$2/12)*(1+($G$2/12))^($G$3*12)/((1+($G$2/12))^($G$3*12)-1)</f>
        <v>1909.6611818618114</v>
      </c>
      <c r="G5" s="2">
        <f>+F5-H5</f>
        <v>576.32784852847794</v>
      </c>
      <c r="H5" s="2">
        <f>($G$2/12)*K5</f>
        <v>1333.3333333333335</v>
      </c>
      <c r="I5" s="2">
        <f t="shared" ref="I5:I68" si="0">IF(AND(MOD(D5,12)=2, $B$2&gt;0,K5&gt;$B$2),$B$2,IF(K5=0,0,IF(D5&lt;=$B$3,$I$1,0)))</f>
        <v>0</v>
      </c>
      <c r="J5" s="2">
        <f>IF(K5=0,0,H5)</f>
        <v>1333.3333333333335</v>
      </c>
      <c r="K5" s="2">
        <f>G1</f>
        <v>400000</v>
      </c>
      <c r="L5" s="8"/>
    </row>
    <row r="6" spans="1:14">
      <c r="A6">
        <f>'Data Input'!C3</f>
        <v>2018</v>
      </c>
      <c r="B6" s="18">
        <f>SUM(F5:F16)+$K$2*12</f>
        <v>30115.934182341738</v>
      </c>
      <c r="C6" s="18">
        <f>H6*12+$L$2</f>
        <v>21976.94688605886</v>
      </c>
      <c r="D6">
        <v>2</v>
      </c>
      <c r="E6" s="1">
        <v>43132</v>
      </c>
      <c r="F6" s="2">
        <f>IF( (K6+20)&lt;$F$5, H6+K6,I6+$G$1*($G$2/12)*(1+($G$2/12))^($G$3*12)/((1+($G$2/12))^($G$3*12)-1))</f>
        <v>1909.6611818618114</v>
      </c>
      <c r="G6" s="2">
        <f>+F6-H6</f>
        <v>578.24894135690624</v>
      </c>
      <c r="H6" s="2">
        <f>($G$2/12)*K6</f>
        <v>1331.4122405049052</v>
      </c>
      <c r="I6" s="15">
        <f t="shared" si="0"/>
        <v>0</v>
      </c>
      <c r="J6" s="2">
        <f>IF(K6=0,0,J5+H6)</f>
        <v>2664.7455738382387</v>
      </c>
      <c r="K6" s="2">
        <f>K5-G5</f>
        <v>399423.67215147155</v>
      </c>
      <c r="L6" s="21"/>
      <c r="N6" s="22"/>
    </row>
    <row r="7" spans="1:14">
      <c r="A7">
        <f>A6+1</f>
        <v>2019</v>
      </c>
      <c r="B7" s="18">
        <f>SUM(F17:F28)+$K$2*12</f>
        <v>30115.934182341738</v>
      </c>
      <c r="C7" s="18">
        <f>H18*12+$L$2</f>
        <v>21694.241837307483</v>
      </c>
      <c r="D7">
        <v>3</v>
      </c>
      <c r="E7" s="1">
        <v>43160</v>
      </c>
      <c r="F7" s="2">
        <f>IF( (K7+20)&lt;$F$5, H7+K7,I7+$G$1*($G$2/12)*(1+($G$2/12))^($G$3*12)/((1+($G$2/12))^($G$3*12)-1))</f>
        <v>1909.6611818618114</v>
      </c>
      <c r="G7" s="2">
        <f>+F7-H7</f>
        <v>580.17643782809591</v>
      </c>
      <c r="H7" s="2">
        <f>($G$2/12)*K7</f>
        <v>1329.4847440337155</v>
      </c>
      <c r="I7" s="15">
        <f t="shared" si="0"/>
        <v>0</v>
      </c>
      <c r="J7" s="2">
        <f>IF(K7=0,0,J6+H7)</f>
        <v>3994.230317871954</v>
      </c>
      <c r="K7" s="2">
        <f>K6-G6</f>
        <v>398845.42321011465</v>
      </c>
      <c r="L7" s="21"/>
    </row>
    <row r="8" spans="1:14">
      <c r="A8" s="16">
        <f t="shared" ref="A8:A45" si="1">A7+1</f>
        <v>2020</v>
      </c>
      <c r="B8" s="18">
        <f>SUM(F29:F40)+$K$2*12</f>
        <v>30115.934182341738</v>
      </c>
      <c r="C8" s="18">
        <f>H30*12+$L$2</f>
        <v>21400.018948678749</v>
      </c>
      <c r="D8">
        <v>4</v>
      </c>
      <c r="E8" s="1">
        <v>43191</v>
      </c>
      <c r="F8" s="2">
        <f>IF( (K8+20)&lt;$F$5, H8+K8,I8+$G$1*($G$2/12)*(1+($G$2/12))^($G$3*12)/((1+($G$2/12))^($G$3*12)-1))</f>
        <v>1909.6611818618114</v>
      </c>
      <c r="G8" s="2">
        <f>+F8-H8</f>
        <v>582.1103592875229</v>
      </c>
      <c r="H8" s="2">
        <f t="shared" ref="H8:H71" si="2">($G$2/12)*K8</f>
        <v>1327.5508225742885</v>
      </c>
      <c r="I8" s="15">
        <f t="shared" si="0"/>
        <v>0</v>
      </c>
      <c r="J8" s="2">
        <f t="shared" ref="J8:J71" si="3">IF(K8=0,0,J7+H8)</f>
        <v>5321.7811404462427</v>
      </c>
      <c r="K8" s="2">
        <f t="shared" ref="K8:K9" si="4">K7-G7</f>
        <v>398265.24677228654</v>
      </c>
      <c r="L8" s="21"/>
      <c r="M8" s="16"/>
    </row>
    <row r="9" spans="1:14">
      <c r="A9" s="16">
        <f t="shared" si="1"/>
        <v>2021</v>
      </c>
      <c r="B9" s="18">
        <f>SUM(F41:F52)+$K$2*12</f>
        <v>30115.934182341738</v>
      </c>
      <c r="C9" s="18">
        <f>H42*12+$L$2</f>
        <v>21093.808965604971</v>
      </c>
      <c r="D9">
        <v>5</v>
      </c>
      <c r="E9" s="1">
        <v>43221</v>
      </c>
      <c r="F9" s="2">
        <f t="shared" ref="F9:F72" si="5">IF( (K9+20)&lt;$F$5, H9+K9,I9+$G$1*($G$2/12)*(1+($G$2/12))^($G$3*12)/((1+($G$2/12))^($G$3*12)-1))</f>
        <v>1909.6611818618114</v>
      </c>
      <c r="G9" s="2">
        <f t="shared" ref="G9:G70" si="6">+F9-H9</f>
        <v>584.05072715181473</v>
      </c>
      <c r="H9" s="2">
        <f t="shared" si="2"/>
        <v>1325.6104547099967</v>
      </c>
      <c r="I9" s="15">
        <f t="shared" si="0"/>
        <v>0</v>
      </c>
      <c r="J9" s="2">
        <f t="shared" si="3"/>
        <v>6647.3915951562394</v>
      </c>
      <c r="K9" s="2">
        <f t="shared" si="4"/>
        <v>397683.13641299901</v>
      </c>
      <c r="L9" s="21"/>
      <c r="M9" s="16"/>
    </row>
    <row r="10" spans="1:14">
      <c r="A10" s="16">
        <f t="shared" si="1"/>
        <v>2022</v>
      </c>
      <c r="B10" s="18">
        <f>SUM(F53:F64)+$K$2*12</f>
        <v>30115.934182341738</v>
      </c>
      <c r="C10" s="18">
        <f>H54*12+$L$2</f>
        <v>20775.123515363321</v>
      </c>
      <c r="D10">
        <v>6</v>
      </c>
      <c r="E10" s="1">
        <v>43252</v>
      </c>
      <c r="F10" s="2">
        <f t="shared" si="5"/>
        <v>1909.6611818618114</v>
      </c>
      <c r="G10" s="2">
        <f t="shared" si="6"/>
        <v>585.99756290898722</v>
      </c>
      <c r="H10" s="2">
        <f t="shared" si="2"/>
        <v>1323.6636189528242</v>
      </c>
      <c r="I10" s="15">
        <f t="shared" si="0"/>
        <v>0</v>
      </c>
      <c r="J10" s="2">
        <f t="shared" si="3"/>
        <v>7971.0552141090639</v>
      </c>
      <c r="K10" s="2">
        <f t="shared" ref="K10:K73" si="7">K9-G9</f>
        <v>397099.08568584721</v>
      </c>
      <c r="L10" s="21"/>
      <c r="M10" s="16"/>
    </row>
    <row r="11" spans="1:14">
      <c r="A11" s="16">
        <f t="shared" si="1"/>
        <v>2023</v>
      </c>
      <c r="B11" s="18">
        <f>SUM(F65:F76)+$K$2*12</f>
        <v>30115.934182341738</v>
      </c>
      <c r="C11" s="18">
        <f>H66*12+$L$2</f>
        <v>20443.454328172735</v>
      </c>
      <c r="D11">
        <v>7</v>
      </c>
      <c r="E11" s="1">
        <v>43282</v>
      </c>
      <c r="F11" s="2">
        <f t="shared" si="5"/>
        <v>1909.6611818618114</v>
      </c>
      <c r="G11" s="2">
        <f t="shared" si="6"/>
        <v>587.95088811868391</v>
      </c>
      <c r="H11" s="2">
        <f t="shared" si="2"/>
        <v>1321.7102937431275</v>
      </c>
      <c r="I11" s="15">
        <f t="shared" si="0"/>
        <v>0</v>
      </c>
      <c r="J11" s="2">
        <f t="shared" si="3"/>
        <v>9292.7655078521911</v>
      </c>
      <c r="K11" s="2">
        <f t="shared" si="7"/>
        <v>396513.08812293824</v>
      </c>
      <c r="L11" s="21"/>
      <c r="M11" s="16"/>
    </row>
    <row r="12" spans="1:14">
      <c r="A12" s="16">
        <f t="shared" si="1"/>
        <v>2024</v>
      </c>
      <c r="B12" s="18">
        <f>SUM(F77:F88)+$K$2*12</f>
        <v>30115.934182341738</v>
      </c>
      <c r="C12" s="18">
        <f>H78*12+$L$2</f>
        <v>20098.272426557054</v>
      </c>
      <c r="D12">
        <v>8</v>
      </c>
      <c r="E12" s="1">
        <v>43313</v>
      </c>
      <c r="F12" s="2">
        <f t="shared" si="5"/>
        <v>1909.6611818618114</v>
      </c>
      <c r="G12" s="2">
        <f t="shared" si="6"/>
        <v>589.91072441241295</v>
      </c>
      <c r="H12" s="2">
        <f t="shared" si="2"/>
        <v>1319.7504574493985</v>
      </c>
      <c r="I12" s="15">
        <f t="shared" si="0"/>
        <v>0</v>
      </c>
      <c r="J12" s="2">
        <f t="shared" si="3"/>
        <v>10612.515965301589</v>
      </c>
      <c r="K12" s="2">
        <f t="shared" si="7"/>
        <v>395925.13723481953</v>
      </c>
      <c r="L12" s="21"/>
      <c r="M12" s="16"/>
    </row>
    <row r="13" spans="1:14">
      <c r="A13" s="16">
        <f t="shared" si="1"/>
        <v>2025</v>
      </c>
      <c r="B13" s="18">
        <f>SUM(F89:F100)+$K$2*12</f>
        <v>30115.934182341738</v>
      </c>
      <c r="C13" s="18">
        <f>H90*12+$L$2</f>
        <v>19739.027281681563</v>
      </c>
      <c r="D13">
        <v>9</v>
      </c>
      <c r="E13" s="1">
        <v>43344</v>
      </c>
      <c r="F13" s="2">
        <f t="shared" si="5"/>
        <v>1909.6611818618114</v>
      </c>
      <c r="G13" s="2">
        <f t="shared" si="6"/>
        <v>591.8770934937877</v>
      </c>
      <c r="H13" s="2">
        <f t="shared" si="2"/>
        <v>1317.7840883680237</v>
      </c>
      <c r="I13" s="15">
        <f t="shared" si="0"/>
        <v>0</v>
      </c>
      <c r="J13" s="2">
        <f t="shared" si="3"/>
        <v>11930.300053669613</v>
      </c>
      <c r="K13" s="2">
        <f t="shared" si="7"/>
        <v>395335.22651040711</v>
      </c>
      <c r="L13" s="21"/>
      <c r="M13" s="16"/>
    </row>
    <row r="14" spans="1:14">
      <c r="A14" s="16">
        <f t="shared" si="1"/>
        <v>2026</v>
      </c>
      <c r="B14" s="18">
        <f>SUM(F101:F112)+$K$2*12</f>
        <v>30115.934182341738</v>
      </c>
      <c r="C14" s="18">
        <f>H102*12+$L$2</f>
        <v>19365.1459353174</v>
      </c>
      <c r="D14">
        <v>10</v>
      </c>
      <c r="E14" s="1">
        <v>43374</v>
      </c>
      <c r="F14" s="2">
        <f t="shared" si="5"/>
        <v>1909.6611818618114</v>
      </c>
      <c r="G14" s="2">
        <f t="shared" si="6"/>
        <v>593.85001713876682</v>
      </c>
      <c r="H14" s="2">
        <f t="shared" si="2"/>
        <v>1315.8111647230446</v>
      </c>
      <c r="I14" s="15">
        <f t="shared" si="0"/>
        <v>0</v>
      </c>
      <c r="J14" s="2">
        <f t="shared" si="3"/>
        <v>13246.111218392658</v>
      </c>
      <c r="K14" s="2">
        <f t="shared" si="7"/>
        <v>394743.34941691335</v>
      </c>
      <c r="L14" s="21"/>
      <c r="M14" s="16"/>
    </row>
    <row r="15" spans="1:14">
      <c r="A15" s="16">
        <f t="shared" si="1"/>
        <v>2027</v>
      </c>
      <c r="B15" s="18">
        <f>SUM(F113:F124)+$K$2*12</f>
        <v>30115.934182341738</v>
      </c>
      <c r="C15" s="18">
        <f>H114*12+$L$2</f>
        <v>18976.032086033432</v>
      </c>
      <c r="D15">
        <v>11</v>
      </c>
      <c r="E15" s="1">
        <v>43405</v>
      </c>
      <c r="F15" s="2">
        <f t="shared" si="5"/>
        <v>1909.6611818618114</v>
      </c>
      <c r="G15" s="2">
        <f t="shared" si="6"/>
        <v>595.82951719589596</v>
      </c>
      <c r="H15" s="2">
        <f t="shared" si="2"/>
        <v>1313.8316646659155</v>
      </c>
      <c r="I15" s="15">
        <f t="shared" si="0"/>
        <v>0</v>
      </c>
      <c r="J15" s="2">
        <f t="shared" si="3"/>
        <v>14559.942883058573</v>
      </c>
      <c r="K15" s="2">
        <f t="shared" si="7"/>
        <v>394149.49939977459</v>
      </c>
      <c r="L15" s="21"/>
      <c r="M15" s="16"/>
    </row>
    <row r="16" spans="1:14">
      <c r="A16" s="16">
        <f t="shared" si="1"/>
        <v>2028</v>
      </c>
      <c r="B16" s="18">
        <f>SUM(F125:F136)+$K$2*12</f>
        <v>30115.934182341738</v>
      </c>
      <c r="C16" s="18">
        <f>H126*12+$L$2</f>
        <v>18571.065138158185</v>
      </c>
      <c r="D16">
        <v>12</v>
      </c>
      <c r="E16" s="1">
        <v>43435</v>
      </c>
      <c r="F16" s="2">
        <f t="shared" si="5"/>
        <v>1909.6611818618114</v>
      </c>
      <c r="G16" s="2">
        <f t="shared" si="6"/>
        <v>597.81561558654903</v>
      </c>
      <c r="H16" s="2">
        <f t="shared" si="2"/>
        <v>1311.8455662752624</v>
      </c>
      <c r="I16" s="15">
        <f t="shared" si="0"/>
        <v>0</v>
      </c>
      <c r="J16" s="2">
        <f t="shared" si="3"/>
        <v>15871.788449333835</v>
      </c>
      <c r="K16" s="2">
        <f t="shared" si="7"/>
        <v>393553.66988257872</v>
      </c>
      <c r="L16" s="21"/>
      <c r="M16" s="16"/>
    </row>
    <row r="17" spans="1:13">
      <c r="A17" s="16">
        <f t="shared" si="1"/>
        <v>2029</v>
      </c>
      <c r="B17" s="18">
        <f>SUM(F137:F148)+$K$2*12</f>
        <v>30115.934182341738</v>
      </c>
      <c r="C17" s="18">
        <f>H138*12+$L$2</f>
        <v>18149.599211994977</v>
      </c>
      <c r="D17">
        <v>13</v>
      </c>
      <c r="E17" s="1">
        <v>43466</v>
      </c>
      <c r="F17" s="2">
        <f t="shared" si="5"/>
        <v>1909.6611818618114</v>
      </c>
      <c r="G17" s="2">
        <f t="shared" si="6"/>
        <v>599.80833430517077</v>
      </c>
      <c r="H17" s="2">
        <f t="shared" si="2"/>
        <v>1309.8528475566407</v>
      </c>
      <c r="I17" s="15">
        <f t="shared" si="0"/>
        <v>0</v>
      </c>
      <c r="J17" s="2">
        <f t="shared" si="3"/>
        <v>17181.641296890477</v>
      </c>
      <c r="K17" s="2">
        <f t="shared" si="7"/>
        <v>392955.85426699219</v>
      </c>
      <c r="L17" s="21"/>
      <c r="M17" s="16"/>
    </row>
    <row r="18" spans="1:13">
      <c r="A18" s="16">
        <f t="shared" si="1"/>
        <v>2030</v>
      </c>
      <c r="B18" s="18">
        <f>SUM(F149:F160)+$K$2*12</f>
        <v>30115.934182341738</v>
      </c>
      <c r="C18" s="18">
        <f>H150*12+$L$2</f>
        <v>17710.962113711761</v>
      </c>
      <c r="D18">
        <v>14</v>
      </c>
      <c r="E18" s="1">
        <v>43497</v>
      </c>
      <c r="F18" s="2">
        <f t="shared" si="5"/>
        <v>1909.6611818618114</v>
      </c>
      <c r="G18" s="2">
        <f t="shared" si="6"/>
        <v>601.80769541952122</v>
      </c>
      <c r="H18" s="2">
        <f t="shared" si="2"/>
        <v>1307.8534864422902</v>
      </c>
      <c r="I18" s="15">
        <f t="shared" si="0"/>
        <v>0</v>
      </c>
      <c r="J18" s="2">
        <f t="shared" si="3"/>
        <v>18489.494783332768</v>
      </c>
      <c r="K18" s="2">
        <f t="shared" si="7"/>
        <v>392356.045932687</v>
      </c>
      <c r="L18" s="21"/>
      <c r="M18" s="16"/>
    </row>
    <row r="19" spans="1:13">
      <c r="A19" s="16">
        <f t="shared" si="1"/>
        <v>2031</v>
      </c>
      <c r="B19" s="18">
        <f>SUM(F161:F172)+$K$2*12</f>
        <v>30115.934182341738</v>
      </c>
      <c r="C19" s="18">
        <f>H162*12+$L$2</f>
        <v>17254.454263262629</v>
      </c>
      <c r="D19">
        <v>15</v>
      </c>
      <c r="E19" s="1">
        <v>43525</v>
      </c>
      <c r="F19" s="2">
        <f t="shared" si="5"/>
        <v>1909.6611818618114</v>
      </c>
      <c r="G19" s="2">
        <f t="shared" si="6"/>
        <v>603.81372107091966</v>
      </c>
      <c r="H19" s="2">
        <f t="shared" si="2"/>
        <v>1305.8474607908918</v>
      </c>
      <c r="I19" s="15">
        <f t="shared" si="0"/>
        <v>0</v>
      </c>
      <c r="J19" s="2">
        <f t="shared" si="3"/>
        <v>19795.342244123658</v>
      </c>
      <c r="K19" s="2">
        <f t="shared" si="7"/>
        <v>391754.23823726748</v>
      </c>
      <c r="L19" s="21"/>
      <c r="M19" s="16"/>
    </row>
    <row r="20" spans="1:13">
      <c r="A20" s="16">
        <f t="shared" si="1"/>
        <v>2032</v>
      </c>
      <c r="B20" s="18">
        <f>SUM(F173:F184)+$K$2*12</f>
        <v>30115.934182341738</v>
      </c>
      <c r="C20" s="18">
        <f>H174*12+$L$2</f>
        <v>16779.347578631205</v>
      </c>
      <c r="D20">
        <v>16</v>
      </c>
      <c r="E20" s="1">
        <v>43556</v>
      </c>
      <c r="F20" s="2">
        <f t="shared" si="5"/>
        <v>1909.6611818618114</v>
      </c>
      <c r="G20" s="2">
        <f t="shared" si="6"/>
        <v>605.82643347448948</v>
      </c>
      <c r="H20" s="2">
        <f t="shared" si="2"/>
        <v>1303.834748387322</v>
      </c>
      <c r="I20" s="15">
        <f t="shared" si="0"/>
        <v>0</v>
      </c>
      <c r="J20" s="2">
        <f t="shared" si="3"/>
        <v>21099.17699251098</v>
      </c>
      <c r="K20" s="2">
        <f t="shared" si="7"/>
        <v>391150.42451619654</v>
      </c>
      <c r="L20" s="21"/>
      <c r="M20" s="16"/>
    </row>
    <row r="21" spans="1:13">
      <c r="A21" s="16">
        <f t="shared" si="1"/>
        <v>2033</v>
      </c>
      <c r="B21" s="18">
        <f>SUM(F185:F196)+$K$2*12</f>
        <v>30115.934182341738</v>
      </c>
      <c r="C21" s="18">
        <f>H186*12+$L$2</f>
        <v>16284.884314616389</v>
      </c>
      <c r="D21">
        <v>17</v>
      </c>
      <c r="E21" s="1">
        <v>43586</v>
      </c>
      <c r="F21" s="2">
        <f t="shared" si="5"/>
        <v>1909.6611818618114</v>
      </c>
      <c r="G21" s="2">
        <f t="shared" si="6"/>
        <v>607.84585491940447</v>
      </c>
      <c r="H21" s="2">
        <f t="shared" si="2"/>
        <v>1301.815326942407</v>
      </c>
      <c r="I21" s="15">
        <f t="shared" si="0"/>
        <v>0</v>
      </c>
      <c r="J21" s="2">
        <f t="shared" si="3"/>
        <v>22400.992319453388</v>
      </c>
      <c r="K21" s="2">
        <f t="shared" si="7"/>
        <v>390544.59808272205</v>
      </c>
      <c r="L21" s="21"/>
      <c r="M21" s="16"/>
    </row>
    <row r="22" spans="1:13">
      <c r="A22" s="16">
        <f t="shared" si="1"/>
        <v>2034</v>
      </c>
      <c r="B22" s="18">
        <f>SUM(F197:F208)+$K$2*12</f>
        <v>30115.934182341738</v>
      </c>
      <c r="C22" s="18">
        <f>H198*12+$L$2</f>
        <v>15770.275854308453</v>
      </c>
      <c r="D22">
        <v>18</v>
      </c>
      <c r="E22" s="1">
        <v>43617</v>
      </c>
      <c r="F22" s="2">
        <f t="shared" si="5"/>
        <v>1909.6611818618114</v>
      </c>
      <c r="G22" s="2">
        <f t="shared" si="6"/>
        <v>609.87200776913596</v>
      </c>
      <c r="H22" s="2">
        <f t="shared" si="2"/>
        <v>1299.7891740926755</v>
      </c>
      <c r="I22" s="15">
        <f t="shared" si="0"/>
        <v>0</v>
      </c>
      <c r="J22" s="2">
        <f t="shared" si="3"/>
        <v>23700.781493546063</v>
      </c>
      <c r="K22" s="2">
        <f t="shared" si="7"/>
        <v>389936.75222780264</v>
      </c>
      <c r="L22" s="21"/>
      <c r="M22" s="16"/>
    </row>
    <row r="23" spans="1:13">
      <c r="A23" s="16">
        <f t="shared" si="1"/>
        <v>2035</v>
      </c>
      <c r="B23" s="18">
        <f>SUM(F209:F220)+$K$2*12</f>
        <v>30115.934182341738</v>
      </c>
      <c r="C23" s="18">
        <f>H210*12+$L$2</f>
        <v>15234.701451327994</v>
      </c>
      <c r="D23">
        <v>19</v>
      </c>
      <c r="E23" s="1">
        <v>43647</v>
      </c>
      <c r="F23" s="2">
        <f t="shared" si="5"/>
        <v>1909.6611818618114</v>
      </c>
      <c r="G23" s="2">
        <f t="shared" si="6"/>
        <v>611.90491446169972</v>
      </c>
      <c r="H23" s="2">
        <f t="shared" si="2"/>
        <v>1297.7562674001117</v>
      </c>
      <c r="I23" s="15">
        <f t="shared" si="0"/>
        <v>0</v>
      </c>
      <c r="J23" s="2">
        <f t="shared" si="3"/>
        <v>24998.537760946176</v>
      </c>
      <c r="K23" s="2">
        <f t="shared" si="7"/>
        <v>389326.88022003352</v>
      </c>
      <c r="L23" s="21"/>
      <c r="M23" s="16"/>
    </row>
    <row r="24" spans="1:13">
      <c r="A24" s="16">
        <f t="shared" si="1"/>
        <v>2036</v>
      </c>
      <c r="B24" s="18">
        <f>SUM(F221:F232)+$K$2*12</f>
        <v>30115.934182341738</v>
      </c>
      <c r="C24" s="18">
        <f>H222*12+$L$2</f>
        <v>14677.306920821768</v>
      </c>
      <c r="D24">
        <v>20</v>
      </c>
      <c r="E24" s="1">
        <v>43678</v>
      </c>
      <c r="F24" s="2">
        <f t="shared" si="5"/>
        <v>1909.6611818618114</v>
      </c>
      <c r="G24" s="2">
        <f t="shared" si="6"/>
        <v>613.94459750990541</v>
      </c>
      <c r="H24" s="2">
        <f t="shared" si="2"/>
        <v>1295.716584351906</v>
      </c>
      <c r="I24" s="15">
        <f t="shared" si="0"/>
        <v>0</v>
      </c>
      <c r="J24" s="2">
        <f t="shared" si="3"/>
        <v>26294.254345298083</v>
      </c>
      <c r="K24" s="2">
        <f t="shared" si="7"/>
        <v>388714.9753055718</v>
      </c>
      <c r="L24" s="21"/>
      <c r="M24" s="16"/>
    </row>
    <row r="25" spans="1:13">
      <c r="A25" s="16">
        <f t="shared" si="1"/>
        <v>2037</v>
      </c>
      <c r="B25" s="18">
        <f>SUM(F234:F245)+$K$2*12</f>
        <v>30115.934182341738</v>
      </c>
      <c r="C25" s="18">
        <f>H234*12+$L$2</f>
        <v>14097.203277127666</v>
      </c>
      <c r="D25">
        <v>21</v>
      </c>
      <c r="E25" s="1">
        <v>43709</v>
      </c>
      <c r="F25" s="2">
        <f t="shared" si="5"/>
        <v>1909.6611818618114</v>
      </c>
      <c r="G25" s="2">
        <f t="shared" si="6"/>
        <v>615.9910795016051</v>
      </c>
      <c r="H25" s="2">
        <f t="shared" si="2"/>
        <v>1293.6701023602063</v>
      </c>
      <c r="I25" s="15">
        <f t="shared" si="0"/>
        <v>0</v>
      </c>
      <c r="J25" s="2">
        <f t="shared" si="3"/>
        <v>27587.92444765829</v>
      </c>
      <c r="K25" s="2">
        <f t="shared" si="7"/>
        <v>388101.03070806188</v>
      </c>
      <c r="L25" s="21"/>
      <c r="M25" s="16"/>
    </row>
    <row r="26" spans="1:13">
      <c r="A26" s="16">
        <f t="shared" si="1"/>
        <v>2038</v>
      </c>
      <c r="B26" s="18">
        <f>SUM(F246:F257)+$K$2*12</f>
        <v>30115.934182341738</v>
      </c>
      <c r="C26" s="18">
        <f>H246*12+$L$2</f>
        <v>13493.465315936075</v>
      </c>
      <c r="D26">
        <v>22</v>
      </c>
      <c r="E26" s="1">
        <v>43739</v>
      </c>
      <c r="F26" s="2">
        <f t="shared" si="5"/>
        <v>1909.6611818618114</v>
      </c>
      <c r="G26" s="2">
        <f t="shared" si="6"/>
        <v>618.04438309994384</v>
      </c>
      <c r="H26" s="2">
        <f t="shared" si="2"/>
        <v>1291.6167987618676</v>
      </c>
      <c r="I26" s="15">
        <f t="shared" si="0"/>
        <v>0</v>
      </c>
      <c r="J26" s="2">
        <f t="shared" si="3"/>
        <v>28879.541246420158</v>
      </c>
      <c r="K26" s="2">
        <f t="shared" si="7"/>
        <v>387485.03962856025</v>
      </c>
      <c r="L26" s="21"/>
      <c r="M26" s="16"/>
    </row>
    <row r="27" spans="1:13">
      <c r="A27" s="16">
        <f t="shared" si="1"/>
        <v>2039</v>
      </c>
      <c r="B27" s="18">
        <f>SUM(F258:F269)+$K$2*12</f>
        <v>30115.934182341738</v>
      </c>
      <c r="C27" s="18">
        <f>H258*12+$L$2</f>
        <v>12865.130138686289</v>
      </c>
      <c r="D27">
        <v>23</v>
      </c>
      <c r="E27" s="1">
        <v>43770</v>
      </c>
      <c r="F27" s="2">
        <f t="shared" si="5"/>
        <v>1909.6611818618114</v>
      </c>
      <c r="G27" s="2">
        <f t="shared" si="6"/>
        <v>620.10453104361022</v>
      </c>
      <c r="H27" s="2">
        <f t="shared" si="2"/>
        <v>1289.5566508182012</v>
      </c>
      <c r="I27" s="15">
        <f t="shared" si="0"/>
        <v>0</v>
      </c>
      <c r="J27" s="2">
        <f t="shared" si="3"/>
        <v>30169.09789723836</v>
      </c>
      <c r="K27" s="2">
        <f t="shared" si="7"/>
        <v>386866.9952454603</v>
      </c>
      <c r="L27" s="21"/>
      <c r="M27" s="16"/>
    </row>
    <row r="28" spans="1:13">
      <c r="A28" s="16">
        <f t="shared" si="1"/>
        <v>2040</v>
      </c>
      <c r="B28" s="18">
        <f>SUM(F270:F281)+$K$2*12</f>
        <v>30115.934182341738</v>
      </c>
      <c r="C28" s="18">
        <f>H270*12+$L$2</f>
        <v>12211.195616844569</v>
      </c>
      <c r="D28">
        <v>24</v>
      </c>
      <c r="E28" s="1">
        <v>43800</v>
      </c>
      <c r="F28" s="2">
        <f t="shared" si="5"/>
        <v>1909.6611818618114</v>
      </c>
      <c r="G28" s="2">
        <f t="shared" si="6"/>
        <v>622.17154614708897</v>
      </c>
      <c r="H28" s="2">
        <f t="shared" si="2"/>
        <v>1287.4896357147225</v>
      </c>
      <c r="I28" s="15">
        <f t="shared" si="0"/>
        <v>0</v>
      </c>
      <c r="J28" s="2">
        <f t="shared" si="3"/>
        <v>31456.587532953083</v>
      </c>
      <c r="K28" s="2">
        <f t="shared" si="7"/>
        <v>386246.89071441669</v>
      </c>
      <c r="L28" s="21"/>
      <c r="M28" s="16"/>
    </row>
    <row r="29" spans="1:13">
      <c r="A29" s="16">
        <f t="shared" si="1"/>
        <v>2041</v>
      </c>
      <c r="B29" s="18">
        <f>SUM(F282:F293)+$K$2*12</f>
        <v>30115.934182341738</v>
      </c>
      <c r="C29" s="18">
        <f>H282*12+$L$2</f>
        <v>11530.618793614503</v>
      </c>
      <c r="D29">
        <v>25</v>
      </c>
      <c r="E29" s="1">
        <v>43831</v>
      </c>
      <c r="F29" s="2">
        <f t="shared" si="5"/>
        <v>1909.6611818618114</v>
      </c>
      <c r="G29" s="2">
        <f t="shared" si="6"/>
        <v>624.24545130091269</v>
      </c>
      <c r="H29" s="2">
        <f t="shared" si="2"/>
        <v>1285.4157305608987</v>
      </c>
      <c r="I29" s="15">
        <f t="shared" si="0"/>
        <v>0</v>
      </c>
      <c r="J29" s="2">
        <f t="shared" si="3"/>
        <v>32742.00326351398</v>
      </c>
      <c r="K29" s="2">
        <f t="shared" si="7"/>
        <v>385624.7191682696</v>
      </c>
      <c r="L29" s="21"/>
      <c r="M29" s="16"/>
    </row>
    <row r="30" spans="1:13">
      <c r="A30" s="16">
        <f t="shared" si="1"/>
        <v>2042</v>
      </c>
      <c r="B30" s="18">
        <f>SUM(F294:F305)+$K$2*12</f>
        <v>30115.934182341738</v>
      </c>
      <c r="C30" s="18">
        <f>H294*12+$L$2</f>
        <v>10822.314220530592</v>
      </c>
      <c r="D30">
        <v>26</v>
      </c>
      <c r="E30" s="1">
        <v>43862</v>
      </c>
      <c r="F30" s="2">
        <f t="shared" si="5"/>
        <v>1909.6611818618114</v>
      </c>
      <c r="G30" s="2">
        <f t="shared" si="6"/>
        <v>626.32626947191579</v>
      </c>
      <c r="H30" s="2">
        <f t="shared" si="2"/>
        <v>1283.3349123898956</v>
      </c>
      <c r="I30" s="15">
        <f t="shared" si="0"/>
        <v>0</v>
      </c>
      <c r="J30" s="2">
        <f t="shared" si="3"/>
        <v>34025.338175903875</v>
      </c>
      <c r="K30" s="2">
        <f t="shared" si="7"/>
        <v>385000.47371696867</v>
      </c>
      <c r="L30" s="21"/>
      <c r="M30" s="16"/>
    </row>
    <row r="31" spans="1:13">
      <c r="A31" s="16">
        <f t="shared" si="1"/>
        <v>2043</v>
      </c>
      <c r="B31" s="18">
        <f>SUM(F306:F317)+$K$2*12</f>
        <v>30115.934182341738</v>
      </c>
      <c r="C31" s="18">
        <f>H306*12+$L$2</f>
        <v>10085.152226282102</v>
      </c>
      <c r="D31">
        <v>27</v>
      </c>
      <c r="E31" s="1">
        <v>43891</v>
      </c>
      <c r="F31" s="2">
        <f t="shared" si="5"/>
        <v>1909.6611818618114</v>
      </c>
      <c r="G31" s="2">
        <f t="shared" si="6"/>
        <v>628.41402370348874</v>
      </c>
      <c r="H31" s="2">
        <f t="shared" si="2"/>
        <v>1281.2471581583227</v>
      </c>
      <c r="I31" s="15">
        <f t="shared" si="0"/>
        <v>0</v>
      </c>
      <c r="J31" s="2">
        <f t="shared" si="3"/>
        <v>35306.585334062198</v>
      </c>
      <c r="K31" s="2">
        <f t="shared" si="7"/>
        <v>384374.14744749677</v>
      </c>
      <c r="L31" s="21"/>
      <c r="M31" s="16"/>
    </row>
    <row r="32" spans="1:13">
      <c r="A32" s="16">
        <f t="shared" si="1"/>
        <v>2044</v>
      </c>
      <c r="B32" s="18">
        <f>SUM(F318:F329)+$K$2*12</f>
        <v>30115.934182341738</v>
      </c>
      <c r="C32" s="18">
        <f>H318*12+$L$2</f>
        <v>9317.9571150060983</v>
      </c>
      <c r="D32">
        <v>28</v>
      </c>
      <c r="E32" s="1">
        <v>43922</v>
      </c>
      <c r="F32" s="2">
        <f t="shared" si="5"/>
        <v>1909.6611818618114</v>
      </c>
      <c r="G32" s="2">
        <f t="shared" si="6"/>
        <v>630.50873711583381</v>
      </c>
      <c r="H32" s="2">
        <f t="shared" si="2"/>
        <v>1279.1524447459776</v>
      </c>
      <c r="I32" s="15">
        <f t="shared" si="0"/>
        <v>0</v>
      </c>
      <c r="J32" s="2">
        <f t="shared" si="3"/>
        <v>36585.737778808172</v>
      </c>
      <c r="K32" s="2">
        <f t="shared" si="7"/>
        <v>383745.73342379328</v>
      </c>
      <c r="L32" s="21"/>
      <c r="M32" s="16"/>
    </row>
    <row r="33" spans="1:13">
      <c r="A33" s="16">
        <f t="shared" si="1"/>
        <v>2045</v>
      </c>
      <c r="B33" s="18">
        <f>SUM(F330:F341)+$K$2*12</f>
        <v>30115.934182341738</v>
      </c>
      <c r="C33" s="18">
        <f>H330*12+$L$2</f>
        <v>8519.5052911761886</v>
      </c>
      <c r="D33">
        <v>29</v>
      </c>
      <c r="E33" s="1">
        <v>43952</v>
      </c>
      <c r="F33" s="2">
        <f t="shared" si="5"/>
        <v>1909.6611818618114</v>
      </c>
      <c r="G33" s="2">
        <f t="shared" si="6"/>
        <v>632.61043290621978</v>
      </c>
      <c r="H33" s="2">
        <f t="shared" si="2"/>
        <v>1277.0507489555916</v>
      </c>
      <c r="I33" s="15">
        <f t="shared" si="0"/>
        <v>0</v>
      </c>
      <c r="J33" s="2">
        <f t="shared" si="3"/>
        <v>37862.788527763762</v>
      </c>
      <c r="K33" s="2">
        <f t="shared" si="7"/>
        <v>383115.22468667745</v>
      </c>
      <c r="L33" s="21"/>
      <c r="M33" s="16"/>
    </row>
    <row r="34" spans="1:13">
      <c r="A34" s="16">
        <f t="shared" si="1"/>
        <v>2046</v>
      </c>
      <c r="B34" s="18">
        <f>SUM(F342:F353)+$K$2*12</f>
        <v>30115.934182341738</v>
      </c>
      <c r="C34" s="18">
        <f>H342*12+$L$2</f>
        <v>7688.5233080963317</v>
      </c>
      <c r="D34">
        <v>30</v>
      </c>
      <c r="E34" s="1">
        <v>43983</v>
      </c>
      <c r="F34" s="2">
        <f t="shared" si="5"/>
        <v>1909.6611818618114</v>
      </c>
      <c r="G34" s="2">
        <f t="shared" si="6"/>
        <v>634.71913434924045</v>
      </c>
      <c r="H34" s="2">
        <f t="shared" si="2"/>
        <v>1274.942047512571</v>
      </c>
      <c r="I34" s="15">
        <f t="shared" si="0"/>
        <v>0</v>
      </c>
      <c r="J34" s="2">
        <f t="shared" si="3"/>
        <v>39137.730575276335</v>
      </c>
      <c r="K34" s="2">
        <f t="shared" si="7"/>
        <v>382482.61425377126</v>
      </c>
      <c r="L34" s="21"/>
      <c r="M34" s="16"/>
    </row>
    <row r="35" spans="1:13">
      <c r="A35" s="16">
        <f t="shared" si="1"/>
        <v>2047</v>
      </c>
      <c r="B35" s="18">
        <f>SUM(F354:F365)+$K$2*12</f>
        <v>28206.273000479927</v>
      </c>
      <c r="C35" s="18">
        <f>H356*12+$L$2</f>
        <v>6676.1587118248299</v>
      </c>
      <c r="D35">
        <v>31</v>
      </c>
      <c r="E35" s="1">
        <v>44013</v>
      </c>
      <c r="F35" s="2">
        <f t="shared" si="5"/>
        <v>1909.6611818618114</v>
      </c>
      <c r="G35" s="2">
        <f t="shared" si="6"/>
        <v>636.8348647970713</v>
      </c>
      <c r="H35" s="2">
        <f t="shared" si="2"/>
        <v>1272.8263170647401</v>
      </c>
      <c r="I35" s="15">
        <f t="shared" si="0"/>
        <v>0</v>
      </c>
      <c r="J35" s="2">
        <f t="shared" si="3"/>
        <v>40410.556892341076</v>
      </c>
      <c r="K35" s="2">
        <f t="shared" si="7"/>
        <v>381847.895119422</v>
      </c>
      <c r="L35" s="21"/>
      <c r="M35" s="16"/>
    </row>
    <row r="36" spans="1:13">
      <c r="A36" s="16">
        <f t="shared" si="1"/>
        <v>2048</v>
      </c>
      <c r="B36" s="18">
        <f t="shared" ref="B36:B44" si="8">SUM(F355:F366)+$K$2*12</f>
        <v>26296.611818618116</v>
      </c>
      <c r="C36" s="18">
        <f t="shared" ref="C36:C44" si="9">H357*12+$L$2</f>
        <v>6602.0261269231069</v>
      </c>
      <c r="D36">
        <v>32</v>
      </c>
      <c r="E36" s="1">
        <v>44044</v>
      </c>
      <c r="F36" s="2">
        <f t="shared" si="5"/>
        <v>1909.6611818618114</v>
      </c>
      <c r="G36" s="2">
        <f t="shared" si="6"/>
        <v>638.95764767972832</v>
      </c>
      <c r="H36" s="2">
        <f t="shared" si="2"/>
        <v>1270.7035341820831</v>
      </c>
      <c r="I36" s="15">
        <f t="shared" si="0"/>
        <v>0</v>
      </c>
      <c r="J36" s="2">
        <f t="shared" si="3"/>
        <v>41681.260426523157</v>
      </c>
      <c r="K36" s="2">
        <f t="shared" si="7"/>
        <v>381211.06025462493</v>
      </c>
    </row>
    <row r="37" spans="1:13">
      <c r="A37" s="16">
        <f t="shared" si="1"/>
        <v>2049</v>
      </c>
      <c r="B37" s="18">
        <f t="shared" si="8"/>
        <v>24386.950636756304</v>
      </c>
      <c r="C37" s="18">
        <f t="shared" si="9"/>
        <v>6527.6464334050443</v>
      </c>
      <c r="D37">
        <v>33</v>
      </c>
      <c r="E37" s="1">
        <v>44075</v>
      </c>
      <c r="F37" s="2">
        <f t="shared" si="5"/>
        <v>1909.6611818618114</v>
      </c>
      <c r="G37" s="2">
        <f t="shared" si="6"/>
        <v>641.08750650532738</v>
      </c>
      <c r="H37" s="2">
        <f t="shared" si="2"/>
        <v>1268.573675356484</v>
      </c>
      <c r="I37" s="15">
        <f t="shared" si="0"/>
        <v>0</v>
      </c>
      <c r="J37" s="2">
        <f t="shared" si="3"/>
        <v>42949.834101879642</v>
      </c>
      <c r="K37" s="2">
        <f t="shared" si="7"/>
        <v>380572.10260694521</v>
      </c>
    </row>
    <row r="38" spans="1:13">
      <c r="A38" s="16">
        <f t="shared" si="1"/>
        <v>2050</v>
      </c>
      <c r="B38" s="18">
        <f t="shared" si="8"/>
        <v>22477.28945489449</v>
      </c>
      <c r="C38" s="18">
        <f t="shared" si="9"/>
        <v>6453.0188075752549</v>
      </c>
      <c r="D38">
        <v>34</v>
      </c>
      <c r="E38" s="1">
        <v>44105</v>
      </c>
      <c r="F38" s="2">
        <f t="shared" si="5"/>
        <v>1909.6611818618114</v>
      </c>
      <c r="G38" s="2">
        <f t="shared" si="6"/>
        <v>643.22446486034505</v>
      </c>
      <c r="H38" s="2">
        <f t="shared" si="2"/>
        <v>1266.4367170014664</v>
      </c>
      <c r="I38" s="15">
        <f t="shared" si="0"/>
        <v>0</v>
      </c>
      <c r="J38" s="2">
        <f t="shared" si="3"/>
        <v>44216.270818881108</v>
      </c>
      <c r="K38" s="2">
        <f t="shared" si="7"/>
        <v>379931.01510043989</v>
      </c>
    </row>
    <row r="39" spans="1:13">
      <c r="A39" s="16">
        <f t="shared" si="1"/>
        <v>2051</v>
      </c>
      <c r="B39" s="18">
        <f t="shared" si="8"/>
        <v>20567.628273032678</v>
      </c>
      <c r="C39" s="18">
        <f t="shared" si="9"/>
        <v>6378.1424229927006</v>
      </c>
      <c r="D39">
        <v>35</v>
      </c>
      <c r="E39" s="1">
        <v>44136</v>
      </c>
      <c r="F39" s="2">
        <f t="shared" si="5"/>
        <v>1909.6611818618114</v>
      </c>
      <c r="G39" s="2">
        <f t="shared" si="6"/>
        <v>645.3685464098794</v>
      </c>
      <c r="H39" s="2">
        <f t="shared" si="2"/>
        <v>1264.292635451932</v>
      </c>
      <c r="I39" s="15">
        <f t="shared" si="0"/>
        <v>0</v>
      </c>
      <c r="J39" s="2">
        <f t="shared" si="3"/>
        <v>45480.563454333038</v>
      </c>
      <c r="K39" s="2">
        <f t="shared" si="7"/>
        <v>379287.79063557956</v>
      </c>
    </row>
    <row r="40" spans="1:13">
      <c r="A40" s="16">
        <f t="shared" si="1"/>
        <v>2052</v>
      </c>
      <c r="B40" s="18">
        <f t="shared" si="8"/>
        <v>18657.967091170867</v>
      </c>
      <c r="C40" s="18">
        <f t="shared" si="9"/>
        <v>6303.0164504615368</v>
      </c>
      <c r="D40">
        <v>36</v>
      </c>
      <c r="E40" s="1">
        <v>44166</v>
      </c>
      <c r="F40" s="2">
        <f t="shared" si="5"/>
        <v>1909.6611818618114</v>
      </c>
      <c r="G40" s="2">
        <f t="shared" si="6"/>
        <v>647.51977489791238</v>
      </c>
      <c r="H40" s="2">
        <f t="shared" si="2"/>
        <v>1262.141406963899</v>
      </c>
      <c r="I40" s="15">
        <f t="shared" si="0"/>
        <v>0</v>
      </c>
      <c r="J40" s="2">
        <f t="shared" si="3"/>
        <v>46742.704861296937</v>
      </c>
      <c r="K40" s="2">
        <f t="shared" si="7"/>
        <v>378642.42208916968</v>
      </c>
    </row>
    <row r="41" spans="1:13">
      <c r="A41" s="16">
        <f t="shared" si="1"/>
        <v>2053</v>
      </c>
      <c r="B41" s="18">
        <f t="shared" si="8"/>
        <v>16748.305909309056</v>
      </c>
      <c r="C41" s="18">
        <f t="shared" si="9"/>
        <v>6227.6400580219361</v>
      </c>
      <c r="D41">
        <v>37</v>
      </c>
      <c r="E41" s="1">
        <v>44197</v>
      </c>
      <c r="F41" s="2">
        <f t="shared" si="5"/>
        <v>1909.6611818618114</v>
      </c>
      <c r="G41" s="2">
        <f t="shared" si="6"/>
        <v>649.67817414757201</v>
      </c>
      <c r="H41" s="2">
        <f t="shared" si="2"/>
        <v>1259.9830077142394</v>
      </c>
      <c r="I41" s="15">
        <f t="shared" si="0"/>
        <v>0</v>
      </c>
      <c r="J41" s="2">
        <f t="shared" si="3"/>
        <v>48002.687869011177</v>
      </c>
      <c r="K41" s="2">
        <f t="shared" si="7"/>
        <v>377994.90231427178</v>
      </c>
    </row>
    <row r="42" spans="1:13">
      <c r="A42" s="16">
        <f t="shared" si="1"/>
        <v>2054</v>
      </c>
      <c r="B42" s="18">
        <f t="shared" si="8"/>
        <v>14838.644727447245</v>
      </c>
      <c r="C42" s="18">
        <f t="shared" si="9"/>
        <v>6152.0124109408698</v>
      </c>
      <c r="D42">
        <v>38</v>
      </c>
      <c r="E42" s="1">
        <v>44228</v>
      </c>
      <c r="F42" s="2">
        <f t="shared" si="5"/>
        <v>1909.6611818618114</v>
      </c>
      <c r="G42" s="2">
        <f t="shared" si="6"/>
        <v>651.84376806139721</v>
      </c>
      <c r="H42" s="2">
        <f t="shared" si="2"/>
        <v>1257.8174138004142</v>
      </c>
      <c r="I42" s="15">
        <f t="shared" si="0"/>
        <v>0</v>
      </c>
      <c r="J42" s="2">
        <f t="shared" si="3"/>
        <v>49260.505282811588</v>
      </c>
      <c r="K42" s="2">
        <f t="shared" si="7"/>
        <v>377345.22414012422</v>
      </c>
    </row>
    <row r="43" spans="1:13">
      <c r="A43" s="16">
        <f t="shared" si="1"/>
        <v>2055</v>
      </c>
      <c r="B43" s="18">
        <f t="shared" si="8"/>
        <v>12928.983545585434</v>
      </c>
      <c r="C43" s="18">
        <f t="shared" si="9"/>
        <v>6076.1326717028669</v>
      </c>
      <c r="D43">
        <v>39</v>
      </c>
      <c r="E43" s="1">
        <v>44256</v>
      </c>
      <c r="F43" s="2">
        <f t="shared" si="5"/>
        <v>1909.6611818618114</v>
      </c>
      <c r="G43" s="2">
        <f t="shared" si="6"/>
        <v>654.01658062160186</v>
      </c>
      <c r="H43" s="2">
        <f t="shared" si="2"/>
        <v>1255.6446012402096</v>
      </c>
      <c r="I43" s="15">
        <f t="shared" si="0"/>
        <v>0</v>
      </c>
      <c r="J43" s="2">
        <f t="shared" si="3"/>
        <v>50516.149884051796</v>
      </c>
      <c r="K43" s="2">
        <f t="shared" si="7"/>
        <v>376693.38037206285</v>
      </c>
    </row>
    <row r="44" spans="1:13">
      <c r="A44" s="16">
        <f t="shared" si="1"/>
        <v>2056</v>
      </c>
      <c r="B44" s="18">
        <f t="shared" si="8"/>
        <v>11019.322363723622</v>
      </c>
      <c r="C44" s="18">
        <f t="shared" si="9"/>
        <v>6000</v>
      </c>
      <c r="D44">
        <v>40</v>
      </c>
      <c r="E44" s="1">
        <v>44287</v>
      </c>
      <c r="F44" s="2">
        <f t="shared" si="5"/>
        <v>1909.6611818618114</v>
      </c>
      <c r="G44" s="2">
        <f t="shared" si="6"/>
        <v>656.19663589034053</v>
      </c>
      <c r="H44" s="2">
        <f t="shared" si="2"/>
        <v>1253.4645459714709</v>
      </c>
      <c r="I44" s="15">
        <f t="shared" si="0"/>
        <v>0</v>
      </c>
      <c r="J44" s="2">
        <f t="shared" si="3"/>
        <v>51769.61443002327</v>
      </c>
      <c r="K44" s="2">
        <f t="shared" si="7"/>
        <v>376039.36379144125</v>
      </c>
    </row>
    <row r="45" spans="1:13">
      <c r="A45" s="16">
        <f t="shared" si="1"/>
        <v>2057</v>
      </c>
      <c r="B45" s="18">
        <f>SUM(F364:F375)+$K$2*12</f>
        <v>9109.6611818618112</v>
      </c>
      <c r="C45" s="18">
        <f>H366*12+$L$2</f>
        <v>6000</v>
      </c>
      <c r="D45">
        <v>41</v>
      </c>
      <c r="E45" s="1">
        <v>44317</v>
      </c>
      <c r="F45" s="2">
        <f t="shared" si="5"/>
        <v>1909.6611818618114</v>
      </c>
      <c r="G45" s="2">
        <f t="shared" si="6"/>
        <v>658.383958009975</v>
      </c>
      <c r="H45" s="2">
        <f t="shared" si="2"/>
        <v>1251.2772238518364</v>
      </c>
      <c r="I45" s="15">
        <f t="shared" si="0"/>
        <v>0</v>
      </c>
      <c r="J45" s="2">
        <f t="shared" si="3"/>
        <v>53020.891653875107</v>
      </c>
      <c r="K45" s="2">
        <f t="shared" si="7"/>
        <v>375383.16715555091</v>
      </c>
    </row>
    <row r="46" spans="1:13">
      <c r="B46" s="18"/>
      <c r="C46" s="18"/>
      <c r="D46">
        <v>42</v>
      </c>
      <c r="E46" s="1">
        <v>44348</v>
      </c>
      <c r="F46" s="2">
        <f t="shared" si="5"/>
        <v>1909.6611818618114</v>
      </c>
      <c r="G46" s="2">
        <f t="shared" si="6"/>
        <v>660.57857120334165</v>
      </c>
      <c r="H46" s="2">
        <f t="shared" si="2"/>
        <v>1249.0826106584698</v>
      </c>
      <c r="I46" s="15">
        <f t="shared" si="0"/>
        <v>0</v>
      </c>
      <c r="J46" s="2">
        <f t="shared" si="3"/>
        <v>54269.974264533579</v>
      </c>
      <c r="K46" s="2">
        <f t="shared" si="7"/>
        <v>374724.78319754091</v>
      </c>
    </row>
    <row r="47" spans="1:13">
      <c r="B47" s="18"/>
      <c r="C47" s="18"/>
      <c r="D47">
        <v>43</v>
      </c>
      <c r="E47" s="1">
        <v>44378</v>
      </c>
      <c r="F47" s="2">
        <f t="shared" si="5"/>
        <v>1909.6611818618114</v>
      </c>
      <c r="G47" s="2">
        <f t="shared" si="6"/>
        <v>662.78049977401952</v>
      </c>
      <c r="H47" s="2">
        <f t="shared" si="2"/>
        <v>1246.8806820877919</v>
      </c>
      <c r="I47" s="15">
        <f t="shared" si="0"/>
        <v>0</v>
      </c>
      <c r="J47" s="2">
        <f t="shared" si="3"/>
        <v>55516.854946621374</v>
      </c>
      <c r="K47" s="2">
        <f t="shared" si="7"/>
        <v>374064.20462633757</v>
      </c>
    </row>
    <row r="48" spans="1:13">
      <c r="B48" s="18"/>
      <c r="C48" s="18"/>
      <c r="D48">
        <v>44</v>
      </c>
      <c r="E48" s="1">
        <v>44409</v>
      </c>
      <c r="F48" s="2">
        <f t="shared" si="5"/>
        <v>1909.6611818618114</v>
      </c>
      <c r="G48" s="2">
        <f t="shared" si="6"/>
        <v>664.98976810659951</v>
      </c>
      <c r="H48" s="2">
        <f t="shared" si="2"/>
        <v>1244.6714137552119</v>
      </c>
      <c r="I48" s="15">
        <f t="shared" si="0"/>
        <v>0</v>
      </c>
      <c r="J48" s="2">
        <f t="shared" si="3"/>
        <v>56761.526360376585</v>
      </c>
      <c r="K48" s="2">
        <f t="shared" si="7"/>
        <v>373401.42412656354</v>
      </c>
    </row>
    <row r="49" spans="2:11">
      <c r="B49" s="18"/>
      <c r="C49" s="18"/>
      <c r="D49">
        <v>45</v>
      </c>
      <c r="E49" s="1">
        <v>44440</v>
      </c>
      <c r="F49" s="2">
        <f t="shared" si="5"/>
        <v>1909.6611818618114</v>
      </c>
      <c r="G49" s="2">
        <f t="shared" si="6"/>
        <v>667.20640066695501</v>
      </c>
      <c r="H49" s="2">
        <f t="shared" si="2"/>
        <v>1242.4547811948564</v>
      </c>
      <c r="I49" s="15">
        <f t="shared" si="0"/>
        <v>0</v>
      </c>
      <c r="J49" s="2">
        <f t="shared" si="3"/>
        <v>58003.981141571443</v>
      </c>
      <c r="K49" s="2">
        <f t="shared" si="7"/>
        <v>372736.43435845693</v>
      </c>
    </row>
    <row r="50" spans="2:11">
      <c r="B50" s="18"/>
      <c r="C50" s="18"/>
      <c r="D50">
        <v>46</v>
      </c>
      <c r="E50" s="1">
        <v>44470</v>
      </c>
      <c r="F50" s="2">
        <f t="shared" si="5"/>
        <v>1909.6611818618114</v>
      </c>
      <c r="G50" s="2">
        <f t="shared" si="6"/>
        <v>669.43042200251148</v>
      </c>
      <c r="H50" s="2">
        <f t="shared" si="2"/>
        <v>1240.2307598593</v>
      </c>
      <c r="I50" s="15">
        <f t="shared" si="0"/>
        <v>0</v>
      </c>
      <c r="J50" s="2">
        <f t="shared" si="3"/>
        <v>59244.211901430746</v>
      </c>
      <c r="K50" s="2">
        <f t="shared" si="7"/>
        <v>372069.22795778996</v>
      </c>
    </row>
    <row r="51" spans="2:11">
      <c r="B51" s="18"/>
      <c r="C51" s="18"/>
      <c r="D51">
        <v>47</v>
      </c>
      <c r="E51" s="1">
        <v>44501</v>
      </c>
      <c r="F51" s="2">
        <f t="shared" si="5"/>
        <v>1909.6611818618114</v>
      </c>
      <c r="G51" s="2">
        <f t="shared" si="6"/>
        <v>671.66185674251983</v>
      </c>
      <c r="H51" s="2">
        <f t="shared" si="2"/>
        <v>1237.9993251192916</v>
      </c>
      <c r="I51" s="15">
        <f t="shared" si="0"/>
        <v>0</v>
      </c>
      <c r="J51" s="2">
        <f t="shared" si="3"/>
        <v>60482.21122655004</v>
      </c>
      <c r="K51" s="2">
        <f t="shared" si="7"/>
        <v>371399.79753578745</v>
      </c>
    </row>
    <row r="52" spans="2:11">
      <c r="B52" s="18"/>
      <c r="C52" s="18"/>
      <c r="D52">
        <v>48</v>
      </c>
      <c r="E52" s="1">
        <v>44531</v>
      </c>
      <c r="F52" s="2">
        <f t="shared" si="5"/>
        <v>1909.6611818618114</v>
      </c>
      <c r="G52" s="2">
        <f t="shared" si="6"/>
        <v>673.90072959832833</v>
      </c>
      <c r="H52" s="2">
        <f t="shared" si="2"/>
        <v>1235.7604522634831</v>
      </c>
      <c r="I52" s="15">
        <f t="shared" si="0"/>
        <v>0</v>
      </c>
      <c r="J52" s="2">
        <f t="shared" si="3"/>
        <v>61717.971678813527</v>
      </c>
      <c r="K52" s="2">
        <f t="shared" si="7"/>
        <v>370728.13567904494</v>
      </c>
    </row>
    <row r="53" spans="2:11">
      <c r="B53" s="18"/>
      <c r="C53" s="18"/>
      <c r="D53">
        <v>49</v>
      </c>
      <c r="E53" s="1">
        <v>44562</v>
      </c>
      <c r="F53" s="2">
        <f t="shared" si="5"/>
        <v>1909.6611818618114</v>
      </c>
      <c r="G53" s="2">
        <f t="shared" si="6"/>
        <v>676.14706536365588</v>
      </c>
      <c r="H53" s="2">
        <f t="shared" si="2"/>
        <v>1233.5141164981555</v>
      </c>
      <c r="I53" s="15">
        <f t="shared" si="0"/>
        <v>0</v>
      </c>
      <c r="J53" s="2">
        <f t="shared" si="3"/>
        <v>62951.485795311681</v>
      </c>
      <c r="K53" s="2">
        <f t="shared" si="7"/>
        <v>370054.23494944663</v>
      </c>
    </row>
    <row r="54" spans="2:11">
      <c r="B54" s="18"/>
      <c r="C54" s="18"/>
      <c r="D54">
        <v>50</v>
      </c>
      <c r="E54" s="1">
        <v>44593</v>
      </c>
      <c r="F54" s="2">
        <f t="shared" si="5"/>
        <v>1909.6611818618114</v>
      </c>
      <c r="G54" s="2">
        <f t="shared" si="6"/>
        <v>678.40088891486812</v>
      </c>
      <c r="H54" s="2">
        <f t="shared" si="2"/>
        <v>1231.2602929469433</v>
      </c>
      <c r="I54" s="15">
        <f t="shared" si="0"/>
        <v>0</v>
      </c>
      <c r="J54" s="2">
        <f t="shared" si="3"/>
        <v>64182.746088258624</v>
      </c>
      <c r="K54" s="2">
        <f t="shared" si="7"/>
        <v>369378.08788408298</v>
      </c>
    </row>
    <row r="55" spans="2:11">
      <c r="B55" s="18"/>
      <c r="C55" s="18"/>
      <c r="D55">
        <v>51</v>
      </c>
      <c r="E55" s="1">
        <v>44621</v>
      </c>
      <c r="F55" s="2">
        <f t="shared" si="5"/>
        <v>1909.6611818618114</v>
      </c>
      <c r="G55" s="2">
        <f t="shared" si="6"/>
        <v>680.6622252112511</v>
      </c>
      <c r="H55" s="2">
        <f t="shared" si="2"/>
        <v>1228.9989566505603</v>
      </c>
      <c r="I55" s="15">
        <f t="shared" si="0"/>
        <v>0</v>
      </c>
      <c r="J55" s="2">
        <f t="shared" si="3"/>
        <v>65411.745044909185</v>
      </c>
      <c r="K55" s="2">
        <f t="shared" si="7"/>
        <v>368699.6869951681</v>
      </c>
    </row>
    <row r="56" spans="2:11">
      <c r="B56" s="18"/>
      <c r="C56" s="18"/>
      <c r="D56">
        <v>52</v>
      </c>
      <c r="E56" s="1">
        <v>44652</v>
      </c>
      <c r="F56" s="2">
        <f t="shared" si="5"/>
        <v>1909.6611818618114</v>
      </c>
      <c r="G56" s="2">
        <f t="shared" si="6"/>
        <v>682.9310992952885</v>
      </c>
      <c r="H56" s="2">
        <f t="shared" si="2"/>
        <v>1226.7300825665229</v>
      </c>
      <c r="I56" s="15">
        <f t="shared" si="0"/>
        <v>0</v>
      </c>
      <c r="J56" s="2">
        <f t="shared" si="3"/>
        <v>66638.475127475715</v>
      </c>
      <c r="K56" s="2">
        <f t="shared" si="7"/>
        <v>368019.02476995683</v>
      </c>
    </row>
    <row r="57" spans="2:11">
      <c r="B57" s="18"/>
      <c r="C57" s="18"/>
      <c r="D57">
        <v>53</v>
      </c>
      <c r="E57" s="1">
        <v>44682</v>
      </c>
      <c r="F57" s="2">
        <f t="shared" si="5"/>
        <v>1909.6611818618114</v>
      </c>
      <c r="G57" s="2">
        <f t="shared" si="6"/>
        <v>685.20753629293949</v>
      </c>
      <c r="H57" s="2">
        <f t="shared" si="2"/>
        <v>1224.4536455688719</v>
      </c>
      <c r="I57" s="15">
        <f t="shared" si="0"/>
        <v>0</v>
      </c>
      <c r="J57" s="2">
        <f t="shared" si="3"/>
        <v>67862.928773044579</v>
      </c>
      <c r="K57" s="2">
        <f t="shared" si="7"/>
        <v>367336.09367066156</v>
      </c>
    </row>
    <row r="58" spans="2:11">
      <c r="B58" s="18"/>
      <c r="C58" s="18"/>
      <c r="D58">
        <v>54</v>
      </c>
      <c r="E58" s="1">
        <v>44713</v>
      </c>
      <c r="F58" s="2">
        <f t="shared" si="5"/>
        <v>1909.6611818618114</v>
      </c>
      <c r="G58" s="2">
        <f t="shared" si="6"/>
        <v>687.49156141391609</v>
      </c>
      <c r="H58" s="2">
        <f t="shared" si="2"/>
        <v>1222.1696204478953</v>
      </c>
      <c r="I58" s="15">
        <f t="shared" si="0"/>
        <v>0</v>
      </c>
      <c r="J58" s="2">
        <f t="shared" si="3"/>
        <v>69085.098393492473</v>
      </c>
      <c r="K58" s="2">
        <f t="shared" si="7"/>
        <v>366650.8861343686</v>
      </c>
    </row>
    <row r="59" spans="2:11">
      <c r="B59" s="18"/>
      <c r="C59" s="18"/>
      <c r="D59">
        <v>55</v>
      </c>
      <c r="E59" s="1">
        <v>44743</v>
      </c>
      <c r="F59" s="2">
        <f t="shared" si="5"/>
        <v>1909.6611818618114</v>
      </c>
      <c r="G59" s="2">
        <f t="shared" si="6"/>
        <v>689.78319995196239</v>
      </c>
      <c r="H59" s="2">
        <f t="shared" si="2"/>
        <v>1219.877981909849</v>
      </c>
      <c r="I59" s="15">
        <f t="shared" si="0"/>
        <v>0</v>
      </c>
      <c r="J59" s="2">
        <f t="shared" si="3"/>
        <v>70304.97637540233</v>
      </c>
      <c r="K59" s="2">
        <f t="shared" si="7"/>
        <v>365963.39457295468</v>
      </c>
    </row>
    <row r="60" spans="2:11">
      <c r="B60" s="18"/>
      <c r="C60" s="18"/>
      <c r="D60">
        <v>56</v>
      </c>
      <c r="E60" s="1">
        <v>44774</v>
      </c>
      <c r="F60" s="2">
        <f t="shared" si="5"/>
        <v>1909.6611818618114</v>
      </c>
      <c r="G60" s="2">
        <f t="shared" si="6"/>
        <v>692.08247728513561</v>
      </c>
      <c r="H60" s="2">
        <f t="shared" si="2"/>
        <v>1217.5787045766758</v>
      </c>
      <c r="I60" s="15">
        <f t="shared" si="0"/>
        <v>0</v>
      </c>
      <c r="J60" s="2">
        <f t="shared" si="3"/>
        <v>71522.555079979007</v>
      </c>
      <c r="K60" s="2">
        <f t="shared" si="7"/>
        <v>365273.6113730027</v>
      </c>
    </row>
    <row r="61" spans="2:11">
      <c r="B61" s="18"/>
      <c r="C61" s="18"/>
      <c r="D61">
        <v>57</v>
      </c>
      <c r="E61" s="1">
        <v>44805</v>
      </c>
      <c r="F61" s="2">
        <f t="shared" si="5"/>
        <v>1909.6611818618114</v>
      </c>
      <c r="G61" s="2">
        <f t="shared" si="6"/>
        <v>694.38941887608598</v>
      </c>
      <c r="H61" s="2">
        <f t="shared" si="2"/>
        <v>1215.2717629857254</v>
      </c>
      <c r="I61" s="15">
        <f t="shared" si="0"/>
        <v>0</v>
      </c>
      <c r="J61" s="2">
        <f t="shared" si="3"/>
        <v>72737.826842964729</v>
      </c>
      <c r="K61" s="2">
        <f t="shared" si="7"/>
        <v>364581.52889571758</v>
      </c>
    </row>
    <row r="62" spans="2:11">
      <c r="B62" s="18"/>
      <c r="C62" s="18"/>
      <c r="D62">
        <v>58</v>
      </c>
      <c r="E62" s="1">
        <v>44835</v>
      </c>
      <c r="F62" s="2">
        <f t="shared" si="5"/>
        <v>1909.6611818618114</v>
      </c>
      <c r="G62" s="2">
        <f t="shared" si="6"/>
        <v>696.70405027233983</v>
      </c>
      <c r="H62" s="2">
        <f t="shared" si="2"/>
        <v>1212.9571315894716</v>
      </c>
      <c r="I62" s="15">
        <f t="shared" si="0"/>
        <v>0</v>
      </c>
      <c r="J62" s="2">
        <f t="shared" si="3"/>
        <v>73950.783974554201</v>
      </c>
      <c r="K62" s="2">
        <f t="shared" si="7"/>
        <v>363887.13947684149</v>
      </c>
    </row>
    <row r="63" spans="2:11">
      <c r="B63" s="18"/>
      <c r="C63" s="18"/>
      <c r="D63">
        <v>59</v>
      </c>
      <c r="E63" s="1">
        <v>44866</v>
      </c>
      <c r="F63" s="2">
        <f t="shared" si="5"/>
        <v>1909.6611818618114</v>
      </c>
      <c r="G63" s="2">
        <f t="shared" si="6"/>
        <v>699.02639710658082</v>
      </c>
      <c r="H63" s="2">
        <f t="shared" si="2"/>
        <v>1210.6347847552306</v>
      </c>
      <c r="I63" s="15">
        <f t="shared" si="0"/>
        <v>0</v>
      </c>
      <c r="J63" s="2">
        <f t="shared" si="3"/>
        <v>75161.418759309425</v>
      </c>
      <c r="K63" s="2">
        <f t="shared" si="7"/>
        <v>363190.43542656914</v>
      </c>
    </row>
    <row r="64" spans="2:11">
      <c r="B64" s="18"/>
      <c r="C64" s="18"/>
      <c r="D64">
        <v>60</v>
      </c>
      <c r="E64" s="1">
        <v>44896</v>
      </c>
      <c r="F64" s="2">
        <f t="shared" si="5"/>
        <v>1909.6611818618114</v>
      </c>
      <c r="G64" s="2">
        <f t="shared" si="6"/>
        <v>701.35648509693624</v>
      </c>
      <c r="H64" s="2">
        <f t="shared" si="2"/>
        <v>1208.3046967648752</v>
      </c>
      <c r="I64" s="15">
        <f t="shared" si="0"/>
        <v>0</v>
      </c>
      <c r="J64" s="2">
        <f t="shared" si="3"/>
        <v>76369.723456074295</v>
      </c>
      <c r="K64" s="2">
        <f t="shared" si="7"/>
        <v>362491.40902946255</v>
      </c>
    </row>
    <row r="65" spans="2:11">
      <c r="B65" s="18"/>
      <c r="C65" s="18"/>
      <c r="D65">
        <v>61</v>
      </c>
      <c r="E65" s="1">
        <v>44927</v>
      </c>
      <c r="F65" s="2">
        <f t="shared" si="5"/>
        <v>1909.6611818618114</v>
      </c>
      <c r="G65" s="2">
        <f t="shared" si="6"/>
        <v>703.69434004725917</v>
      </c>
      <c r="H65" s="2">
        <f t="shared" si="2"/>
        <v>1205.9668418145523</v>
      </c>
      <c r="I65" s="15">
        <f t="shared" si="0"/>
        <v>0</v>
      </c>
      <c r="J65" s="2">
        <f t="shared" si="3"/>
        <v>77575.690297888854</v>
      </c>
      <c r="K65" s="2">
        <f t="shared" si="7"/>
        <v>361790.05254436564</v>
      </c>
    </row>
    <row r="66" spans="2:11">
      <c r="B66" s="18"/>
      <c r="C66" s="18"/>
      <c r="D66">
        <v>62</v>
      </c>
      <c r="E66" s="1">
        <v>44958</v>
      </c>
      <c r="F66" s="2">
        <f t="shared" si="5"/>
        <v>1909.6611818618114</v>
      </c>
      <c r="G66" s="2">
        <f t="shared" si="6"/>
        <v>706.0399878474168</v>
      </c>
      <c r="H66" s="2">
        <f t="shared" si="2"/>
        <v>1203.6211940143946</v>
      </c>
      <c r="I66" s="15">
        <f t="shared" si="0"/>
        <v>0</v>
      </c>
      <c r="J66" s="2">
        <f t="shared" si="3"/>
        <v>78779.311491903252</v>
      </c>
      <c r="K66" s="2">
        <f t="shared" si="7"/>
        <v>361086.35820431839</v>
      </c>
    </row>
    <row r="67" spans="2:11">
      <c r="B67" s="18"/>
      <c r="C67" s="18"/>
      <c r="D67">
        <v>63</v>
      </c>
      <c r="E67" s="1">
        <v>44986</v>
      </c>
      <c r="F67" s="2">
        <f t="shared" si="5"/>
        <v>1909.6611818618114</v>
      </c>
      <c r="G67" s="2">
        <f t="shared" si="6"/>
        <v>708.39345447357482</v>
      </c>
      <c r="H67" s="2">
        <f t="shared" si="2"/>
        <v>1201.2677273882366</v>
      </c>
      <c r="I67" s="15">
        <f t="shared" si="0"/>
        <v>0</v>
      </c>
      <c r="J67" s="2">
        <f t="shared" si="3"/>
        <v>79980.579219291496</v>
      </c>
      <c r="K67" s="2">
        <f t="shared" si="7"/>
        <v>360380.31821647094</v>
      </c>
    </row>
    <row r="68" spans="2:11">
      <c r="B68" s="18"/>
      <c r="C68" s="18"/>
      <c r="D68">
        <v>64</v>
      </c>
      <c r="E68" s="1">
        <v>45017</v>
      </c>
      <c r="F68" s="2">
        <f t="shared" si="5"/>
        <v>1909.6611818618114</v>
      </c>
      <c r="G68" s="2">
        <f t="shared" si="6"/>
        <v>710.75476598848672</v>
      </c>
      <c r="H68" s="2">
        <f t="shared" si="2"/>
        <v>1198.9064158733247</v>
      </c>
      <c r="I68" s="15">
        <f t="shared" si="0"/>
        <v>0</v>
      </c>
      <c r="J68" s="2">
        <f t="shared" si="3"/>
        <v>81179.48563516482</v>
      </c>
      <c r="K68" s="2">
        <f t="shared" si="7"/>
        <v>359671.92476199736</v>
      </c>
    </row>
    <row r="69" spans="2:11">
      <c r="B69" s="18"/>
      <c r="C69" s="18"/>
      <c r="D69">
        <v>65</v>
      </c>
      <c r="E69" s="1">
        <v>45047</v>
      </c>
      <c r="F69" s="2">
        <f t="shared" si="5"/>
        <v>1909.6611818618114</v>
      </c>
      <c r="G69" s="2">
        <f t="shared" si="6"/>
        <v>713.12394854178183</v>
      </c>
      <c r="H69" s="2">
        <f t="shared" si="2"/>
        <v>1196.5372333200296</v>
      </c>
      <c r="I69" s="15">
        <f t="shared" ref="I69:I132" si="10">IF(AND(MOD(D69,12)=2, $B$2&gt;0,K69&gt;$B$2),$B$2,IF(K69=0,0,IF(D69&lt;=$B$3,$I$1,0)))</f>
        <v>0</v>
      </c>
      <c r="J69" s="2">
        <f t="shared" si="3"/>
        <v>82376.022868484855</v>
      </c>
      <c r="K69" s="2">
        <f t="shared" si="7"/>
        <v>358961.16999600886</v>
      </c>
    </row>
    <row r="70" spans="2:11">
      <c r="B70" s="18"/>
      <c r="C70" s="18"/>
      <c r="D70">
        <v>66</v>
      </c>
      <c r="E70" s="1">
        <v>45078</v>
      </c>
      <c r="F70" s="2">
        <f t="shared" si="5"/>
        <v>1909.6611818618114</v>
      </c>
      <c r="G70" s="2">
        <f t="shared" si="6"/>
        <v>715.50102837025429</v>
      </c>
      <c r="H70" s="2">
        <f t="shared" si="2"/>
        <v>1194.1601534915571</v>
      </c>
      <c r="I70" s="15">
        <f t="shared" si="10"/>
        <v>0</v>
      </c>
      <c r="J70" s="2">
        <f t="shared" si="3"/>
        <v>83570.183021976409</v>
      </c>
      <c r="K70" s="2">
        <f t="shared" si="7"/>
        <v>358248.0460474671</v>
      </c>
    </row>
    <row r="71" spans="2:11">
      <c r="B71" s="18"/>
      <c r="C71" s="18"/>
      <c r="D71">
        <v>67</v>
      </c>
      <c r="E71" s="1">
        <v>45108</v>
      </c>
      <c r="F71" s="2">
        <f t="shared" si="5"/>
        <v>1909.6611818618114</v>
      </c>
      <c r="G71" s="2">
        <f t="shared" ref="G71:G134" si="11">+F71-H71</f>
        <v>717.88603179815505</v>
      </c>
      <c r="H71" s="2">
        <f t="shared" si="2"/>
        <v>1191.7751500636564</v>
      </c>
      <c r="I71" s="15">
        <f t="shared" si="10"/>
        <v>0</v>
      </c>
      <c r="J71" s="2">
        <f t="shared" si="3"/>
        <v>84761.95817204006</v>
      </c>
      <c r="K71" s="2">
        <f t="shared" si="7"/>
        <v>357532.54501909687</v>
      </c>
    </row>
    <row r="72" spans="2:11">
      <c r="B72" s="18"/>
      <c r="C72" s="18"/>
      <c r="D72">
        <v>68</v>
      </c>
      <c r="E72" s="1">
        <v>45139</v>
      </c>
      <c r="F72" s="2">
        <f t="shared" si="5"/>
        <v>1909.6611818618114</v>
      </c>
      <c r="G72" s="2">
        <f t="shared" si="11"/>
        <v>720.27898523748217</v>
      </c>
      <c r="H72" s="2">
        <f t="shared" ref="H72:H135" si="12">($G$2/12)*K72</f>
        <v>1189.3821966243293</v>
      </c>
      <c r="I72" s="15">
        <f t="shared" si="10"/>
        <v>0</v>
      </c>
      <c r="J72" s="2">
        <f t="shared" ref="J72:J135" si="13">IF(K72=0,0,J71+H72)</f>
        <v>85951.340368664387</v>
      </c>
      <c r="K72" s="2">
        <f t="shared" si="7"/>
        <v>356814.65898729872</v>
      </c>
    </row>
    <row r="73" spans="2:11">
      <c r="B73" s="18"/>
      <c r="C73" s="18"/>
      <c r="D73">
        <v>69</v>
      </c>
      <c r="E73" s="1">
        <v>45170</v>
      </c>
      <c r="F73" s="2">
        <f t="shared" ref="F73:F136" si="14">IF( (K73+20)&lt;$F$5, H73+K73,I73+$G$1*($G$2/12)*(1+($G$2/12))^($G$3*12)/((1+($G$2/12))^($G$3*12)-1))</f>
        <v>1909.6611818618114</v>
      </c>
      <c r="G73" s="2">
        <f t="shared" si="11"/>
        <v>722.67991518827375</v>
      </c>
      <c r="H73" s="2">
        <f t="shared" si="12"/>
        <v>1186.9812666735377</v>
      </c>
      <c r="I73" s="15">
        <f t="shared" si="10"/>
        <v>0</v>
      </c>
      <c r="J73" s="2">
        <f t="shared" si="13"/>
        <v>87138.321635337925</v>
      </c>
      <c r="K73" s="2">
        <f t="shared" si="7"/>
        <v>356094.38000206125</v>
      </c>
    </row>
    <row r="74" spans="2:11">
      <c r="B74" s="18"/>
      <c r="C74" s="18"/>
      <c r="D74">
        <v>70</v>
      </c>
      <c r="E74" s="1">
        <v>45200</v>
      </c>
      <c r="F74" s="2">
        <f t="shared" si="14"/>
        <v>1909.6611818618114</v>
      </c>
      <c r="G74" s="2">
        <f t="shared" si="11"/>
        <v>725.08884823890139</v>
      </c>
      <c r="H74" s="2">
        <f t="shared" si="12"/>
        <v>1184.57233362291</v>
      </c>
      <c r="I74" s="15">
        <f t="shared" si="10"/>
        <v>0</v>
      </c>
      <c r="J74" s="2">
        <f t="shared" si="13"/>
        <v>88322.893968960838</v>
      </c>
      <c r="K74" s="2">
        <f t="shared" ref="K74:K137" si="15">K73-G73</f>
        <v>355371.70008687297</v>
      </c>
    </row>
    <row r="75" spans="2:11">
      <c r="B75" s="18"/>
      <c r="C75" s="18"/>
      <c r="D75">
        <v>71</v>
      </c>
      <c r="E75" s="1">
        <v>45231</v>
      </c>
      <c r="F75" s="2">
        <f t="shared" si="14"/>
        <v>1909.6611818618114</v>
      </c>
      <c r="G75" s="2">
        <f t="shared" si="11"/>
        <v>727.50581106636446</v>
      </c>
      <c r="H75" s="2">
        <f t="shared" si="12"/>
        <v>1182.155370795447</v>
      </c>
      <c r="I75" s="15">
        <f t="shared" si="10"/>
        <v>0</v>
      </c>
      <c r="J75" s="2">
        <f t="shared" si="13"/>
        <v>89505.049339756282</v>
      </c>
      <c r="K75" s="2">
        <f t="shared" si="15"/>
        <v>354646.61123863404</v>
      </c>
    </row>
    <row r="76" spans="2:11">
      <c r="B76" s="18"/>
      <c r="C76" s="18"/>
      <c r="D76">
        <v>72</v>
      </c>
      <c r="E76" s="1">
        <v>45261</v>
      </c>
      <c r="F76" s="2">
        <f t="shared" si="14"/>
        <v>1909.6611818618114</v>
      </c>
      <c r="G76" s="2">
        <f t="shared" si="11"/>
        <v>729.93083043658567</v>
      </c>
      <c r="H76" s="2">
        <f t="shared" si="12"/>
        <v>1179.7303514252258</v>
      </c>
      <c r="I76" s="15">
        <f t="shared" si="10"/>
        <v>0</v>
      </c>
      <c r="J76" s="2">
        <f t="shared" si="13"/>
        <v>90684.779691181509</v>
      </c>
      <c r="K76" s="2">
        <f t="shared" si="15"/>
        <v>353919.10542756767</v>
      </c>
    </row>
    <row r="77" spans="2:11">
      <c r="B77" s="18"/>
      <c r="C77" s="18"/>
      <c r="D77">
        <v>73</v>
      </c>
      <c r="E77" s="1">
        <v>45292</v>
      </c>
      <c r="F77" s="2">
        <f t="shared" si="14"/>
        <v>1909.6611818618114</v>
      </c>
      <c r="G77" s="2">
        <f t="shared" si="11"/>
        <v>732.36393320470779</v>
      </c>
      <c r="H77" s="2">
        <f t="shared" si="12"/>
        <v>1177.2972486571036</v>
      </c>
      <c r="I77" s="15">
        <f t="shared" si="10"/>
        <v>0</v>
      </c>
      <c r="J77" s="2">
        <f t="shared" si="13"/>
        <v>91862.076939838618</v>
      </c>
      <c r="K77" s="2">
        <f t="shared" si="15"/>
        <v>353189.17459713109</v>
      </c>
    </row>
    <row r="78" spans="2:11">
      <c r="B78" s="18"/>
      <c r="C78" s="18"/>
      <c r="D78">
        <v>74</v>
      </c>
      <c r="E78" s="1">
        <v>45323</v>
      </c>
      <c r="F78" s="2">
        <f t="shared" si="14"/>
        <v>1909.6611818618114</v>
      </c>
      <c r="G78" s="2">
        <f t="shared" si="11"/>
        <v>734.80514631539018</v>
      </c>
      <c r="H78" s="2">
        <f t="shared" si="12"/>
        <v>1174.8560355464213</v>
      </c>
      <c r="I78" s="15">
        <f t="shared" si="10"/>
        <v>0</v>
      </c>
      <c r="J78" s="2">
        <f t="shared" si="13"/>
        <v>93036.932975385032</v>
      </c>
      <c r="K78" s="2">
        <f t="shared" si="15"/>
        <v>352456.81066392636</v>
      </c>
    </row>
    <row r="79" spans="2:11">
      <c r="B79" s="18"/>
      <c r="C79" s="18"/>
      <c r="D79">
        <v>75</v>
      </c>
      <c r="E79" s="1">
        <v>45352</v>
      </c>
      <c r="F79" s="2">
        <f t="shared" si="14"/>
        <v>1909.6611818618114</v>
      </c>
      <c r="G79" s="2">
        <f t="shared" si="11"/>
        <v>737.25449680310817</v>
      </c>
      <c r="H79" s="2">
        <f t="shared" si="12"/>
        <v>1172.4066850587033</v>
      </c>
      <c r="I79" s="15">
        <f t="shared" si="10"/>
        <v>0</v>
      </c>
      <c r="J79" s="2">
        <f t="shared" si="13"/>
        <v>94209.339660443729</v>
      </c>
      <c r="K79" s="2">
        <f t="shared" si="15"/>
        <v>351722.00551761099</v>
      </c>
    </row>
    <row r="80" spans="2:11">
      <c r="B80" s="18"/>
      <c r="C80" s="18"/>
      <c r="D80">
        <v>76</v>
      </c>
      <c r="E80" s="1">
        <v>45383</v>
      </c>
      <c r="F80" s="2">
        <f t="shared" si="14"/>
        <v>1909.6611818618114</v>
      </c>
      <c r="G80" s="2">
        <f t="shared" si="11"/>
        <v>739.71201179245168</v>
      </c>
      <c r="H80" s="2">
        <f t="shared" si="12"/>
        <v>1169.9491700693598</v>
      </c>
      <c r="I80" s="15">
        <f t="shared" si="10"/>
        <v>0</v>
      </c>
      <c r="J80" s="2">
        <f t="shared" si="13"/>
        <v>95379.288830513091</v>
      </c>
      <c r="K80" s="2">
        <f t="shared" si="15"/>
        <v>350984.75102080789</v>
      </c>
    </row>
    <row r="81" spans="2:11">
      <c r="B81" s="18"/>
      <c r="C81" s="18"/>
      <c r="D81">
        <v>77</v>
      </c>
      <c r="E81" s="1">
        <v>45413</v>
      </c>
      <c r="F81" s="2">
        <f t="shared" si="14"/>
        <v>1909.6611818618114</v>
      </c>
      <c r="G81" s="2">
        <f t="shared" si="11"/>
        <v>742.17771849842666</v>
      </c>
      <c r="H81" s="2">
        <f t="shared" si="12"/>
        <v>1167.4834633633848</v>
      </c>
      <c r="I81" s="15">
        <f t="shared" si="10"/>
        <v>0</v>
      </c>
      <c r="J81" s="2">
        <f t="shared" si="13"/>
        <v>96546.772293876478</v>
      </c>
      <c r="K81" s="2">
        <f t="shared" si="15"/>
        <v>350245.03900901543</v>
      </c>
    </row>
    <row r="82" spans="2:11">
      <c r="B82" s="18"/>
      <c r="C82" s="18"/>
      <c r="D82">
        <v>78</v>
      </c>
      <c r="E82" s="1">
        <v>45444</v>
      </c>
      <c r="F82" s="2">
        <f t="shared" si="14"/>
        <v>1909.6611818618114</v>
      </c>
      <c r="G82" s="2">
        <f t="shared" si="11"/>
        <v>744.6516442267548</v>
      </c>
      <c r="H82" s="2">
        <f t="shared" si="12"/>
        <v>1165.0095376350566</v>
      </c>
      <c r="I82" s="15">
        <f t="shared" si="10"/>
        <v>0</v>
      </c>
      <c r="J82" s="2">
        <f t="shared" si="13"/>
        <v>97711.781831511529</v>
      </c>
      <c r="K82" s="2">
        <f t="shared" si="15"/>
        <v>349502.86129051697</v>
      </c>
    </row>
    <row r="83" spans="2:11">
      <c r="B83" s="18"/>
      <c r="C83" s="18"/>
      <c r="D83">
        <v>79</v>
      </c>
      <c r="E83" s="1">
        <v>45474</v>
      </c>
      <c r="F83" s="2">
        <f t="shared" si="14"/>
        <v>1909.6611818618114</v>
      </c>
      <c r="G83" s="2">
        <f t="shared" si="11"/>
        <v>747.13381637417729</v>
      </c>
      <c r="H83" s="2">
        <f t="shared" si="12"/>
        <v>1162.5273654876341</v>
      </c>
      <c r="I83" s="15">
        <f t="shared" si="10"/>
        <v>0</v>
      </c>
      <c r="J83" s="2">
        <f t="shared" si="13"/>
        <v>98874.309196999166</v>
      </c>
      <c r="K83" s="2">
        <f t="shared" si="15"/>
        <v>348758.20964629023</v>
      </c>
    </row>
    <row r="84" spans="2:11">
      <c r="B84" s="18"/>
      <c r="C84" s="18"/>
      <c r="D84">
        <v>80</v>
      </c>
      <c r="E84" s="1">
        <v>45505</v>
      </c>
      <c r="F84" s="2">
        <f t="shared" si="14"/>
        <v>1909.6611818618114</v>
      </c>
      <c r="G84" s="2">
        <f t="shared" si="11"/>
        <v>749.6242624287579</v>
      </c>
      <c r="H84" s="2">
        <f t="shared" si="12"/>
        <v>1160.0369194330535</v>
      </c>
      <c r="I84" s="15">
        <f t="shared" si="10"/>
        <v>0</v>
      </c>
      <c r="J84" s="2">
        <f t="shared" si="13"/>
        <v>100034.34611643222</v>
      </c>
      <c r="K84" s="2">
        <f t="shared" si="15"/>
        <v>348011.07582991605</v>
      </c>
    </row>
    <row r="85" spans="2:11">
      <c r="B85" s="18"/>
      <c r="C85" s="18"/>
      <c r="D85">
        <v>81</v>
      </c>
      <c r="E85" s="1">
        <v>45536</v>
      </c>
      <c r="F85" s="2">
        <f t="shared" si="14"/>
        <v>1909.6611818618114</v>
      </c>
      <c r="G85" s="2">
        <f t="shared" si="11"/>
        <v>752.12300997018724</v>
      </c>
      <c r="H85" s="2">
        <f t="shared" si="12"/>
        <v>1157.5381718916242</v>
      </c>
      <c r="I85" s="15">
        <f t="shared" si="10"/>
        <v>0</v>
      </c>
      <c r="J85" s="2">
        <f t="shared" si="13"/>
        <v>101191.88428832384</v>
      </c>
      <c r="K85" s="2">
        <f t="shared" si="15"/>
        <v>347261.45156748727</v>
      </c>
    </row>
    <row r="86" spans="2:11">
      <c r="B86" s="18"/>
      <c r="C86" s="18"/>
      <c r="D86">
        <v>82</v>
      </c>
      <c r="E86" s="1">
        <v>45566</v>
      </c>
      <c r="F86" s="2">
        <f t="shared" si="14"/>
        <v>1909.6611818618114</v>
      </c>
      <c r="G86" s="2">
        <f t="shared" si="11"/>
        <v>754.63008667008762</v>
      </c>
      <c r="H86" s="2">
        <f t="shared" si="12"/>
        <v>1155.0310951917238</v>
      </c>
      <c r="I86" s="15">
        <f t="shared" si="10"/>
        <v>0</v>
      </c>
      <c r="J86" s="2">
        <f t="shared" si="13"/>
        <v>102346.91538351556</v>
      </c>
      <c r="K86" s="2">
        <f t="shared" si="15"/>
        <v>346509.32855751709</v>
      </c>
    </row>
    <row r="87" spans="2:11">
      <c r="B87" s="18"/>
      <c r="C87" s="18"/>
      <c r="D87">
        <v>83</v>
      </c>
      <c r="E87" s="1">
        <v>45597</v>
      </c>
      <c r="F87" s="2">
        <f t="shared" si="14"/>
        <v>1909.6611818618114</v>
      </c>
      <c r="G87" s="2">
        <f t="shared" si="11"/>
        <v>757.14552029232141</v>
      </c>
      <c r="H87" s="2">
        <f t="shared" si="12"/>
        <v>1152.51566156949</v>
      </c>
      <c r="I87" s="15">
        <f t="shared" si="10"/>
        <v>0</v>
      </c>
      <c r="J87" s="2">
        <f t="shared" si="13"/>
        <v>103499.43104508505</v>
      </c>
      <c r="K87" s="2">
        <f t="shared" si="15"/>
        <v>345754.69847084698</v>
      </c>
    </row>
    <row r="88" spans="2:11">
      <c r="B88" s="18"/>
      <c r="C88" s="18"/>
      <c r="D88">
        <v>84</v>
      </c>
      <c r="E88" s="1">
        <v>45627</v>
      </c>
      <c r="F88" s="2">
        <f t="shared" si="14"/>
        <v>1909.6611818618114</v>
      </c>
      <c r="G88" s="2">
        <f t="shared" si="11"/>
        <v>759.66933869329591</v>
      </c>
      <c r="H88" s="2">
        <f t="shared" si="12"/>
        <v>1149.9918431685155</v>
      </c>
      <c r="I88" s="15">
        <f t="shared" si="10"/>
        <v>0</v>
      </c>
      <c r="J88" s="2">
        <f t="shared" si="13"/>
        <v>104649.42288825357</v>
      </c>
      <c r="K88" s="2">
        <f t="shared" si="15"/>
        <v>344997.55295055464</v>
      </c>
    </row>
    <row r="89" spans="2:11">
      <c r="B89" s="18"/>
      <c r="C89" s="18"/>
      <c r="D89">
        <v>85</v>
      </c>
      <c r="E89" s="1">
        <v>45658</v>
      </c>
      <c r="F89" s="2">
        <f t="shared" si="14"/>
        <v>1909.6611818618114</v>
      </c>
      <c r="G89" s="2">
        <f t="shared" si="11"/>
        <v>762.20156982227354</v>
      </c>
      <c r="H89" s="2">
        <f t="shared" si="12"/>
        <v>1147.4596120395379</v>
      </c>
      <c r="I89" s="15">
        <f t="shared" si="10"/>
        <v>0</v>
      </c>
      <c r="J89" s="2">
        <f t="shared" si="13"/>
        <v>105796.88250029311</v>
      </c>
      <c r="K89" s="2">
        <f t="shared" si="15"/>
        <v>344237.88361186133</v>
      </c>
    </row>
    <row r="90" spans="2:11">
      <c r="B90" s="18"/>
      <c r="C90" s="18"/>
      <c r="D90">
        <v>86</v>
      </c>
      <c r="E90" s="1">
        <v>45689</v>
      </c>
      <c r="F90" s="2">
        <f t="shared" si="14"/>
        <v>1909.6611818618114</v>
      </c>
      <c r="G90" s="2">
        <f t="shared" si="11"/>
        <v>764.74224172168124</v>
      </c>
      <c r="H90" s="2">
        <f t="shared" si="12"/>
        <v>1144.9189401401302</v>
      </c>
      <c r="I90" s="15">
        <f t="shared" si="10"/>
        <v>0</v>
      </c>
      <c r="J90" s="2">
        <f t="shared" si="13"/>
        <v>106941.80144043324</v>
      </c>
      <c r="K90" s="2">
        <f t="shared" si="15"/>
        <v>343475.68204203906</v>
      </c>
    </row>
    <row r="91" spans="2:11">
      <c r="B91" s="18"/>
      <c r="C91" s="18"/>
      <c r="D91">
        <v>87</v>
      </c>
      <c r="E91" s="1">
        <v>45717</v>
      </c>
      <c r="F91" s="2">
        <f t="shared" si="14"/>
        <v>1909.6611818618114</v>
      </c>
      <c r="G91" s="2">
        <f t="shared" si="11"/>
        <v>767.29138252741996</v>
      </c>
      <c r="H91" s="2">
        <f t="shared" si="12"/>
        <v>1142.3697993343915</v>
      </c>
      <c r="I91" s="15">
        <f t="shared" si="10"/>
        <v>0</v>
      </c>
      <c r="J91" s="2">
        <f t="shared" si="13"/>
        <v>108084.17123976763</v>
      </c>
      <c r="K91" s="2">
        <f t="shared" si="15"/>
        <v>342710.9398003174</v>
      </c>
    </row>
    <row r="92" spans="2:11">
      <c r="B92" s="18"/>
      <c r="C92" s="18"/>
      <c r="D92">
        <v>88</v>
      </c>
      <c r="E92" s="1">
        <v>45748</v>
      </c>
      <c r="F92" s="2">
        <f t="shared" si="14"/>
        <v>1909.6611818618114</v>
      </c>
      <c r="G92" s="2">
        <f t="shared" si="11"/>
        <v>769.84902046917819</v>
      </c>
      <c r="H92" s="2">
        <f t="shared" si="12"/>
        <v>1139.8121613926332</v>
      </c>
      <c r="I92" s="15">
        <f t="shared" si="10"/>
        <v>0</v>
      </c>
      <c r="J92" s="2">
        <f t="shared" si="13"/>
        <v>109223.98340116027</v>
      </c>
      <c r="K92" s="2">
        <f t="shared" si="15"/>
        <v>341943.64841778995</v>
      </c>
    </row>
    <row r="93" spans="2:11">
      <c r="B93" s="18"/>
      <c r="C93" s="18"/>
      <c r="D93">
        <v>89</v>
      </c>
      <c r="E93" s="1">
        <v>45778</v>
      </c>
      <c r="F93" s="2">
        <f t="shared" si="14"/>
        <v>1909.6611818618114</v>
      </c>
      <c r="G93" s="2">
        <f t="shared" si="11"/>
        <v>772.41518387074211</v>
      </c>
      <c r="H93" s="2">
        <f t="shared" si="12"/>
        <v>1137.2459979910693</v>
      </c>
      <c r="I93" s="15">
        <f t="shared" si="10"/>
        <v>0</v>
      </c>
      <c r="J93" s="2">
        <f t="shared" si="13"/>
        <v>110361.22939915133</v>
      </c>
      <c r="K93" s="2">
        <f t="shared" si="15"/>
        <v>341173.79939732078</v>
      </c>
    </row>
    <row r="94" spans="2:11">
      <c r="B94" s="18"/>
      <c r="C94" s="18"/>
      <c r="D94">
        <v>90</v>
      </c>
      <c r="E94" s="1">
        <v>45809</v>
      </c>
      <c r="F94" s="2">
        <f t="shared" si="14"/>
        <v>1909.6611818618114</v>
      </c>
      <c r="G94" s="2">
        <f t="shared" si="11"/>
        <v>774.9899011503112</v>
      </c>
      <c r="H94" s="2">
        <f t="shared" si="12"/>
        <v>1134.6712807115002</v>
      </c>
      <c r="I94" s="15">
        <f t="shared" si="10"/>
        <v>0</v>
      </c>
      <c r="J94" s="2">
        <f t="shared" si="13"/>
        <v>111495.90067986283</v>
      </c>
      <c r="K94" s="2">
        <f t="shared" si="15"/>
        <v>340401.38421345002</v>
      </c>
    </row>
    <row r="95" spans="2:11">
      <c r="B95" s="18"/>
      <c r="C95" s="18"/>
      <c r="D95">
        <v>91</v>
      </c>
      <c r="E95" s="1">
        <v>45839</v>
      </c>
      <c r="F95" s="2">
        <f t="shared" si="14"/>
        <v>1909.6611818618114</v>
      </c>
      <c r="G95" s="2">
        <f t="shared" si="11"/>
        <v>777.57320082081219</v>
      </c>
      <c r="H95" s="2">
        <f t="shared" si="12"/>
        <v>1132.0879810409992</v>
      </c>
      <c r="I95" s="15">
        <f t="shared" si="10"/>
        <v>0</v>
      </c>
      <c r="J95" s="2">
        <f t="shared" si="13"/>
        <v>112627.98866090382</v>
      </c>
      <c r="K95" s="2">
        <f t="shared" si="15"/>
        <v>339626.39431229973</v>
      </c>
    </row>
    <row r="96" spans="2:11">
      <c r="B96" s="18"/>
      <c r="C96" s="18"/>
      <c r="D96">
        <v>92</v>
      </c>
      <c r="E96" s="1">
        <v>45870</v>
      </c>
      <c r="F96" s="2">
        <f t="shared" si="14"/>
        <v>1909.6611818618114</v>
      </c>
      <c r="G96" s="2">
        <f t="shared" si="11"/>
        <v>780.16511149021494</v>
      </c>
      <c r="H96" s="2">
        <f t="shared" si="12"/>
        <v>1129.4960703715965</v>
      </c>
      <c r="I96" s="15">
        <f t="shared" si="10"/>
        <v>0</v>
      </c>
      <c r="J96" s="2">
        <f t="shared" si="13"/>
        <v>113757.48473127541</v>
      </c>
      <c r="K96" s="2">
        <f t="shared" si="15"/>
        <v>338848.8211114789</v>
      </c>
    </row>
    <row r="97" spans="2:11">
      <c r="B97" s="18"/>
      <c r="C97" s="18"/>
      <c r="D97">
        <v>93</v>
      </c>
      <c r="E97" s="1">
        <v>45901</v>
      </c>
      <c r="F97" s="2">
        <f t="shared" si="14"/>
        <v>1909.6611818618114</v>
      </c>
      <c r="G97" s="2">
        <f t="shared" si="11"/>
        <v>782.76566186184914</v>
      </c>
      <c r="H97" s="2">
        <f t="shared" si="12"/>
        <v>1126.8955199999623</v>
      </c>
      <c r="I97" s="15">
        <f t="shared" si="10"/>
        <v>0</v>
      </c>
      <c r="J97" s="2">
        <f t="shared" si="13"/>
        <v>114884.38025127538</v>
      </c>
      <c r="K97" s="2">
        <f t="shared" si="15"/>
        <v>338068.65599998867</v>
      </c>
    </row>
    <row r="98" spans="2:11">
      <c r="B98" s="18"/>
      <c r="C98" s="18"/>
      <c r="D98">
        <v>94</v>
      </c>
      <c r="E98" s="1">
        <v>45931</v>
      </c>
      <c r="F98" s="2">
        <f t="shared" si="14"/>
        <v>1909.6611818618114</v>
      </c>
      <c r="G98" s="2">
        <f t="shared" si="11"/>
        <v>785.37488073472196</v>
      </c>
      <c r="H98" s="2">
        <f t="shared" si="12"/>
        <v>1124.2863011270895</v>
      </c>
      <c r="I98" s="15">
        <f t="shared" si="10"/>
        <v>0</v>
      </c>
      <c r="J98" s="2">
        <f t="shared" si="13"/>
        <v>116008.66655240247</v>
      </c>
      <c r="K98" s="2">
        <f t="shared" si="15"/>
        <v>337285.8903381268</v>
      </c>
    </row>
    <row r="99" spans="2:11">
      <c r="B99" s="18"/>
      <c r="C99" s="18"/>
      <c r="D99">
        <v>95</v>
      </c>
      <c r="E99" s="1">
        <v>45962</v>
      </c>
      <c r="F99" s="2">
        <f t="shared" si="14"/>
        <v>1909.6611818618114</v>
      </c>
      <c r="G99" s="2">
        <f t="shared" si="11"/>
        <v>787.99279700383772</v>
      </c>
      <c r="H99" s="2">
        <f t="shared" si="12"/>
        <v>1121.6683848579737</v>
      </c>
      <c r="I99" s="15">
        <f t="shared" si="10"/>
        <v>0</v>
      </c>
      <c r="J99" s="2">
        <f t="shared" si="13"/>
        <v>117130.33493726044</v>
      </c>
      <c r="K99" s="2">
        <f t="shared" si="15"/>
        <v>336500.51545739209</v>
      </c>
    </row>
    <row r="100" spans="2:11">
      <c r="B100" s="18"/>
      <c r="C100" s="18"/>
      <c r="D100">
        <v>96</v>
      </c>
      <c r="E100" s="1">
        <v>45992</v>
      </c>
      <c r="F100" s="2">
        <f t="shared" si="14"/>
        <v>1909.6611818618114</v>
      </c>
      <c r="G100" s="2">
        <f t="shared" si="11"/>
        <v>790.61943966051717</v>
      </c>
      <c r="H100" s="2">
        <f t="shared" si="12"/>
        <v>1119.0417422012943</v>
      </c>
      <c r="I100" s="15">
        <f t="shared" si="10"/>
        <v>0</v>
      </c>
      <c r="J100" s="2">
        <f t="shared" si="13"/>
        <v>118249.37667946174</v>
      </c>
      <c r="K100" s="2">
        <f t="shared" si="15"/>
        <v>335712.52266038826</v>
      </c>
    </row>
    <row r="101" spans="2:11">
      <c r="B101" s="18"/>
      <c r="C101" s="18"/>
      <c r="D101">
        <v>97</v>
      </c>
      <c r="E101" s="1">
        <v>46023</v>
      </c>
      <c r="F101" s="2">
        <f t="shared" si="14"/>
        <v>1909.6611818618114</v>
      </c>
      <c r="G101" s="2">
        <f t="shared" si="11"/>
        <v>793.25483779271894</v>
      </c>
      <c r="H101" s="2">
        <f t="shared" si="12"/>
        <v>1116.4063440690925</v>
      </c>
      <c r="I101" s="15">
        <f t="shared" si="10"/>
        <v>0</v>
      </c>
      <c r="J101" s="2">
        <f t="shared" si="13"/>
        <v>119365.78302353084</v>
      </c>
      <c r="K101" s="2">
        <f t="shared" si="15"/>
        <v>334921.90322072775</v>
      </c>
    </row>
    <row r="102" spans="2:11">
      <c r="B102" s="18"/>
      <c r="C102" s="18"/>
      <c r="D102">
        <v>98</v>
      </c>
      <c r="E102" s="1">
        <v>46054</v>
      </c>
      <c r="F102" s="2">
        <f t="shared" si="14"/>
        <v>1909.6611818618114</v>
      </c>
      <c r="G102" s="2">
        <f t="shared" si="11"/>
        <v>795.89902058536131</v>
      </c>
      <c r="H102" s="2">
        <f t="shared" si="12"/>
        <v>1113.7621612764501</v>
      </c>
      <c r="I102" s="15">
        <f t="shared" si="10"/>
        <v>0</v>
      </c>
      <c r="J102" s="2">
        <f t="shared" si="13"/>
        <v>120479.54518480728</v>
      </c>
      <c r="K102" s="2">
        <f t="shared" si="15"/>
        <v>334128.64838293503</v>
      </c>
    </row>
    <row r="103" spans="2:11">
      <c r="B103" s="18"/>
      <c r="C103" s="18"/>
      <c r="D103">
        <v>99</v>
      </c>
      <c r="E103" s="1">
        <v>46082</v>
      </c>
      <c r="F103" s="2">
        <f t="shared" si="14"/>
        <v>1909.6611818618114</v>
      </c>
      <c r="G103" s="2">
        <f t="shared" si="11"/>
        <v>798.55201732064575</v>
      </c>
      <c r="H103" s="2">
        <f t="shared" si="12"/>
        <v>1111.1091645411657</v>
      </c>
      <c r="I103" s="15">
        <f t="shared" si="10"/>
        <v>0</v>
      </c>
      <c r="J103" s="2">
        <f t="shared" si="13"/>
        <v>121590.65434934845</v>
      </c>
      <c r="K103" s="2">
        <f t="shared" si="15"/>
        <v>333332.74936234968</v>
      </c>
    </row>
    <row r="104" spans="2:11">
      <c r="B104" s="18"/>
      <c r="C104" s="18"/>
      <c r="D104">
        <v>100</v>
      </c>
      <c r="E104" s="1">
        <v>46113</v>
      </c>
      <c r="F104" s="2">
        <f t="shared" si="14"/>
        <v>1909.6611818618114</v>
      </c>
      <c r="G104" s="2">
        <f t="shared" si="11"/>
        <v>801.21385737838114</v>
      </c>
      <c r="H104" s="2">
        <f t="shared" si="12"/>
        <v>1108.4473244834303</v>
      </c>
      <c r="I104" s="15">
        <f t="shared" si="10"/>
        <v>0</v>
      </c>
      <c r="J104" s="2">
        <f t="shared" si="13"/>
        <v>122699.10167383189</v>
      </c>
      <c r="K104" s="2">
        <f t="shared" si="15"/>
        <v>332534.19734502904</v>
      </c>
    </row>
    <row r="105" spans="2:11">
      <c r="B105" s="18"/>
      <c r="C105" s="18"/>
      <c r="D105">
        <v>101</v>
      </c>
      <c r="E105" s="1">
        <v>46143</v>
      </c>
      <c r="F105" s="2">
        <f t="shared" si="14"/>
        <v>1909.6611818618114</v>
      </c>
      <c r="G105" s="2">
        <f t="shared" si="11"/>
        <v>803.88457023630917</v>
      </c>
      <c r="H105" s="2">
        <f t="shared" si="12"/>
        <v>1105.7766116255023</v>
      </c>
      <c r="I105" s="15">
        <f t="shared" si="10"/>
        <v>0</v>
      </c>
      <c r="J105" s="2">
        <f t="shared" si="13"/>
        <v>123804.87828545739</v>
      </c>
      <c r="K105" s="2">
        <f t="shared" si="15"/>
        <v>331732.98348765064</v>
      </c>
    </row>
    <row r="106" spans="2:11">
      <c r="B106" s="18"/>
      <c r="C106" s="18"/>
      <c r="D106">
        <v>102</v>
      </c>
      <c r="E106" s="1">
        <v>46174</v>
      </c>
      <c r="F106" s="2">
        <f t="shared" si="14"/>
        <v>1909.6611818618114</v>
      </c>
      <c r="G106" s="2">
        <f t="shared" si="11"/>
        <v>806.5641854704304</v>
      </c>
      <c r="H106" s="2">
        <f t="shared" si="12"/>
        <v>1103.096996391381</v>
      </c>
      <c r="I106" s="15">
        <f t="shared" si="10"/>
        <v>0</v>
      </c>
      <c r="J106" s="2">
        <f t="shared" si="13"/>
        <v>124907.97528184878</v>
      </c>
      <c r="K106" s="2">
        <f t="shared" si="15"/>
        <v>330929.09891741432</v>
      </c>
    </row>
    <row r="107" spans="2:11">
      <c r="B107" s="18"/>
      <c r="C107" s="18"/>
      <c r="D107">
        <v>103</v>
      </c>
      <c r="E107" s="1">
        <v>46204</v>
      </c>
      <c r="F107" s="2">
        <f t="shared" si="14"/>
        <v>1909.6611818618114</v>
      </c>
      <c r="G107" s="2">
        <f t="shared" si="11"/>
        <v>809.25273275533186</v>
      </c>
      <c r="H107" s="2">
        <f t="shared" si="12"/>
        <v>1100.4084491064796</v>
      </c>
      <c r="I107" s="15">
        <f t="shared" si="10"/>
        <v>0</v>
      </c>
      <c r="J107" s="2">
        <f t="shared" si="13"/>
        <v>126008.38373095526</v>
      </c>
      <c r="K107" s="2">
        <f t="shared" si="15"/>
        <v>330122.53473194386</v>
      </c>
    </row>
    <row r="108" spans="2:11">
      <c r="B108" s="18"/>
      <c r="C108" s="18"/>
      <c r="D108">
        <v>104</v>
      </c>
      <c r="E108" s="1">
        <v>46235</v>
      </c>
      <c r="F108" s="2">
        <f t="shared" si="14"/>
        <v>1909.6611818618114</v>
      </c>
      <c r="G108" s="2">
        <f t="shared" si="11"/>
        <v>811.95024186451633</v>
      </c>
      <c r="H108" s="2">
        <f t="shared" si="12"/>
        <v>1097.7109399972951</v>
      </c>
      <c r="I108" s="15">
        <f t="shared" si="10"/>
        <v>0</v>
      </c>
      <c r="J108" s="2">
        <f t="shared" si="13"/>
        <v>127106.09467095256</v>
      </c>
      <c r="K108" s="2">
        <f t="shared" si="15"/>
        <v>329313.28199918853</v>
      </c>
    </row>
    <row r="109" spans="2:11">
      <c r="B109" s="18"/>
      <c r="C109" s="18"/>
      <c r="D109">
        <v>105</v>
      </c>
      <c r="E109" s="1">
        <v>46266</v>
      </c>
      <c r="F109" s="2">
        <f t="shared" si="14"/>
        <v>1909.6611818618114</v>
      </c>
      <c r="G109" s="2">
        <f t="shared" si="11"/>
        <v>814.65674267073132</v>
      </c>
      <c r="H109" s="2">
        <f t="shared" si="12"/>
        <v>1095.0044391910801</v>
      </c>
      <c r="I109" s="15">
        <f t="shared" si="10"/>
        <v>0</v>
      </c>
      <c r="J109" s="2">
        <f t="shared" si="13"/>
        <v>128201.09911014364</v>
      </c>
      <c r="K109" s="2">
        <f t="shared" si="15"/>
        <v>328501.33175732399</v>
      </c>
    </row>
    <row r="110" spans="2:11">
      <c r="B110" s="18"/>
      <c r="C110" s="18"/>
      <c r="D110">
        <v>106</v>
      </c>
      <c r="E110" s="1">
        <v>46296</v>
      </c>
      <c r="F110" s="2">
        <f t="shared" si="14"/>
        <v>1909.6611818618114</v>
      </c>
      <c r="G110" s="2">
        <f t="shared" si="11"/>
        <v>817.37226514630061</v>
      </c>
      <c r="H110" s="2">
        <f t="shared" si="12"/>
        <v>1092.2889167155108</v>
      </c>
      <c r="I110" s="15">
        <f t="shared" si="10"/>
        <v>0</v>
      </c>
      <c r="J110" s="2">
        <f t="shared" si="13"/>
        <v>129293.38802685915</v>
      </c>
      <c r="K110" s="2">
        <f t="shared" si="15"/>
        <v>327686.67501465324</v>
      </c>
    </row>
    <row r="111" spans="2:11">
      <c r="B111" s="18"/>
      <c r="C111" s="18"/>
      <c r="D111">
        <v>107</v>
      </c>
      <c r="E111" s="1">
        <v>46327</v>
      </c>
      <c r="F111" s="2">
        <f t="shared" si="14"/>
        <v>1909.6611818618114</v>
      </c>
      <c r="G111" s="2">
        <f t="shared" si="11"/>
        <v>820.09683936345482</v>
      </c>
      <c r="H111" s="2">
        <f t="shared" si="12"/>
        <v>1089.5643424983566</v>
      </c>
      <c r="I111" s="15">
        <f t="shared" si="10"/>
        <v>0</v>
      </c>
      <c r="J111" s="2">
        <f t="shared" si="13"/>
        <v>130382.9523693575</v>
      </c>
      <c r="K111" s="2">
        <f t="shared" si="15"/>
        <v>326869.30274950695</v>
      </c>
    </row>
    <row r="112" spans="2:11">
      <c r="B112" s="18"/>
      <c r="C112" s="18"/>
      <c r="D112">
        <v>108</v>
      </c>
      <c r="E112" s="1">
        <v>46357</v>
      </c>
      <c r="F112" s="2">
        <f t="shared" si="14"/>
        <v>1909.6611818618114</v>
      </c>
      <c r="G112" s="2">
        <f t="shared" si="11"/>
        <v>822.83049549466637</v>
      </c>
      <c r="H112" s="2">
        <f t="shared" si="12"/>
        <v>1086.8306863671451</v>
      </c>
      <c r="I112" s="15">
        <f t="shared" si="10"/>
        <v>0</v>
      </c>
      <c r="J112" s="2">
        <f t="shared" si="13"/>
        <v>131469.78305572463</v>
      </c>
      <c r="K112" s="2">
        <f t="shared" si="15"/>
        <v>326049.2059101435</v>
      </c>
    </row>
    <row r="113" spans="2:11">
      <c r="B113" s="18"/>
      <c r="C113" s="18"/>
      <c r="D113">
        <v>109</v>
      </c>
      <c r="E113" s="1">
        <v>46388</v>
      </c>
      <c r="F113" s="2">
        <f t="shared" si="14"/>
        <v>1909.6611818618114</v>
      </c>
      <c r="G113" s="2">
        <f t="shared" si="11"/>
        <v>825.57326381298185</v>
      </c>
      <c r="H113" s="2">
        <f t="shared" si="12"/>
        <v>1084.0879180488296</v>
      </c>
      <c r="I113" s="15">
        <f t="shared" si="10"/>
        <v>0</v>
      </c>
      <c r="J113" s="2">
        <f t="shared" si="13"/>
        <v>132553.87097377348</v>
      </c>
      <c r="K113" s="2">
        <f t="shared" si="15"/>
        <v>325226.37541464885</v>
      </c>
    </row>
    <row r="114" spans="2:11">
      <c r="B114" s="18"/>
      <c r="C114" s="18"/>
      <c r="D114">
        <v>110</v>
      </c>
      <c r="E114" s="1">
        <v>46419</v>
      </c>
      <c r="F114" s="2">
        <f t="shared" si="14"/>
        <v>1909.6611818618114</v>
      </c>
      <c r="G114" s="2">
        <f t="shared" si="11"/>
        <v>828.32517469235859</v>
      </c>
      <c r="H114" s="2">
        <f t="shared" si="12"/>
        <v>1081.3360071694528</v>
      </c>
      <c r="I114" s="15">
        <f t="shared" si="10"/>
        <v>0</v>
      </c>
      <c r="J114" s="2">
        <f t="shared" si="13"/>
        <v>133635.20698094292</v>
      </c>
      <c r="K114" s="2">
        <f t="shared" si="15"/>
        <v>324400.80215083587</v>
      </c>
    </row>
    <row r="115" spans="2:11">
      <c r="B115" s="18"/>
      <c r="C115" s="18"/>
      <c r="D115">
        <v>111</v>
      </c>
      <c r="E115" s="1">
        <v>46447</v>
      </c>
      <c r="F115" s="2">
        <f t="shared" si="14"/>
        <v>1909.6611818618114</v>
      </c>
      <c r="G115" s="2">
        <f t="shared" si="11"/>
        <v>831.08625860799975</v>
      </c>
      <c r="H115" s="2">
        <f t="shared" si="12"/>
        <v>1078.5749232538117</v>
      </c>
      <c r="I115" s="15">
        <f t="shared" si="10"/>
        <v>0</v>
      </c>
      <c r="J115" s="2">
        <f t="shared" si="13"/>
        <v>134713.78190419675</v>
      </c>
      <c r="K115" s="2">
        <f t="shared" si="15"/>
        <v>323572.47697614349</v>
      </c>
    </row>
    <row r="116" spans="2:11">
      <c r="B116" s="18"/>
      <c r="C116" s="18"/>
      <c r="D116">
        <v>112</v>
      </c>
      <c r="E116" s="1">
        <v>46478</v>
      </c>
      <c r="F116" s="2">
        <f t="shared" si="14"/>
        <v>1909.6611818618114</v>
      </c>
      <c r="G116" s="2">
        <f t="shared" si="11"/>
        <v>833.85654613669294</v>
      </c>
      <c r="H116" s="2">
        <f t="shared" si="12"/>
        <v>1075.8046357251185</v>
      </c>
      <c r="I116" s="15">
        <f t="shared" si="10"/>
        <v>0</v>
      </c>
      <c r="J116" s="2">
        <f t="shared" si="13"/>
        <v>135789.58653992187</v>
      </c>
      <c r="K116" s="2">
        <f t="shared" si="15"/>
        <v>322741.39071753551</v>
      </c>
    </row>
    <row r="117" spans="2:11">
      <c r="B117" s="18"/>
      <c r="C117" s="18"/>
      <c r="D117">
        <v>113</v>
      </c>
      <c r="E117" s="1">
        <v>46508</v>
      </c>
      <c r="F117" s="2">
        <f t="shared" si="14"/>
        <v>1909.6611818618114</v>
      </c>
      <c r="G117" s="2">
        <f t="shared" si="11"/>
        <v>836.6360679571485</v>
      </c>
      <c r="H117" s="2">
        <f t="shared" si="12"/>
        <v>1073.0251139046629</v>
      </c>
      <c r="I117" s="15">
        <f t="shared" si="10"/>
        <v>0</v>
      </c>
      <c r="J117" s="2">
        <f t="shared" si="13"/>
        <v>136862.61165382655</v>
      </c>
      <c r="K117" s="2">
        <f t="shared" si="15"/>
        <v>321907.53417139885</v>
      </c>
    </row>
    <row r="118" spans="2:11">
      <c r="B118" s="18"/>
      <c r="C118" s="18"/>
      <c r="D118">
        <v>114</v>
      </c>
      <c r="E118" s="1">
        <v>46539</v>
      </c>
      <c r="F118" s="2">
        <f t="shared" si="14"/>
        <v>1909.6611818618114</v>
      </c>
      <c r="G118" s="2">
        <f t="shared" si="11"/>
        <v>839.42485485033899</v>
      </c>
      <c r="H118" s="2">
        <f t="shared" si="12"/>
        <v>1070.2363270114724</v>
      </c>
      <c r="I118" s="15">
        <f t="shared" si="10"/>
        <v>0</v>
      </c>
      <c r="J118" s="2">
        <f t="shared" si="13"/>
        <v>137932.84798083801</v>
      </c>
      <c r="K118" s="2">
        <f t="shared" si="15"/>
        <v>321070.89810344169</v>
      </c>
    </row>
    <row r="119" spans="2:11">
      <c r="B119" s="18"/>
      <c r="C119" s="18"/>
      <c r="D119">
        <v>115</v>
      </c>
      <c r="E119" s="1">
        <v>46569</v>
      </c>
      <c r="F119" s="2">
        <f t="shared" si="14"/>
        <v>1909.6611818618114</v>
      </c>
      <c r="G119" s="2">
        <f t="shared" si="11"/>
        <v>842.22293769984026</v>
      </c>
      <c r="H119" s="2">
        <f t="shared" si="12"/>
        <v>1067.4382441619712</v>
      </c>
      <c r="I119" s="15">
        <f t="shared" si="10"/>
        <v>0</v>
      </c>
      <c r="J119" s="2">
        <f t="shared" si="13"/>
        <v>139000.28622499999</v>
      </c>
      <c r="K119" s="2">
        <f t="shared" si="15"/>
        <v>320231.47324859136</v>
      </c>
    </row>
    <row r="120" spans="2:11">
      <c r="B120" s="18"/>
      <c r="C120" s="18"/>
      <c r="D120">
        <v>116</v>
      </c>
      <c r="E120" s="1">
        <v>46600</v>
      </c>
      <c r="F120" s="2">
        <f t="shared" si="14"/>
        <v>1909.6611818618114</v>
      </c>
      <c r="G120" s="2">
        <f t="shared" si="11"/>
        <v>845.03034749217295</v>
      </c>
      <c r="H120" s="2">
        <f t="shared" si="12"/>
        <v>1064.6308343696385</v>
      </c>
      <c r="I120" s="15">
        <f t="shared" si="10"/>
        <v>0</v>
      </c>
      <c r="J120" s="2">
        <f t="shared" si="13"/>
        <v>140064.91705936962</v>
      </c>
      <c r="K120" s="2">
        <f t="shared" si="15"/>
        <v>319389.25031089154</v>
      </c>
    </row>
    <row r="121" spans="2:11">
      <c r="B121" s="18"/>
      <c r="C121" s="18"/>
      <c r="D121">
        <v>117</v>
      </c>
      <c r="E121" s="1">
        <v>46631</v>
      </c>
      <c r="F121" s="2">
        <f t="shared" si="14"/>
        <v>1909.6611818618114</v>
      </c>
      <c r="G121" s="2">
        <f t="shared" si="11"/>
        <v>847.84711531714697</v>
      </c>
      <c r="H121" s="2">
        <f t="shared" si="12"/>
        <v>1061.8140665446645</v>
      </c>
      <c r="I121" s="15">
        <f t="shared" si="10"/>
        <v>0</v>
      </c>
      <c r="J121" s="2">
        <f t="shared" si="13"/>
        <v>141126.73112591429</v>
      </c>
      <c r="K121" s="2">
        <f t="shared" si="15"/>
        <v>318544.21996339934</v>
      </c>
    </row>
    <row r="122" spans="2:11">
      <c r="B122" s="18"/>
      <c r="C122" s="18"/>
      <c r="D122">
        <v>118</v>
      </c>
      <c r="E122" s="1">
        <v>46661</v>
      </c>
      <c r="F122" s="2">
        <f t="shared" si="14"/>
        <v>1909.6611818618114</v>
      </c>
      <c r="G122" s="2">
        <f t="shared" si="11"/>
        <v>850.67327236820392</v>
      </c>
      <c r="H122" s="2">
        <f t="shared" si="12"/>
        <v>1058.9879094936075</v>
      </c>
      <c r="I122" s="15">
        <f t="shared" si="10"/>
        <v>0</v>
      </c>
      <c r="J122" s="2">
        <f t="shared" si="13"/>
        <v>142185.71903540791</v>
      </c>
      <c r="K122" s="2">
        <f t="shared" si="15"/>
        <v>317696.37284808222</v>
      </c>
    </row>
    <row r="123" spans="2:11">
      <c r="B123" s="18"/>
      <c r="C123" s="18"/>
      <c r="D123">
        <v>119</v>
      </c>
      <c r="E123" s="1">
        <v>46692</v>
      </c>
      <c r="F123" s="2">
        <f t="shared" si="14"/>
        <v>1909.6611818618114</v>
      </c>
      <c r="G123" s="2">
        <f t="shared" si="11"/>
        <v>853.50884994276475</v>
      </c>
      <c r="H123" s="2">
        <f t="shared" si="12"/>
        <v>1056.1523319190467</v>
      </c>
      <c r="I123" s="15">
        <f t="shared" si="10"/>
        <v>0</v>
      </c>
      <c r="J123" s="2">
        <f t="shared" si="13"/>
        <v>143241.87136732697</v>
      </c>
      <c r="K123" s="2">
        <f t="shared" si="15"/>
        <v>316845.69957571401</v>
      </c>
    </row>
    <row r="124" spans="2:11">
      <c r="B124" s="18"/>
      <c r="C124" s="18"/>
      <c r="D124">
        <v>120</v>
      </c>
      <c r="E124" s="1">
        <v>46722</v>
      </c>
      <c r="F124" s="2">
        <f t="shared" si="14"/>
        <v>1909.6611818618114</v>
      </c>
      <c r="G124" s="2">
        <f t="shared" si="11"/>
        <v>856.35387944257377</v>
      </c>
      <c r="H124" s="2">
        <f t="shared" si="12"/>
        <v>1053.3073024192377</v>
      </c>
      <c r="I124" s="15">
        <f t="shared" si="10"/>
        <v>0</v>
      </c>
      <c r="J124" s="2">
        <f t="shared" si="13"/>
        <v>144295.17866974621</v>
      </c>
      <c r="K124" s="2">
        <f t="shared" si="15"/>
        <v>315992.19072577124</v>
      </c>
    </row>
    <row r="125" spans="2:11">
      <c r="B125" s="18"/>
      <c r="C125" s="18"/>
      <c r="D125">
        <v>121</v>
      </c>
      <c r="E125" s="1">
        <v>46753</v>
      </c>
      <c r="F125" s="2">
        <f t="shared" si="14"/>
        <v>1909.6611818618114</v>
      </c>
      <c r="G125" s="2">
        <f t="shared" si="11"/>
        <v>859.20839237404903</v>
      </c>
      <c r="H125" s="2">
        <f t="shared" si="12"/>
        <v>1050.4527894877624</v>
      </c>
      <c r="I125" s="15">
        <f t="shared" si="10"/>
        <v>0</v>
      </c>
      <c r="J125" s="2">
        <f t="shared" si="13"/>
        <v>145345.63145923396</v>
      </c>
      <c r="K125" s="2">
        <f t="shared" si="15"/>
        <v>315135.83684632869</v>
      </c>
    </row>
    <row r="126" spans="2:11">
      <c r="B126" s="18"/>
      <c r="C126" s="18"/>
      <c r="D126">
        <v>122</v>
      </c>
      <c r="E126" s="1">
        <v>46784</v>
      </c>
      <c r="F126" s="2">
        <f t="shared" si="14"/>
        <v>1909.6611818618114</v>
      </c>
      <c r="G126" s="2">
        <f t="shared" si="11"/>
        <v>862.07242034862929</v>
      </c>
      <c r="H126" s="2">
        <f t="shared" si="12"/>
        <v>1047.5887615131821</v>
      </c>
      <c r="I126" s="15">
        <f t="shared" si="10"/>
        <v>0</v>
      </c>
      <c r="J126" s="2">
        <f t="shared" si="13"/>
        <v>146393.22022074714</v>
      </c>
      <c r="K126" s="2">
        <f t="shared" si="15"/>
        <v>314276.62845395465</v>
      </c>
    </row>
    <row r="127" spans="2:11">
      <c r="B127" s="18"/>
      <c r="C127" s="18"/>
      <c r="D127">
        <v>123</v>
      </c>
      <c r="E127" s="1">
        <v>46813</v>
      </c>
      <c r="F127" s="2">
        <f t="shared" si="14"/>
        <v>1909.6611818618114</v>
      </c>
      <c r="G127" s="2">
        <f t="shared" si="11"/>
        <v>864.94599508312467</v>
      </c>
      <c r="H127" s="2">
        <f t="shared" si="12"/>
        <v>1044.7151867786868</v>
      </c>
      <c r="I127" s="15">
        <f t="shared" si="10"/>
        <v>0</v>
      </c>
      <c r="J127" s="2">
        <f t="shared" si="13"/>
        <v>147437.93540752583</v>
      </c>
      <c r="K127" s="2">
        <f t="shared" si="15"/>
        <v>313414.556033606</v>
      </c>
    </row>
    <row r="128" spans="2:11">
      <c r="B128" s="18"/>
      <c r="C128" s="18"/>
      <c r="D128">
        <v>124</v>
      </c>
      <c r="E128" s="1">
        <v>46844</v>
      </c>
      <c r="F128" s="2">
        <f t="shared" si="14"/>
        <v>1909.6611818618114</v>
      </c>
      <c r="G128" s="2">
        <f t="shared" si="11"/>
        <v>867.82914840006856</v>
      </c>
      <c r="H128" s="2">
        <f t="shared" si="12"/>
        <v>1041.8320334617429</v>
      </c>
      <c r="I128" s="15">
        <f t="shared" si="10"/>
        <v>0</v>
      </c>
      <c r="J128" s="2">
        <f t="shared" si="13"/>
        <v>148479.76744098758</v>
      </c>
      <c r="K128" s="2">
        <f t="shared" si="15"/>
        <v>312549.61003852286</v>
      </c>
    </row>
    <row r="129" spans="2:11">
      <c r="B129" s="18"/>
      <c r="C129" s="18"/>
      <c r="D129">
        <v>125</v>
      </c>
      <c r="E129" s="1">
        <v>46874</v>
      </c>
      <c r="F129" s="2">
        <f t="shared" si="14"/>
        <v>1909.6611818618114</v>
      </c>
      <c r="G129" s="2">
        <f t="shared" si="11"/>
        <v>870.72191222806873</v>
      </c>
      <c r="H129" s="2">
        <f t="shared" si="12"/>
        <v>1038.9392696337427</v>
      </c>
      <c r="I129" s="15">
        <f t="shared" si="10"/>
        <v>0</v>
      </c>
      <c r="J129" s="2">
        <f t="shared" si="13"/>
        <v>149518.70671062131</v>
      </c>
      <c r="K129" s="2">
        <f t="shared" si="15"/>
        <v>311681.78089012281</v>
      </c>
    </row>
    <row r="130" spans="2:11">
      <c r="B130" s="18"/>
      <c r="C130" s="18"/>
      <c r="D130">
        <v>126</v>
      </c>
      <c r="E130" s="1">
        <v>46905</v>
      </c>
      <c r="F130" s="2">
        <f t="shared" si="14"/>
        <v>1909.6611818618114</v>
      </c>
      <c r="G130" s="2">
        <f t="shared" si="11"/>
        <v>873.62431860216225</v>
      </c>
      <c r="H130" s="2">
        <f t="shared" si="12"/>
        <v>1036.0368632596492</v>
      </c>
      <c r="I130" s="15">
        <f t="shared" si="10"/>
        <v>0</v>
      </c>
      <c r="J130" s="2">
        <f t="shared" si="13"/>
        <v>150554.74357388096</v>
      </c>
      <c r="K130" s="2">
        <f t="shared" si="15"/>
        <v>310811.05897789472</v>
      </c>
    </row>
    <row r="131" spans="2:11">
      <c r="B131" s="18"/>
      <c r="C131" s="18"/>
      <c r="D131">
        <v>127</v>
      </c>
      <c r="E131" s="1">
        <v>46935</v>
      </c>
      <c r="F131" s="2">
        <f t="shared" si="14"/>
        <v>1909.6611818618114</v>
      </c>
      <c r="G131" s="2">
        <f t="shared" si="11"/>
        <v>876.53639966416949</v>
      </c>
      <c r="H131" s="2">
        <f t="shared" si="12"/>
        <v>1033.1247821976419</v>
      </c>
      <c r="I131" s="15">
        <f t="shared" si="10"/>
        <v>0</v>
      </c>
      <c r="J131" s="2">
        <f t="shared" si="13"/>
        <v>151587.8683560786</v>
      </c>
      <c r="K131" s="2">
        <f t="shared" si="15"/>
        <v>309937.43465929257</v>
      </c>
    </row>
    <row r="132" spans="2:11">
      <c r="B132" s="18"/>
      <c r="C132" s="18"/>
      <c r="D132">
        <v>128</v>
      </c>
      <c r="E132" s="1">
        <v>46966</v>
      </c>
      <c r="F132" s="2">
        <f t="shared" si="14"/>
        <v>1909.6611818618114</v>
      </c>
      <c r="G132" s="2">
        <f t="shared" si="11"/>
        <v>879.45818766305001</v>
      </c>
      <c r="H132" s="2">
        <f t="shared" si="12"/>
        <v>1030.2029941987614</v>
      </c>
      <c r="I132" s="15">
        <f t="shared" si="10"/>
        <v>0</v>
      </c>
      <c r="J132" s="2">
        <f t="shared" si="13"/>
        <v>152618.07135027737</v>
      </c>
      <c r="K132" s="2">
        <f t="shared" si="15"/>
        <v>309060.89825962839</v>
      </c>
    </row>
    <row r="133" spans="2:11">
      <c r="B133" s="18"/>
      <c r="C133" s="18"/>
      <c r="D133">
        <v>129</v>
      </c>
      <c r="E133" s="1">
        <v>46997</v>
      </c>
      <c r="F133" s="2">
        <f t="shared" si="14"/>
        <v>1909.6611818618114</v>
      </c>
      <c r="G133" s="2">
        <f t="shared" si="11"/>
        <v>882.38971495526016</v>
      </c>
      <c r="H133" s="2">
        <f t="shared" si="12"/>
        <v>1027.2714669065513</v>
      </c>
      <c r="I133" s="15">
        <f t="shared" ref="I133:I196" si="16">IF(AND(MOD(D133,12)=2, $B$2&gt;0,K133&gt;$B$2),$B$2,IF(K133=0,0,IF(D133&lt;=$B$3,$I$1,0)))</f>
        <v>0</v>
      </c>
      <c r="J133" s="2">
        <f t="shared" si="13"/>
        <v>153645.34281718393</v>
      </c>
      <c r="K133" s="2">
        <f t="shared" si="15"/>
        <v>308181.44007196533</v>
      </c>
    </row>
    <row r="134" spans="2:11">
      <c r="B134" s="18"/>
      <c r="C134" s="18"/>
      <c r="D134">
        <v>130</v>
      </c>
      <c r="E134" s="1">
        <v>47027</v>
      </c>
      <c r="F134" s="2">
        <f t="shared" si="14"/>
        <v>1909.6611818618114</v>
      </c>
      <c r="G134" s="2">
        <f t="shared" si="11"/>
        <v>885.331014005111</v>
      </c>
      <c r="H134" s="2">
        <f t="shared" si="12"/>
        <v>1024.3301678567004</v>
      </c>
      <c r="I134" s="15">
        <f t="shared" si="16"/>
        <v>0</v>
      </c>
      <c r="J134" s="2">
        <f t="shared" si="13"/>
        <v>154669.67298504064</v>
      </c>
      <c r="K134" s="2">
        <f t="shared" si="15"/>
        <v>307299.0503570101</v>
      </c>
    </row>
    <row r="135" spans="2:11">
      <c r="B135" s="18"/>
      <c r="C135" s="18"/>
      <c r="D135">
        <v>131</v>
      </c>
      <c r="E135" s="1">
        <v>47058</v>
      </c>
      <c r="F135" s="2">
        <f t="shared" si="14"/>
        <v>1909.6611818618114</v>
      </c>
      <c r="G135" s="2">
        <f t="shared" ref="G135:G198" si="17">+F135-H135</f>
        <v>888.28211738512812</v>
      </c>
      <c r="H135" s="2">
        <f t="shared" si="12"/>
        <v>1021.3790644766833</v>
      </c>
      <c r="I135" s="15">
        <f t="shared" si="16"/>
        <v>0</v>
      </c>
      <c r="J135" s="2">
        <f t="shared" si="13"/>
        <v>155691.05204951731</v>
      </c>
      <c r="K135" s="2">
        <f t="shared" si="15"/>
        <v>306413.71934300498</v>
      </c>
    </row>
    <row r="136" spans="2:11">
      <c r="B136" s="18"/>
      <c r="C136" s="18"/>
      <c r="D136">
        <v>132</v>
      </c>
      <c r="E136" s="1">
        <v>47088</v>
      </c>
      <c r="F136" s="2">
        <f t="shared" si="14"/>
        <v>1909.6611818618114</v>
      </c>
      <c r="G136" s="2">
        <f t="shared" si="17"/>
        <v>891.24305777641189</v>
      </c>
      <c r="H136" s="2">
        <f t="shared" ref="H136:H199" si="18">($G$2/12)*K136</f>
        <v>1018.4181240853995</v>
      </c>
      <c r="I136" s="15">
        <f t="shared" si="16"/>
        <v>0</v>
      </c>
      <c r="J136" s="2">
        <f t="shared" ref="J136:J199" si="19">IF(K136=0,0,J135+H136)</f>
        <v>156709.47017360272</v>
      </c>
      <c r="K136" s="2">
        <f t="shared" si="15"/>
        <v>305525.43722561985</v>
      </c>
    </row>
    <row r="137" spans="2:11">
      <c r="B137" s="18"/>
      <c r="C137" s="18"/>
      <c r="D137">
        <v>133</v>
      </c>
      <c r="E137" s="1">
        <v>47119</v>
      </c>
      <c r="F137" s="2">
        <f t="shared" ref="F137:F200" si="20">IF( (K137+20)&lt;$F$5, H137+K137,I137+$G$1*($G$2/12)*(1+($G$2/12))^($G$3*12)/((1+($G$2/12))^($G$3*12)-1))</f>
        <v>1909.6611818618114</v>
      </c>
      <c r="G137" s="2">
        <f t="shared" si="17"/>
        <v>894.21386796899992</v>
      </c>
      <c r="H137" s="2">
        <f t="shared" si="18"/>
        <v>1015.4473138928115</v>
      </c>
      <c r="I137" s="15">
        <f t="shared" si="16"/>
        <v>0</v>
      </c>
      <c r="J137" s="2">
        <f t="shared" si="19"/>
        <v>157724.91748749552</v>
      </c>
      <c r="K137" s="2">
        <f t="shared" si="15"/>
        <v>304634.19416784344</v>
      </c>
    </row>
    <row r="138" spans="2:11">
      <c r="B138" s="18"/>
      <c r="C138" s="18"/>
      <c r="D138">
        <v>134</v>
      </c>
      <c r="E138" s="1">
        <v>47150</v>
      </c>
      <c r="F138" s="2">
        <f t="shared" si="20"/>
        <v>1909.6611818618114</v>
      </c>
      <c r="G138" s="2">
        <f t="shared" si="17"/>
        <v>897.19458086222994</v>
      </c>
      <c r="H138" s="2">
        <f t="shared" si="18"/>
        <v>1012.4666009995815</v>
      </c>
      <c r="I138" s="15">
        <f t="shared" si="16"/>
        <v>0</v>
      </c>
      <c r="J138" s="2">
        <f t="shared" si="19"/>
        <v>158737.38408849511</v>
      </c>
      <c r="K138" s="2">
        <f t="shared" ref="K138:K201" si="21">K137-G137</f>
        <v>303739.98029987444</v>
      </c>
    </row>
    <row r="139" spans="2:11">
      <c r="B139" s="18"/>
      <c r="C139" s="18"/>
      <c r="D139">
        <v>135</v>
      </c>
      <c r="E139" s="1">
        <v>47178</v>
      </c>
      <c r="F139" s="2">
        <f t="shared" si="20"/>
        <v>1909.6611818618114</v>
      </c>
      <c r="G139" s="2">
        <f t="shared" si="17"/>
        <v>900.18522946510404</v>
      </c>
      <c r="H139" s="2">
        <f t="shared" si="18"/>
        <v>1009.4759523967074</v>
      </c>
      <c r="I139" s="15">
        <f t="shared" si="16"/>
        <v>0</v>
      </c>
      <c r="J139" s="2">
        <f t="shared" si="19"/>
        <v>159746.8600408918</v>
      </c>
      <c r="K139" s="2">
        <f t="shared" si="21"/>
        <v>302842.7857190122</v>
      </c>
    </row>
    <row r="140" spans="2:11">
      <c r="B140" s="18"/>
      <c r="C140" s="18"/>
      <c r="D140">
        <v>136</v>
      </c>
      <c r="E140" s="1">
        <v>47209</v>
      </c>
      <c r="F140" s="2">
        <f t="shared" si="20"/>
        <v>1909.6611818618114</v>
      </c>
      <c r="G140" s="2">
        <f t="shared" si="17"/>
        <v>903.18584689665443</v>
      </c>
      <c r="H140" s="2">
        <f t="shared" si="18"/>
        <v>1006.475334965157</v>
      </c>
      <c r="I140" s="15">
        <f t="shared" si="16"/>
        <v>0</v>
      </c>
      <c r="J140" s="2">
        <f t="shared" si="19"/>
        <v>160753.33537585696</v>
      </c>
      <c r="K140" s="2">
        <f t="shared" si="21"/>
        <v>301942.60048954707</v>
      </c>
    </row>
    <row r="141" spans="2:11">
      <c r="B141" s="18"/>
      <c r="C141" s="18"/>
      <c r="D141">
        <v>137</v>
      </c>
      <c r="E141" s="1">
        <v>47239</v>
      </c>
      <c r="F141" s="2">
        <f t="shared" si="20"/>
        <v>1909.6611818618114</v>
      </c>
      <c r="G141" s="2">
        <f t="shared" si="17"/>
        <v>906.19646638631002</v>
      </c>
      <c r="H141" s="2">
        <f t="shared" si="18"/>
        <v>1003.4647154755014</v>
      </c>
      <c r="I141" s="15">
        <f t="shared" si="16"/>
        <v>0</v>
      </c>
      <c r="J141" s="2">
        <f t="shared" si="19"/>
        <v>161756.80009133246</v>
      </c>
      <c r="K141" s="2">
        <f t="shared" si="21"/>
        <v>301039.4146426504</v>
      </c>
    </row>
    <row r="142" spans="2:11">
      <c r="B142" s="18"/>
      <c r="C142" s="18"/>
      <c r="D142">
        <v>138</v>
      </c>
      <c r="E142" s="1">
        <v>47270</v>
      </c>
      <c r="F142" s="2">
        <f t="shared" si="20"/>
        <v>1909.6611818618114</v>
      </c>
      <c r="G142" s="2">
        <f t="shared" si="17"/>
        <v>909.2171212742644</v>
      </c>
      <c r="H142" s="2">
        <f t="shared" si="18"/>
        <v>1000.444060587547</v>
      </c>
      <c r="I142" s="15">
        <f t="shared" si="16"/>
        <v>0</v>
      </c>
      <c r="J142" s="2">
        <f t="shared" si="19"/>
        <v>162757.24415192002</v>
      </c>
      <c r="K142" s="2">
        <f t="shared" si="21"/>
        <v>300133.21817626408</v>
      </c>
    </row>
    <row r="143" spans="2:11">
      <c r="B143" s="18"/>
      <c r="C143" s="18"/>
      <c r="D143">
        <v>139</v>
      </c>
      <c r="E143" s="1">
        <v>47300</v>
      </c>
      <c r="F143" s="2">
        <f t="shared" si="20"/>
        <v>1909.6611818618114</v>
      </c>
      <c r="G143" s="2">
        <f t="shared" si="17"/>
        <v>912.24784501184536</v>
      </c>
      <c r="H143" s="2">
        <f t="shared" si="18"/>
        <v>997.41333684996607</v>
      </c>
      <c r="I143" s="15">
        <f t="shared" si="16"/>
        <v>0</v>
      </c>
      <c r="J143" s="2">
        <f t="shared" si="19"/>
        <v>163754.65748877</v>
      </c>
      <c r="K143" s="2">
        <f t="shared" si="21"/>
        <v>299224.00105498981</v>
      </c>
    </row>
    <row r="144" spans="2:11">
      <c r="B144" s="18"/>
      <c r="C144" s="18"/>
      <c r="D144">
        <v>140</v>
      </c>
      <c r="E144" s="1">
        <v>47331</v>
      </c>
      <c r="F144" s="2">
        <f t="shared" si="20"/>
        <v>1909.6611818618114</v>
      </c>
      <c r="G144" s="2">
        <f t="shared" si="17"/>
        <v>915.28867116188474</v>
      </c>
      <c r="H144" s="2">
        <f t="shared" si="18"/>
        <v>994.37251069992669</v>
      </c>
      <c r="I144" s="15">
        <f t="shared" si="16"/>
        <v>0</v>
      </c>
      <c r="J144" s="2">
        <f t="shared" si="19"/>
        <v>164749.02999946993</v>
      </c>
      <c r="K144" s="2">
        <f t="shared" si="21"/>
        <v>298311.75320997799</v>
      </c>
    </row>
    <row r="145" spans="2:11">
      <c r="B145" s="18"/>
      <c r="C145" s="18"/>
      <c r="D145">
        <v>141</v>
      </c>
      <c r="E145" s="1">
        <v>47362</v>
      </c>
      <c r="F145" s="2">
        <f t="shared" si="20"/>
        <v>1909.6611818618114</v>
      </c>
      <c r="G145" s="2">
        <f t="shared" si="17"/>
        <v>918.33963339909099</v>
      </c>
      <c r="H145" s="2">
        <f t="shared" si="18"/>
        <v>991.32154846272044</v>
      </c>
      <c r="I145" s="15">
        <f t="shared" si="16"/>
        <v>0</v>
      </c>
      <c r="J145" s="2">
        <f t="shared" si="19"/>
        <v>165740.35154793266</v>
      </c>
      <c r="K145" s="2">
        <f t="shared" si="21"/>
        <v>297396.46453881613</v>
      </c>
    </row>
    <row r="146" spans="2:11">
      <c r="B146" s="18"/>
      <c r="C146" s="18"/>
      <c r="D146">
        <v>142</v>
      </c>
      <c r="E146" s="1">
        <v>47392</v>
      </c>
      <c r="F146" s="2">
        <f t="shared" si="20"/>
        <v>1909.6611818618114</v>
      </c>
      <c r="G146" s="2">
        <f t="shared" si="17"/>
        <v>921.40076551042125</v>
      </c>
      <c r="H146" s="2">
        <f t="shared" si="18"/>
        <v>988.26041635139018</v>
      </c>
      <c r="I146" s="15">
        <f t="shared" si="16"/>
        <v>0</v>
      </c>
      <c r="J146" s="2">
        <f t="shared" si="19"/>
        <v>166728.61196428406</v>
      </c>
      <c r="K146" s="2">
        <f t="shared" si="21"/>
        <v>296478.12490541703</v>
      </c>
    </row>
    <row r="147" spans="2:11">
      <c r="B147" s="18"/>
      <c r="C147" s="18"/>
      <c r="D147">
        <v>143</v>
      </c>
      <c r="E147" s="1">
        <v>47423</v>
      </c>
      <c r="F147" s="2">
        <f t="shared" si="20"/>
        <v>1909.6611818618114</v>
      </c>
      <c r="G147" s="2">
        <f t="shared" si="17"/>
        <v>924.47210139545587</v>
      </c>
      <c r="H147" s="2">
        <f t="shared" si="18"/>
        <v>985.18908046635556</v>
      </c>
      <c r="I147" s="15">
        <f t="shared" si="16"/>
        <v>0</v>
      </c>
      <c r="J147" s="2">
        <f t="shared" si="19"/>
        <v>167713.80104475041</v>
      </c>
      <c r="K147" s="2">
        <f t="shared" si="21"/>
        <v>295556.72413990664</v>
      </c>
    </row>
    <row r="148" spans="2:11">
      <c r="B148" s="18"/>
      <c r="C148" s="18"/>
      <c r="D148">
        <v>144</v>
      </c>
      <c r="E148" s="1">
        <v>47453</v>
      </c>
      <c r="F148" s="2">
        <f t="shared" si="20"/>
        <v>1909.6611818618114</v>
      </c>
      <c r="G148" s="2">
        <f t="shared" si="17"/>
        <v>927.55367506677419</v>
      </c>
      <c r="H148" s="2">
        <f t="shared" si="18"/>
        <v>982.10750679503724</v>
      </c>
      <c r="I148" s="15">
        <f t="shared" si="16"/>
        <v>0</v>
      </c>
      <c r="J148" s="2">
        <f t="shared" si="19"/>
        <v>168695.90855154544</v>
      </c>
      <c r="K148" s="2">
        <f t="shared" si="21"/>
        <v>294632.25203851116</v>
      </c>
    </row>
    <row r="149" spans="2:11">
      <c r="B149" s="18"/>
      <c r="C149" s="18"/>
      <c r="D149">
        <v>145</v>
      </c>
      <c r="E149" s="1">
        <v>47484</v>
      </c>
      <c r="F149" s="2">
        <f t="shared" si="20"/>
        <v>1909.6611818618114</v>
      </c>
      <c r="G149" s="2">
        <f t="shared" si="17"/>
        <v>930.64552065033013</v>
      </c>
      <c r="H149" s="2">
        <f t="shared" si="18"/>
        <v>979.0156612114813</v>
      </c>
      <c r="I149" s="15">
        <f t="shared" si="16"/>
        <v>0</v>
      </c>
      <c r="J149" s="2">
        <f t="shared" si="19"/>
        <v>169674.92421275692</v>
      </c>
      <c r="K149" s="2">
        <f t="shared" si="21"/>
        <v>293704.69836344436</v>
      </c>
    </row>
    <row r="150" spans="2:11">
      <c r="B150" s="18"/>
      <c r="C150" s="18"/>
      <c r="D150">
        <v>146</v>
      </c>
      <c r="E150" s="1">
        <v>47515</v>
      </c>
      <c r="F150" s="2">
        <f t="shared" si="20"/>
        <v>1909.6611818618114</v>
      </c>
      <c r="G150" s="2">
        <f t="shared" si="17"/>
        <v>933.74767238583127</v>
      </c>
      <c r="H150" s="2">
        <f t="shared" si="18"/>
        <v>975.91350947598016</v>
      </c>
      <c r="I150" s="15">
        <f t="shared" si="16"/>
        <v>0</v>
      </c>
      <c r="J150" s="2">
        <f t="shared" si="19"/>
        <v>170650.83772223289</v>
      </c>
      <c r="K150" s="2">
        <f t="shared" si="21"/>
        <v>292774.05284279404</v>
      </c>
    </row>
    <row r="151" spans="2:11">
      <c r="B151" s="18"/>
      <c r="C151" s="18"/>
      <c r="D151">
        <v>147</v>
      </c>
      <c r="E151" s="1">
        <v>47543</v>
      </c>
      <c r="F151" s="2">
        <f t="shared" si="20"/>
        <v>1909.6611818618114</v>
      </c>
      <c r="G151" s="2">
        <f t="shared" si="17"/>
        <v>936.86016462711734</v>
      </c>
      <c r="H151" s="2">
        <f t="shared" si="18"/>
        <v>972.80101723469409</v>
      </c>
      <c r="I151" s="15">
        <f t="shared" si="16"/>
        <v>0</v>
      </c>
      <c r="J151" s="2">
        <f t="shared" si="19"/>
        <v>171623.63873946757</v>
      </c>
      <c r="K151" s="2">
        <f t="shared" si="21"/>
        <v>291840.30517040822</v>
      </c>
    </row>
    <row r="152" spans="2:11">
      <c r="B152" s="18"/>
      <c r="C152" s="18"/>
      <c r="D152">
        <v>148</v>
      </c>
      <c r="E152" s="1">
        <v>47574</v>
      </c>
      <c r="F152" s="2">
        <f t="shared" si="20"/>
        <v>1909.6611818618114</v>
      </c>
      <c r="G152" s="2">
        <f t="shared" si="17"/>
        <v>939.9830318425411</v>
      </c>
      <c r="H152" s="2">
        <f t="shared" si="18"/>
        <v>969.67815001927033</v>
      </c>
      <c r="I152" s="15">
        <f t="shared" si="16"/>
        <v>0</v>
      </c>
      <c r="J152" s="2">
        <f t="shared" si="19"/>
        <v>172593.31688948683</v>
      </c>
      <c r="K152" s="2">
        <f t="shared" si="21"/>
        <v>290903.44500578108</v>
      </c>
    </row>
    <row r="153" spans="2:11">
      <c r="B153" s="18"/>
      <c r="C153" s="18"/>
      <c r="D153">
        <v>149</v>
      </c>
      <c r="E153" s="1">
        <v>47604</v>
      </c>
      <c r="F153" s="2">
        <f t="shared" si="20"/>
        <v>1909.6611818618114</v>
      </c>
      <c r="G153" s="2">
        <f t="shared" si="17"/>
        <v>943.11630861534968</v>
      </c>
      <c r="H153" s="2">
        <f t="shared" si="18"/>
        <v>966.54487324646175</v>
      </c>
      <c r="I153" s="15">
        <f t="shared" si="16"/>
        <v>0</v>
      </c>
      <c r="J153" s="2">
        <f t="shared" si="19"/>
        <v>173559.86176273329</v>
      </c>
      <c r="K153" s="2">
        <f t="shared" si="21"/>
        <v>289963.46197393851</v>
      </c>
    </row>
    <row r="154" spans="2:11">
      <c r="B154" s="18"/>
      <c r="C154" s="18"/>
      <c r="D154">
        <v>150</v>
      </c>
      <c r="E154" s="1">
        <v>47635</v>
      </c>
      <c r="F154" s="2">
        <f t="shared" si="20"/>
        <v>1909.6611818618114</v>
      </c>
      <c r="G154" s="2">
        <f t="shared" si="17"/>
        <v>946.26002964406757</v>
      </c>
      <c r="H154" s="2">
        <f t="shared" si="18"/>
        <v>963.40115221774386</v>
      </c>
      <c r="I154" s="15">
        <f t="shared" si="16"/>
        <v>0</v>
      </c>
      <c r="J154" s="2">
        <f t="shared" si="19"/>
        <v>174523.26291495102</v>
      </c>
      <c r="K154" s="2">
        <f t="shared" si="21"/>
        <v>289020.34566532314</v>
      </c>
    </row>
    <row r="155" spans="2:11">
      <c r="B155" s="18"/>
      <c r="C155" s="18"/>
      <c r="D155">
        <v>151</v>
      </c>
      <c r="E155" s="1">
        <v>47665</v>
      </c>
      <c r="F155" s="2">
        <f t="shared" si="20"/>
        <v>1909.6611818618114</v>
      </c>
      <c r="G155" s="2">
        <f t="shared" si="17"/>
        <v>949.41422974288116</v>
      </c>
      <c r="H155" s="2">
        <f t="shared" si="18"/>
        <v>960.24695211893027</v>
      </c>
      <c r="I155" s="15">
        <f t="shared" si="16"/>
        <v>0</v>
      </c>
      <c r="J155" s="2">
        <f t="shared" si="19"/>
        <v>175483.50986706995</v>
      </c>
      <c r="K155" s="2">
        <f t="shared" si="21"/>
        <v>288074.08563567908</v>
      </c>
    </row>
    <row r="156" spans="2:11">
      <c r="B156" s="18"/>
      <c r="C156" s="18"/>
      <c r="D156">
        <v>152</v>
      </c>
      <c r="E156" s="1">
        <v>47696</v>
      </c>
      <c r="F156" s="2">
        <f t="shared" si="20"/>
        <v>1909.6611818618114</v>
      </c>
      <c r="G156" s="2">
        <f t="shared" si="17"/>
        <v>952.57894384202405</v>
      </c>
      <c r="H156" s="2">
        <f t="shared" si="18"/>
        <v>957.08223801978738</v>
      </c>
      <c r="I156" s="15">
        <f t="shared" si="16"/>
        <v>0</v>
      </c>
      <c r="J156" s="2">
        <f t="shared" si="19"/>
        <v>176440.59210508975</v>
      </c>
      <c r="K156" s="2">
        <f t="shared" si="21"/>
        <v>287124.67140593618</v>
      </c>
    </row>
    <row r="157" spans="2:11">
      <c r="B157" s="18"/>
      <c r="C157" s="18"/>
      <c r="D157">
        <v>153</v>
      </c>
      <c r="E157" s="1">
        <v>47727</v>
      </c>
      <c r="F157" s="2">
        <f t="shared" si="20"/>
        <v>1909.6611818618114</v>
      </c>
      <c r="G157" s="2">
        <f t="shared" si="17"/>
        <v>955.75420698816424</v>
      </c>
      <c r="H157" s="2">
        <f t="shared" si="18"/>
        <v>953.90697487364719</v>
      </c>
      <c r="I157" s="15">
        <f t="shared" si="16"/>
        <v>0</v>
      </c>
      <c r="J157" s="2">
        <f t="shared" si="19"/>
        <v>177394.4990799634</v>
      </c>
      <c r="K157" s="2">
        <f t="shared" si="21"/>
        <v>286172.09246209415</v>
      </c>
    </row>
    <row r="158" spans="2:11">
      <c r="B158" s="18"/>
      <c r="C158" s="18"/>
      <c r="D158">
        <v>154</v>
      </c>
      <c r="E158" s="1">
        <v>47757</v>
      </c>
      <c r="F158" s="2">
        <f t="shared" si="20"/>
        <v>1909.6611818618114</v>
      </c>
      <c r="G158" s="2">
        <f t="shared" si="17"/>
        <v>958.94005434479129</v>
      </c>
      <c r="H158" s="2">
        <f t="shared" si="18"/>
        <v>950.72112751702014</v>
      </c>
      <c r="I158" s="15">
        <f t="shared" si="16"/>
        <v>0</v>
      </c>
      <c r="J158" s="2">
        <f t="shared" si="19"/>
        <v>178345.22020748042</v>
      </c>
      <c r="K158" s="2">
        <f t="shared" si="21"/>
        <v>285216.33825510601</v>
      </c>
    </row>
    <row r="159" spans="2:11">
      <c r="B159" s="18"/>
      <c r="C159" s="18"/>
      <c r="D159">
        <v>155</v>
      </c>
      <c r="E159" s="1">
        <v>47788</v>
      </c>
      <c r="F159" s="2">
        <f t="shared" si="20"/>
        <v>1909.6611818618114</v>
      </c>
      <c r="G159" s="2">
        <f t="shared" si="17"/>
        <v>962.13652119260723</v>
      </c>
      <c r="H159" s="2">
        <f t="shared" si="18"/>
        <v>947.5246606692042</v>
      </c>
      <c r="I159" s="15">
        <f t="shared" si="16"/>
        <v>0</v>
      </c>
      <c r="J159" s="2">
        <f t="shared" si="19"/>
        <v>179292.74486814963</v>
      </c>
      <c r="K159" s="2">
        <f t="shared" si="21"/>
        <v>284257.39820076124</v>
      </c>
    </row>
    <row r="160" spans="2:11">
      <c r="B160" s="18"/>
      <c r="C160" s="18"/>
      <c r="D160">
        <v>156</v>
      </c>
      <c r="E160" s="1">
        <v>47818</v>
      </c>
      <c r="F160" s="2">
        <f t="shared" si="20"/>
        <v>1909.6611818618114</v>
      </c>
      <c r="G160" s="2">
        <f t="shared" si="17"/>
        <v>965.34364292991597</v>
      </c>
      <c r="H160" s="2">
        <f t="shared" si="18"/>
        <v>944.31753893189546</v>
      </c>
      <c r="I160" s="15">
        <f t="shared" si="16"/>
        <v>0</v>
      </c>
      <c r="J160" s="2">
        <f t="shared" si="19"/>
        <v>180237.06240708154</v>
      </c>
      <c r="K160" s="2">
        <f t="shared" si="21"/>
        <v>283295.26167956862</v>
      </c>
    </row>
    <row r="161" spans="2:11">
      <c r="B161" s="18"/>
      <c r="C161" s="18"/>
      <c r="D161">
        <v>157</v>
      </c>
      <c r="E161" s="1">
        <v>47849</v>
      </c>
      <c r="F161" s="2">
        <f t="shared" si="20"/>
        <v>1909.6611818618114</v>
      </c>
      <c r="G161" s="2">
        <f t="shared" si="17"/>
        <v>968.56145507301574</v>
      </c>
      <c r="H161" s="2">
        <f t="shared" si="18"/>
        <v>941.09972678879569</v>
      </c>
      <c r="I161" s="15">
        <f t="shared" si="16"/>
        <v>0</v>
      </c>
      <c r="J161" s="2">
        <f t="shared" si="19"/>
        <v>181178.16213387033</v>
      </c>
      <c r="K161" s="2">
        <f t="shared" si="21"/>
        <v>282329.9180366387</v>
      </c>
    </row>
    <row r="162" spans="2:11">
      <c r="B162" s="18"/>
      <c r="C162" s="18"/>
      <c r="D162">
        <v>158</v>
      </c>
      <c r="E162" s="1">
        <v>47880</v>
      </c>
      <c r="F162" s="2">
        <f t="shared" si="20"/>
        <v>1909.6611818618114</v>
      </c>
      <c r="G162" s="2">
        <f t="shared" si="17"/>
        <v>971.78999325659242</v>
      </c>
      <c r="H162" s="2">
        <f t="shared" si="18"/>
        <v>937.871188605219</v>
      </c>
      <c r="I162" s="15">
        <f t="shared" si="16"/>
        <v>0</v>
      </c>
      <c r="J162" s="2">
        <f t="shared" si="19"/>
        <v>182116.03332247556</v>
      </c>
      <c r="K162" s="2">
        <f t="shared" si="21"/>
        <v>281361.35658156569</v>
      </c>
    </row>
    <row r="163" spans="2:11">
      <c r="B163" s="18"/>
      <c r="C163" s="18"/>
      <c r="D163">
        <v>159</v>
      </c>
      <c r="E163" s="1">
        <v>47908</v>
      </c>
      <c r="F163" s="2">
        <f t="shared" si="20"/>
        <v>1909.6611818618114</v>
      </c>
      <c r="G163" s="2">
        <f t="shared" si="17"/>
        <v>975.02929323411422</v>
      </c>
      <c r="H163" s="2">
        <f t="shared" si="18"/>
        <v>934.63188862769721</v>
      </c>
      <c r="I163" s="15">
        <f t="shared" si="16"/>
        <v>0</v>
      </c>
      <c r="J163" s="2">
        <f t="shared" si="19"/>
        <v>183050.66521110325</v>
      </c>
      <c r="K163" s="2">
        <f t="shared" si="21"/>
        <v>280389.56658830913</v>
      </c>
    </row>
    <row r="164" spans="2:11">
      <c r="B164" s="18"/>
      <c r="C164" s="18"/>
      <c r="D164">
        <v>160</v>
      </c>
      <c r="E164" s="1">
        <v>47939</v>
      </c>
      <c r="F164" s="2">
        <f t="shared" si="20"/>
        <v>1909.6611818618114</v>
      </c>
      <c r="G164" s="2">
        <f t="shared" si="17"/>
        <v>978.27939087822801</v>
      </c>
      <c r="H164" s="2">
        <f t="shared" si="18"/>
        <v>931.38179098358341</v>
      </c>
      <c r="I164" s="15">
        <f t="shared" si="16"/>
        <v>0</v>
      </c>
      <c r="J164" s="2">
        <f t="shared" si="19"/>
        <v>183982.04700208682</v>
      </c>
      <c r="K164" s="2">
        <f t="shared" si="21"/>
        <v>279414.53729507502</v>
      </c>
    </row>
    <row r="165" spans="2:11">
      <c r="B165" s="18"/>
      <c r="C165" s="18"/>
      <c r="D165">
        <v>161</v>
      </c>
      <c r="E165" s="1">
        <v>47969</v>
      </c>
      <c r="F165" s="2">
        <f t="shared" si="20"/>
        <v>1909.6611818618114</v>
      </c>
      <c r="G165" s="2">
        <f t="shared" si="17"/>
        <v>981.54032218115537</v>
      </c>
      <c r="H165" s="2">
        <f t="shared" si="18"/>
        <v>928.12085968065605</v>
      </c>
      <c r="I165" s="15">
        <f t="shared" si="16"/>
        <v>0</v>
      </c>
      <c r="J165" s="2">
        <f t="shared" si="19"/>
        <v>184910.16786176749</v>
      </c>
      <c r="K165" s="2">
        <f t="shared" si="21"/>
        <v>278436.2579041968</v>
      </c>
    </row>
    <row r="166" spans="2:11">
      <c r="B166" s="18"/>
      <c r="C166" s="18"/>
      <c r="D166">
        <v>162</v>
      </c>
      <c r="E166" s="1">
        <v>48000</v>
      </c>
      <c r="F166" s="2">
        <f t="shared" si="20"/>
        <v>1909.6611818618114</v>
      </c>
      <c r="G166" s="2">
        <f t="shared" si="17"/>
        <v>984.8121232550925</v>
      </c>
      <c r="H166" s="2">
        <f t="shared" si="18"/>
        <v>924.84905860671893</v>
      </c>
      <c r="I166" s="15">
        <f t="shared" si="16"/>
        <v>0</v>
      </c>
      <c r="J166" s="2">
        <f t="shared" si="19"/>
        <v>185835.01692037421</v>
      </c>
      <c r="K166" s="2">
        <f t="shared" si="21"/>
        <v>277454.71758201567</v>
      </c>
    </row>
    <row r="167" spans="2:11">
      <c r="B167" s="18"/>
      <c r="C167" s="18"/>
      <c r="D167">
        <v>163</v>
      </c>
      <c r="E167" s="1">
        <v>48030</v>
      </c>
      <c r="F167" s="2">
        <f t="shared" si="20"/>
        <v>1909.6611818618114</v>
      </c>
      <c r="G167" s="2">
        <f t="shared" si="17"/>
        <v>988.09483033260949</v>
      </c>
      <c r="H167" s="2">
        <f t="shared" si="18"/>
        <v>921.56635152920194</v>
      </c>
      <c r="I167" s="15">
        <f t="shared" si="16"/>
        <v>0</v>
      </c>
      <c r="J167" s="2">
        <f t="shared" si="19"/>
        <v>186756.58327190342</v>
      </c>
      <c r="K167" s="2">
        <f t="shared" si="21"/>
        <v>276469.90545876056</v>
      </c>
    </row>
    <row r="168" spans="2:11">
      <c r="B168" s="18"/>
      <c r="C168" s="18"/>
      <c r="D168">
        <v>164</v>
      </c>
      <c r="E168" s="1">
        <v>48061</v>
      </c>
      <c r="F168" s="2">
        <f t="shared" si="20"/>
        <v>1909.6611818618114</v>
      </c>
      <c r="G168" s="2">
        <f t="shared" si="17"/>
        <v>991.38847976705154</v>
      </c>
      <c r="H168" s="2">
        <f t="shared" si="18"/>
        <v>918.27270209475989</v>
      </c>
      <c r="I168" s="15">
        <f t="shared" si="16"/>
        <v>0</v>
      </c>
      <c r="J168" s="2">
        <f t="shared" si="19"/>
        <v>187674.85597399817</v>
      </c>
      <c r="K168" s="2">
        <f t="shared" si="21"/>
        <v>275481.81062842795</v>
      </c>
    </row>
    <row r="169" spans="2:11">
      <c r="B169" s="18"/>
      <c r="C169" s="18"/>
      <c r="D169">
        <v>165</v>
      </c>
      <c r="E169" s="1">
        <v>48092</v>
      </c>
      <c r="F169" s="2">
        <f t="shared" si="20"/>
        <v>1909.6611818618114</v>
      </c>
      <c r="G169" s="2">
        <f t="shared" si="17"/>
        <v>994.69310803294184</v>
      </c>
      <c r="H169" s="2">
        <f t="shared" si="18"/>
        <v>914.96807382886959</v>
      </c>
      <c r="I169" s="15">
        <f t="shared" si="16"/>
        <v>0</v>
      </c>
      <c r="J169" s="2">
        <f t="shared" si="19"/>
        <v>188589.82404782705</v>
      </c>
      <c r="K169" s="2">
        <f t="shared" si="21"/>
        <v>274490.42214866087</v>
      </c>
    </row>
    <row r="170" spans="2:11">
      <c r="B170" s="18"/>
      <c r="C170" s="18"/>
      <c r="D170">
        <v>166</v>
      </c>
      <c r="E170" s="1">
        <v>48122</v>
      </c>
      <c r="F170" s="2">
        <f t="shared" si="20"/>
        <v>1909.6611818618114</v>
      </c>
      <c r="G170" s="2">
        <f t="shared" si="17"/>
        <v>998.00875172638484</v>
      </c>
      <c r="H170" s="2">
        <f t="shared" si="18"/>
        <v>911.65243013542658</v>
      </c>
      <c r="I170" s="15">
        <f t="shared" si="16"/>
        <v>0</v>
      </c>
      <c r="J170" s="2">
        <f t="shared" si="19"/>
        <v>189501.47647796248</v>
      </c>
      <c r="K170" s="2">
        <f t="shared" si="21"/>
        <v>273495.72904062795</v>
      </c>
    </row>
    <row r="171" spans="2:11">
      <c r="B171" s="18"/>
      <c r="C171" s="18"/>
      <c r="D171">
        <v>167</v>
      </c>
      <c r="E171" s="1">
        <v>48153</v>
      </c>
      <c r="F171" s="2">
        <f t="shared" si="20"/>
        <v>1909.6611818618114</v>
      </c>
      <c r="G171" s="2">
        <f t="shared" si="17"/>
        <v>1001.3354475654727</v>
      </c>
      <c r="H171" s="2">
        <f t="shared" si="18"/>
        <v>908.32573429633874</v>
      </c>
      <c r="I171" s="15">
        <f t="shared" si="16"/>
        <v>0</v>
      </c>
      <c r="J171" s="2">
        <f t="shared" si="19"/>
        <v>190409.80221225883</v>
      </c>
      <c r="K171" s="2">
        <f t="shared" si="21"/>
        <v>272497.72028890159</v>
      </c>
    </row>
    <row r="172" spans="2:11">
      <c r="B172" s="18"/>
      <c r="C172" s="18"/>
      <c r="D172">
        <v>168</v>
      </c>
      <c r="E172" s="1">
        <v>48183</v>
      </c>
      <c r="F172" s="2">
        <f t="shared" si="20"/>
        <v>1909.6611818618114</v>
      </c>
      <c r="G172" s="2">
        <f t="shared" si="17"/>
        <v>1004.6732323906909</v>
      </c>
      <c r="H172" s="2">
        <f t="shared" si="18"/>
        <v>904.98794947112049</v>
      </c>
      <c r="I172" s="15">
        <f t="shared" si="16"/>
        <v>0</v>
      </c>
      <c r="J172" s="2">
        <f t="shared" si="19"/>
        <v>191314.79016172996</v>
      </c>
      <c r="K172" s="2">
        <f t="shared" si="21"/>
        <v>271496.38484133611</v>
      </c>
    </row>
    <row r="173" spans="2:11">
      <c r="B173" s="18"/>
      <c r="C173" s="18"/>
      <c r="D173">
        <v>169</v>
      </c>
      <c r="E173" s="1">
        <v>48214</v>
      </c>
      <c r="F173" s="2">
        <f t="shared" si="20"/>
        <v>1909.6611818618114</v>
      </c>
      <c r="G173" s="2">
        <f t="shared" si="17"/>
        <v>1008.0221431653267</v>
      </c>
      <c r="H173" s="2">
        <f t="shared" si="18"/>
        <v>901.6390386964847</v>
      </c>
      <c r="I173" s="15">
        <f t="shared" si="16"/>
        <v>0</v>
      </c>
      <c r="J173" s="2">
        <f t="shared" si="19"/>
        <v>192216.42920042644</v>
      </c>
      <c r="K173" s="2">
        <f t="shared" si="21"/>
        <v>270491.71160894539</v>
      </c>
    </row>
    <row r="174" spans="2:11">
      <c r="B174" s="18"/>
      <c r="C174" s="18"/>
      <c r="D174">
        <v>170</v>
      </c>
      <c r="E174" s="1">
        <v>48245</v>
      </c>
      <c r="F174" s="2">
        <f t="shared" si="20"/>
        <v>1909.6611818618114</v>
      </c>
      <c r="G174" s="2">
        <f t="shared" si="17"/>
        <v>1011.3822169758779</v>
      </c>
      <c r="H174" s="2">
        <f t="shared" si="18"/>
        <v>898.27896488593353</v>
      </c>
      <c r="I174" s="15">
        <f t="shared" si="16"/>
        <v>0</v>
      </c>
      <c r="J174" s="2">
        <f t="shared" si="19"/>
        <v>193114.70816531239</v>
      </c>
      <c r="K174" s="2">
        <f t="shared" si="21"/>
        <v>269483.68946578004</v>
      </c>
    </row>
    <row r="175" spans="2:11">
      <c r="B175" s="18"/>
      <c r="C175" s="18"/>
      <c r="D175">
        <v>171</v>
      </c>
      <c r="E175" s="1">
        <v>48274</v>
      </c>
      <c r="F175" s="2">
        <f t="shared" si="20"/>
        <v>1909.6611818618114</v>
      </c>
      <c r="G175" s="2">
        <f t="shared" si="17"/>
        <v>1014.753491032464</v>
      </c>
      <c r="H175" s="2">
        <f t="shared" si="18"/>
        <v>894.90769082934742</v>
      </c>
      <c r="I175" s="15">
        <f t="shared" si="16"/>
        <v>0</v>
      </c>
      <c r="J175" s="2">
        <f t="shared" si="19"/>
        <v>194009.61585614173</v>
      </c>
      <c r="K175" s="2">
        <f t="shared" si="21"/>
        <v>268472.30724880419</v>
      </c>
    </row>
    <row r="176" spans="2:11">
      <c r="B176" s="18"/>
      <c r="C176" s="18"/>
      <c r="D176">
        <v>172</v>
      </c>
      <c r="E176" s="1">
        <v>48305</v>
      </c>
      <c r="F176" s="2">
        <f t="shared" si="20"/>
        <v>1909.6611818618114</v>
      </c>
      <c r="G176" s="2">
        <f t="shared" si="17"/>
        <v>1018.1360026692389</v>
      </c>
      <c r="H176" s="2">
        <f t="shared" si="18"/>
        <v>891.52517919257252</v>
      </c>
      <c r="I176" s="15">
        <f t="shared" si="16"/>
        <v>0</v>
      </c>
      <c r="J176" s="2">
        <f t="shared" si="19"/>
        <v>194901.14103533429</v>
      </c>
      <c r="K176" s="2">
        <f t="shared" si="21"/>
        <v>267457.55375777173</v>
      </c>
    </row>
    <row r="177" spans="2:11">
      <c r="B177" s="18"/>
      <c r="C177" s="18"/>
      <c r="D177">
        <v>173</v>
      </c>
      <c r="E177" s="1">
        <v>48335</v>
      </c>
      <c r="F177" s="2">
        <f t="shared" si="20"/>
        <v>1909.6611818618114</v>
      </c>
      <c r="G177" s="2">
        <f t="shared" si="17"/>
        <v>1021.529789344803</v>
      </c>
      <c r="H177" s="2">
        <f t="shared" si="18"/>
        <v>888.13139251700841</v>
      </c>
      <c r="I177" s="15">
        <f t="shared" si="16"/>
        <v>0</v>
      </c>
      <c r="J177" s="2">
        <f t="shared" si="19"/>
        <v>195789.27242785131</v>
      </c>
      <c r="K177" s="2">
        <f t="shared" si="21"/>
        <v>266439.41775510251</v>
      </c>
    </row>
    <row r="178" spans="2:11">
      <c r="B178" s="18"/>
      <c r="C178" s="18"/>
      <c r="D178">
        <v>174</v>
      </c>
      <c r="E178" s="1">
        <v>48366</v>
      </c>
      <c r="F178" s="2">
        <f t="shared" si="20"/>
        <v>1909.6611818618114</v>
      </c>
      <c r="G178" s="2">
        <f t="shared" si="17"/>
        <v>1024.9348886426192</v>
      </c>
      <c r="H178" s="2">
        <f t="shared" si="18"/>
        <v>884.72629321919237</v>
      </c>
      <c r="I178" s="15">
        <f t="shared" si="16"/>
        <v>0</v>
      </c>
      <c r="J178" s="2">
        <f t="shared" si="19"/>
        <v>196673.9987210705</v>
      </c>
      <c r="K178" s="2">
        <f t="shared" si="21"/>
        <v>265417.88796575769</v>
      </c>
    </row>
    <row r="179" spans="2:11">
      <c r="B179" s="18"/>
      <c r="C179" s="18"/>
      <c r="D179">
        <v>175</v>
      </c>
      <c r="E179" s="1">
        <v>48396</v>
      </c>
      <c r="F179" s="2">
        <f t="shared" si="20"/>
        <v>1909.6611818618114</v>
      </c>
      <c r="G179" s="2">
        <f t="shared" si="17"/>
        <v>1028.3513382714277</v>
      </c>
      <c r="H179" s="2">
        <f t="shared" si="18"/>
        <v>881.30984359038359</v>
      </c>
      <c r="I179" s="15">
        <f t="shared" si="16"/>
        <v>0</v>
      </c>
      <c r="J179" s="2">
        <f t="shared" si="19"/>
        <v>197555.3085646609</v>
      </c>
      <c r="K179" s="2">
        <f t="shared" si="21"/>
        <v>264392.95307711506</v>
      </c>
    </row>
    <row r="180" spans="2:11">
      <c r="B180" s="18"/>
      <c r="C180" s="18"/>
      <c r="D180">
        <v>176</v>
      </c>
      <c r="E180" s="1">
        <v>48427</v>
      </c>
      <c r="F180" s="2">
        <f t="shared" si="20"/>
        <v>1909.6611818618114</v>
      </c>
      <c r="G180" s="2">
        <f t="shared" si="17"/>
        <v>1031.779176065666</v>
      </c>
      <c r="H180" s="2">
        <f t="shared" si="18"/>
        <v>877.88200579614556</v>
      </c>
      <c r="I180" s="15">
        <f t="shared" si="16"/>
        <v>0</v>
      </c>
      <c r="J180" s="2">
        <f t="shared" si="19"/>
        <v>198433.19057045705</v>
      </c>
      <c r="K180" s="2">
        <f t="shared" si="21"/>
        <v>263364.60173884366</v>
      </c>
    </row>
    <row r="181" spans="2:11">
      <c r="B181" s="18"/>
      <c r="C181" s="18"/>
      <c r="D181">
        <v>177</v>
      </c>
      <c r="E181" s="1">
        <v>48458</v>
      </c>
      <c r="F181" s="2">
        <f t="shared" si="20"/>
        <v>1909.6611818618114</v>
      </c>
      <c r="G181" s="2">
        <f t="shared" si="17"/>
        <v>1035.2184399858847</v>
      </c>
      <c r="H181" s="2">
        <f t="shared" si="18"/>
        <v>874.4427418759268</v>
      </c>
      <c r="I181" s="15">
        <f t="shared" si="16"/>
        <v>0</v>
      </c>
      <c r="J181" s="2">
        <f t="shared" si="19"/>
        <v>199307.63331233297</v>
      </c>
      <c r="K181" s="2">
        <f t="shared" si="21"/>
        <v>262332.82256277802</v>
      </c>
    </row>
    <row r="182" spans="2:11">
      <c r="B182" s="18"/>
      <c r="C182" s="18"/>
      <c r="D182">
        <v>178</v>
      </c>
      <c r="E182" s="1">
        <v>48488</v>
      </c>
      <c r="F182" s="2">
        <f t="shared" si="20"/>
        <v>1909.6611818618114</v>
      </c>
      <c r="G182" s="2">
        <f t="shared" si="17"/>
        <v>1038.669168119171</v>
      </c>
      <c r="H182" s="2">
        <f t="shared" si="18"/>
        <v>870.99201374264055</v>
      </c>
      <c r="I182" s="15">
        <f t="shared" si="16"/>
        <v>0</v>
      </c>
      <c r="J182" s="2">
        <f t="shared" si="19"/>
        <v>200178.62532607562</v>
      </c>
      <c r="K182" s="2">
        <f t="shared" si="21"/>
        <v>261297.60412279214</v>
      </c>
    </row>
    <row r="183" spans="2:11">
      <c r="B183" s="18"/>
      <c r="C183" s="18"/>
      <c r="D183">
        <v>179</v>
      </c>
      <c r="E183" s="1">
        <v>48519</v>
      </c>
      <c r="F183" s="2">
        <f t="shared" si="20"/>
        <v>1909.6611818618114</v>
      </c>
      <c r="G183" s="2">
        <f t="shared" si="17"/>
        <v>1042.1313986795681</v>
      </c>
      <c r="H183" s="2">
        <f t="shared" si="18"/>
        <v>867.52978318224325</v>
      </c>
      <c r="I183" s="15">
        <f t="shared" si="16"/>
        <v>0</v>
      </c>
      <c r="J183" s="2">
        <f t="shared" si="19"/>
        <v>201046.15510925787</v>
      </c>
      <c r="K183" s="2">
        <f t="shared" si="21"/>
        <v>260258.93495467296</v>
      </c>
    </row>
    <row r="184" spans="2:11">
      <c r="B184" s="18"/>
      <c r="C184" s="18"/>
      <c r="D184">
        <v>180</v>
      </c>
      <c r="E184" s="1">
        <v>48549</v>
      </c>
      <c r="F184" s="2">
        <f t="shared" si="20"/>
        <v>1909.6611818618114</v>
      </c>
      <c r="G184" s="2">
        <f t="shared" si="17"/>
        <v>1045.6051700085</v>
      </c>
      <c r="H184" s="2">
        <f t="shared" si="18"/>
        <v>864.05601185331136</v>
      </c>
      <c r="I184" s="15">
        <f t="shared" si="16"/>
        <v>0</v>
      </c>
      <c r="J184" s="2">
        <f t="shared" si="19"/>
        <v>201910.21112111118</v>
      </c>
      <c r="K184" s="2">
        <f t="shared" si="21"/>
        <v>259216.80355599339</v>
      </c>
    </row>
    <row r="185" spans="2:11">
      <c r="B185" s="18"/>
      <c r="C185" s="18"/>
      <c r="D185">
        <v>181</v>
      </c>
      <c r="E185" s="1">
        <v>48580</v>
      </c>
      <c r="F185" s="2">
        <f t="shared" si="20"/>
        <v>1909.6611818618114</v>
      </c>
      <c r="G185" s="2">
        <f t="shared" si="17"/>
        <v>1049.0905205751951</v>
      </c>
      <c r="H185" s="2">
        <f t="shared" si="18"/>
        <v>860.57066128661643</v>
      </c>
      <c r="I185" s="15">
        <f t="shared" si="16"/>
        <v>0</v>
      </c>
      <c r="J185" s="2">
        <f>IF(K185=0,0,J184+H185)</f>
        <v>202770.7817823978</v>
      </c>
      <c r="K185" s="2">
        <f t="shared" si="21"/>
        <v>258171.1983859849</v>
      </c>
    </row>
    <row r="186" spans="2:11">
      <c r="B186" s="18"/>
      <c r="C186" s="18"/>
      <c r="D186">
        <v>182</v>
      </c>
      <c r="E186" s="1">
        <v>48611</v>
      </c>
      <c r="F186" s="2">
        <f t="shared" si="20"/>
        <v>1909.6611818618114</v>
      </c>
      <c r="G186" s="2">
        <f t="shared" si="17"/>
        <v>1052.5874889771123</v>
      </c>
      <c r="H186" s="2">
        <f t="shared" si="18"/>
        <v>857.07369288469908</v>
      </c>
      <c r="I186" s="15">
        <f t="shared" si="16"/>
        <v>0</v>
      </c>
      <c r="J186" s="2">
        <f t="shared" si="19"/>
        <v>203627.8554752825</v>
      </c>
      <c r="K186" s="2">
        <f t="shared" si="21"/>
        <v>257122.10786540969</v>
      </c>
    </row>
    <row r="187" spans="2:11">
      <c r="B187" s="18"/>
      <c r="C187" s="18"/>
      <c r="D187">
        <v>183</v>
      </c>
      <c r="E187" s="1">
        <v>48639</v>
      </c>
      <c r="F187" s="2">
        <f t="shared" si="20"/>
        <v>1909.6611818618114</v>
      </c>
      <c r="G187" s="2">
        <f t="shared" si="17"/>
        <v>1056.0961139403694</v>
      </c>
      <c r="H187" s="2">
        <f t="shared" si="18"/>
        <v>853.56506792144194</v>
      </c>
      <c r="I187" s="15">
        <f t="shared" si="16"/>
        <v>0</v>
      </c>
      <c r="J187" s="2">
        <f t="shared" si="19"/>
        <v>204481.42054320395</v>
      </c>
      <c r="K187" s="2">
        <f t="shared" si="21"/>
        <v>256069.52037643257</v>
      </c>
    </row>
    <row r="188" spans="2:11">
      <c r="B188" s="18"/>
      <c r="C188" s="18"/>
      <c r="D188">
        <v>184</v>
      </c>
      <c r="E188" s="1">
        <v>48670</v>
      </c>
      <c r="F188" s="2">
        <f t="shared" si="20"/>
        <v>1909.6611818618114</v>
      </c>
      <c r="G188" s="2">
        <f t="shared" si="17"/>
        <v>1059.6164343201708</v>
      </c>
      <c r="H188" s="2">
        <f t="shared" si="18"/>
        <v>850.04474754164073</v>
      </c>
      <c r="I188" s="15">
        <f t="shared" si="16"/>
        <v>0</v>
      </c>
      <c r="J188" s="2">
        <f t="shared" si="19"/>
        <v>205331.46529074557</v>
      </c>
      <c r="K188" s="2">
        <f t="shared" si="21"/>
        <v>255013.42426249219</v>
      </c>
    </row>
    <row r="189" spans="2:11">
      <c r="B189" s="18"/>
      <c r="C189" s="18"/>
      <c r="D189">
        <v>185</v>
      </c>
      <c r="E189" s="1">
        <v>48700</v>
      </c>
      <c r="F189" s="2">
        <f t="shared" si="20"/>
        <v>1909.6611818618114</v>
      </c>
      <c r="G189" s="2">
        <f t="shared" si="17"/>
        <v>1063.1484891012378</v>
      </c>
      <c r="H189" s="2">
        <f t="shared" si="18"/>
        <v>846.51269276057349</v>
      </c>
      <c r="I189" s="15">
        <f t="shared" si="16"/>
        <v>0</v>
      </c>
      <c r="J189" s="2">
        <f t="shared" si="19"/>
        <v>206177.97798350613</v>
      </c>
      <c r="K189" s="2">
        <f t="shared" si="21"/>
        <v>253953.80782817202</v>
      </c>
    </row>
    <row r="190" spans="2:11">
      <c r="B190" s="18"/>
      <c r="C190" s="18"/>
      <c r="D190">
        <v>186</v>
      </c>
      <c r="E190" s="1">
        <v>48731</v>
      </c>
      <c r="F190" s="2">
        <f t="shared" si="20"/>
        <v>1909.6611818618114</v>
      </c>
      <c r="G190" s="2">
        <f t="shared" si="17"/>
        <v>1066.692317398242</v>
      </c>
      <c r="H190" s="2">
        <f t="shared" si="18"/>
        <v>842.96886446356939</v>
      </c>
      <c r="I190" s="15">
        <f t="shared" si="16"/>
        <v>0</v>
      </c>
      <c r="J190" s="2">
        <f t="shared" si="19"/>
        <v>207020.9468479697</v>
      </c>
      <c r="K190" s="2">
        <f t="shared" si="21"/>
        <v>252890.65933907079</v>
      </c>
    </row>
    <row r="191" spans="2:11">
      <c r="B191" s="18"/>
      <c r="C191" s="18"/>
      <c r="D191">
        <v>187</v>
      </c>
      <c r="E191" s="1">
        <v>48761</v>
      </c>
      <c r="F191" s="2">
        <f t="shared" si="20"/>
        <v>1909.6611818618114</v>
      </c>
      <c r="G191" s="2">
        <f t="shared" si="17"/>
        <v>1070.2479584562361</v>
      </c>
      <c r="H191" s="2">
        <f t="shared" si="18"/>
        <v>839.4132234055752</v>
      </c>
      <c r="I191" s="15">
        <f t="shared" si="16"/>
        <v>0</v>
      </c>
      <c r="J191" s="2">
        <f t="shared" si="19"/>
        <v>207860.36007137527</v>
      </c>
      <c r="K191" s="2">
        <f t="shared" si="21"/>
        <v>251823.96702167255</v>
      </c>
    </row>
    <row r="192" spans="2:11">
      <c r="B192" s="18"/>
      <c r="C192" s="18"/>
      <c r="D192">
        <v>188</v>
      </c>
      <c r="E192" s="1">
        <v>48792</v>
      </c>
      <c r="F192" s="2">
        <f t="shared" si="20"/>
        <v>1909.6611818618114</v>
      </c>
      <c r="G192" s="2">
        <f t="shared" si="17"/>
        <v>1073.8154516510904</v>
      </c>
      <c r="H192" s="2">
        <f t="shared" si="18"/>
        <v>835.84573021072117</v>
      </c>
      <c r="I192" s="15">
        <f t="shared" si="16"/>
        <v>0</v>
      </c>
      <c r="J192" s="2">
        <f t="shared" si="19"/>
        <v>208696.20580158598</v>
      </c>
      <c r="K192" s="2">
        <f t="shared" si="21"/>
        <v>250753.71906321633</v>
      </c>
    </row>
    <row r="193" spans="2:11">
      <c r="B193" s="18"/>
      <c r="C193" s="18"/>
      <c r="D193">
        <v>189</v>
      </c>
      <c r="E193" s="1">
        <v>48823</v>
      </c>
      <c r="F193" s="2">
        <f t="shared" si="20"/>
        <v>1909.6611818618114</v>
      </c>
      <c r="G193" s="2">
        <f t="shared" si="17"/>
        <v>1077.3948364899272</v>
      </c>
      <c r="H193" s="2">
        <f t="shared" si="18"/>
        <v>832.2663453718842</v>
      </c>
      <c r="I193" s="15">
        <f t="shared" si="16"/>
        <v>0</v>
      </c>
      <c r="J193" s="2">
        <f t="shared" si="19"/>
        <v>209528.47214695785</v>
      </c>
      <c r="K193" s="2">
        <f t="shared" si="21"/>
        <v>249679.90361156524</v>
      </c>
    </row>
    <row r="194" spans="2:11">
      <c r="B194" s="18"/>
      <c r="C194" s="18"/>
      <c r="D194">
        <v>190</v>
      </c>
      <c r="E194" s="1">
        <v>48853</v>
      </c>
      <c r="F194" s="2">
        <f t="shared" si="20"/>
        <v>1909.6611818618114</v>
      </c>
      <c r="G194" s="2">
        <f t="shared" si="17"/>
        <v>1080.9861526115603</v>
      </c>
      <c r="H194" s="2">
        <f t="shared" si="18"/>
        <v>828.6750292502511</v>
      </c>
      <c r="I194" s="15">
        <f t="shared" si="16"/>
        <v>0</v>
      </c>
      <c r="J194" s="2">
        <f t="shared" si="19"/>
        <v>210357.14717620809</v>
      </c>
      <c r="K194" s="2">
        <f t="shared" si="21"/>
        <v>248602.50877507532</v>
      </c>
    </row>
    <row r="195" spans="2:11">
      <c r="B195" s="18"/>
      <c r="C195" s="18"/>
      <c r="D195">
        <v>191</v>
      </c>
      <c r="E195" s="1">
        <v>48884</v>
      </c>
      <c r="F195" s="2">
        <f t="shared" si="20"/>
        <v>1909.6611818618114</v>
      </c>
      <c r="G195" s="2">
        <f t="shared" si="17"/>
        <v>1084.5894397869322</v>
      </c>
      <c r="H195" s="2">
        <f t="shared" si="18"/>
        <v>825.07174207487924</v>
      </c>
      <c r="I195" s="15">
        <f t="shared" si="16"/>
        <v>0</v>
      </c>
      <c r="J195" s="2">
        <f t="shared" si="19"/>
        <v>211182.21891828298</v>
      </c>
      <c r="K195" s="2">
        <f t="shared" si="21"/>
        <v>247521.52262246376</v>
      </c>
    </row>
    <row r="196" spans="2:11">
      <c r="B196" s="18"/>
      <c r="C196" s="18"/>
      <c r="D196">
        <v>192</v>
      </c>
      <c r="E196" s="1">
        <v>48914</v>
      </c>
      <c r="F196" s="2">
        <f t="shared" si="20"/>
        <v>1909.6611818618114</v>
      </c>
      <c r="G196" s="2">
        <f t="shared" si="17"/>
        <v>1088.2047379195553</v>
      </c>
      <c r="H196" s="2">
        <f t="shared" si="18"/>
        <v>821.4564439422561</v>
      </c>
      <c r="I196" s="15">
        <f t="shared" si="16"/>
        <v>0</v>
      </c>
      <c r="J196" s="2">
        <f t="shared" si="19"/>
        <v>212003.67536222524</v>
      </c>
      <c r="K196" s="2">
        <f t="shared" si="21"/>
        <v>246436.93318267682</v>
      </c>
    </row>
    <row r="197" spans="2:11">
      <c r="B197" s="18"/>
      <c r="C197" s="18"/>
      <c r="D197">
        <v>193</v>
      </c>
      <c r="E197" s="1">
        <v>48945</v>
      </c>
      <c r="F197" s="2">
        <f t="shared" si="20"/>
        <v>1909.6611818618114</v>
      </c>
      <c r="G197" s="2">
        <f t="shared" si="17"/>
        <v>1091.8320870459538</v>
      </c>
      <c r="H197" s="2">
        <f t="shared" si="18"/>
        <v>817.82909481585762</v>
      </c>
      <c r="I197" s="15">
        <f t="shared" ref="I197:I260" si="22">IF(AND(MOD(D197,12)=2, $B$2&gt;0,K197&gt;$B$2),$B$2,IF(K197=0,0,IF(D197&lt;=$B$3,$I$1,0)))</f>
        <v>0</v>
      </c>
      <c r="J197" s="2">
        <f t="shared" si="19"/>
        <v>212821.5044570411</v>
      </c>
      <c r="K197" s="2">
        <f t="shared" si="21"/>
        <v>245348.72844475726</v>
      </c>
    </row>
    <row r="198" spans="2:11">
      <c r="B198" s="18"/>
      <c r="C198" s="18"/>
      <c r="D198">
        <v>194</v>
      </c>
      <c r="E198" s="1">
        <v>48976</v>
      </c>
      <c r="F198" s="2">
        <f t="shared" si="20"/>
        <v>1909.6611818618114</v>
      </c>
      <c r="G198" s="2">
        <f t="shared" si="17"/>
        <v>1095.4715273361071</v>
      </c>
      <c r="H198" s="2">
        <f t="shared" si="18"/>
        <v>814.18965452570444</v>
      </c>
      <c r="I198" s="15">
        <f t="shared" si="22"/>
        <v>0</v>
      </c>
      <c r="J198" s="2">
        <f t="shared" si="19"/>
        <v>213635.69411156682</v>
      </c>
      <c r="K198" s="2">
        <f t="shared" si="21"/>
        <v>244256.89635771132</v>
      </c>
    </row>
    <row r="199" spans="2:11">
      <c r="B199" s="18"/>
      <c r="C199" s="18"/>
      <c r="D199">
        <v>195</v>
      </c>
      <c r="E199" s="1">
        <v>49004</v>
      </c>
      <c r="F199" s="2">
        <f t="shared" si="20"/>
        <v>1909.6611818618114</v>
      </c>
      <c r="G199" s="2">
        <f t="shared" ref="G199:G262" si="23">+F199-H199</f>
        <v>1099.1230990938939</v>
      </c>
      <c r="H199" s="2">
        <f t="shared" si="18"/>
        <v>810.53808276791744</v>
      </c>
      <c r="I199" s="15">
        <f t="shared" si="22"/>
        <v>0</v>
      </c>
      <c r="J199" s="2">
        <f t="shared" si="19"/>
        <v>214446.23219433473</v>
      </c>
      <c r="K199" s="2">
        <f t="shared" si="21"/>
        <v>243161.42483037521</v>
      </c>
    </row>
    <row r="200" spans="2:11">
      <c r="B200" s="18"/>
      <c r="C200" s="18"/>
      <c r="D200">
        <v>196</v>
      </c>
      <c r="E200" s="1">
        <v>49035</v>
      </c>
      <c r="F200" s="2">
        <f t="shared" si="20"/>
        <v>1909.6611818618114</v>
      </c>
      <c r="G200" s="2">
        <f t="shared" si="23"/>
        <v>1102.7868427575404</v>
      </c>
      <c r="H200" s="2">
        <f t="shared" ref="H200:H263" si="24">($G$2/12)*K200</f>
        <v>806.87433910427103</v>
      </c>
      <c r="I200" s="15">
        <f t="shared" si="22"/>
        <v>0</v>
      </c>
      <c r="J200" s="2">
        <f t="shared" ref="J200:J263" si="25">IF(K200=0,0,J199+H200)</f>
        <v>215253.10653343902</v>
      </c>
      <c r="K200" s="2">
        <f t="shared" si="21"/>
        <v>242062.3017312813</v>
      </c>
    </row>
    <row r="201" spans="2:11">
      <c r="B201" s="18"/>
      <c r="C201" s="18"/>
      <c r="D201">
        <v>197</v>
      </c>
      <c r="E201" s="1">
        <v>49065</v>
      </c>
      <c r="F201" s="2">
        <f t="shared" ref="F201:F264" si="26">IF( (K201+20)&lt;$F$5, H201+K201,I201+$G$1*($G$2/12)*(1+($G$2/12))^($G$3*12)/((1+($G$2/12))^($G$3*12)-1))</f>
        <v>1909.6611818618114</v>
      </c>
      <c r="G201" s="2">
        <f t="shared" si="23"/>
        <v>1106.4627989000655</v>
      </c>
      <c r="H201" s="2">
        <f t="shared" si="24"/>
        <v>803.19838296174589</v>
      </c>
      <c r="I201" s="15">
        <f t="shared" si="22"/>
        <v>0</v>
      </c>
      <c r="J201" s="2">
        <f t="shared" si="25"/>
        <v>216056.30491640075</v>
      </c>
      <c r="K201" s="2">
        <f t="shared" si="21"/>
        <v>240959.51488852376</v>
      </c>
    </row>
    <row r="202" spans="2:11">
      <c r="B202" s="18"/>
      <c r="C202" s="18"/>
      <c r="D202">
        <v>198</v>
      </c>
      <c r="E202" s="1">
        <v>49096</v>
      </c>
      <c r="F202" s="2">
        <f t="shared" si="26"/>
        <v>1909.6611818618114</v>
      </c>
      <c r="G202" s="2">
        <f t="shared" si="23"/>
        <v>1110.1510082297323</v>
      </c>
      <c r="H202" s="2">
        <f t="shared" si="24"/>
        <v>799.51017363207905</v>
      </c>
      <c r="I202" s="15">
        <f t="shared" si="22"/>
        <v>0</v>
      </c>
      <c r="J202" s="2">
        <f t="shared" si="25"/>
        <v>216855.81509003282</v>
      </c>
      <c r="K202" s="2">
        <f t="shared" ref="K202:K265" si="27">K201-G201</f>
        <v>239853.0520896237</v>
      </c>
    </row>
    <row r="203" spans="2:11">
      <c r="B203" s="18"/>
      <c r="C203" s="18"/>
      <c r="D203">
        <v>199</v>
      </c>
      <c r="E203" s="1">
        <v>49126</v>
      </c>
      <c r="F203" s="2">
        <f t="shared" si="26"/>
        <v>1909.6611818618114</v>
      </c>
      <c r="G203" s="2">
        <f t="shared" si="23"/>
        <v>1113.8515115904981</v>
      </c>
      <c r="H203" s="2">
        <f t="shared" si="24"/>
        <v>795.80967027131328</v>
      </c>
      <c r="I203" s="15">
        <f t="shared" si="22"/>
        <v>0</v>
      </c>
      <c r="J203" s="2">
        <f t="shared" si="25"/>
        <v>217651.62476030414</v>
      </c>
      <c r="K203" s="2">
        <f t="shared" si="27"/>
        <v>238742.90108139397</v>
      </c>
    </row>
    <row r="204" spans="2:11">
      <c r="B204" s="18"/>
      <c r="C204" s="18"/>
      <c r="D204">
        <v>200</v>
      </c>
      <c r="E204" s="1">
        <v>49157</v>
      </c>
      <c r="F204" s="2">
        <f t="shared" si="26"/>
        <v>1909.6611818618114</v>
      </c>
      <c r="G204" s="2">
        <f t="shared" si="23"/>
        <v>1117.5643499624666</v>
      </c>
      <c r="H204" s="2">
        <f t="shared" si="24"/>
        <v>792.09683189934492</v>
      </c>
      <c r="I204" s="15">
        <f t="shared" si="22"/>
        <v>0</v>
      </c>
      <c r="J204" s="2">
        <f t="shared" si="25"/>
        <v>218443.72159220348</v>
      </c>
      <c r="K204" s="2">
        <f t="shared" si="27"/>
        <v>237629.04956980346</v>
      </c>
    </row>
    <row r="205" spans="2:11">
      <c r="B205" s="18"/>
      <c r="C205" s="18"/>
      <c r="D205">
        <v>201</v>
      </c>
      <c r="E205" s="1">
        <v>49188</v>
      </c>
      <c r="F205" s="2">
        <f t="shared" si="26"/>
        <v>1909.6611818618114</v>
      </c>
      <c r="G205" s="2">
        <f t="shared" si="23"/>
        <v>1121.2895644623413</v>
      </c>
      <c r="H205" s="2">
        <f t="shared" si="24"/>
        <v>788.3716173994701</v>
      </c>
      <c r="I205" s="15">
        <f t="shared" si="22"/>
        <v>0</v>
      </c>
      <c r="J205" s="2">
        <f t="shared" si="25"/>
        <v>219232.09320960296</v>
      </c>
      <c r="K205" s="2">
        <f t="shared" si="27"/>
        <v>236511.48521984101</v>
      </c>
    </row>
    <row r="206" spans="2:11">
      <c r="B206" s="18"/>
      <c r="C206" s="18"/>
      <c r="D206">
        <v>202</v>
      </c>
      <c r="E206" s="1">
        <v>49218</v>
      </c>
      <c r="F206" s="2">
        <f t="shared" si="26"/>
        <v>1909.6611818618114</v>
      </c>
      <c r="G206" s="2">
        <f t="shared" si="23"/>
        <v>1125.0271963438827</v>
      </c>
      <c r="H206" s="2">
        <f t="shared" si="24"/>
        <v>784.63398551792886</v>
      </c>
      <c r="I206" s="15">
        <f t="shared" si="22"/>
        <v>0</v>
      </c>
      <c r="J206" s="2">
        <f t="shared" si="25"/>
        <v>220016.72719512088</v>
      </c>
      <c r="K206" s="2">
        <f t="shared" si="27"/>
        <v>235390.19565537866</v>
      </c>
    </row>
    <row r="207" spans="2:11">
      <c r="B207" s="18"/>
      <c r="C207" s="18"/>
      <c r="D207">
        <v>203</v>
      </c>
      <c r="E207" s="1">
        <v>49249</v>
      </c>
      <c r="F207" s="2">
        <f t="shared" si="26"/>
        <v>1909.6611818618114</v>
      </c>
      <c r="G207" s="2">
        <f t="shared" si="23"/>
        <v>1128.7772869983621</v>
      </c>
      <c r="H207" s="2">
        <f t="shared" si="24"/>
        <v>780.88389486344931</v>
      </c>
      <c r="I207" s="15">
        <f t="shared" si="22"/>
        <v>0</v>
      </c>
      <c r="J207" s="2">
        <f t="shared" si="25"/>
        <v>220797.61108998433</v>
      </c>
      <c r="K207" s="2">
        <f t="shared" si="27"/>
        <v>234265.16845903479</v>
      </c>
    </row>
    <row r="208" spans="2:11">
      <c r="B208" s="18"/>
      <c r="C208" s="18"/>
      <c r="D208">
        <v>204</v>
      </c>
      <c r="E208" s="1">
        <v>49279</v>
      </c>
      <c r="F208" s="2">
        <f t="shared" si="26"/>
        <v>1909.6611818618114</v>
      </c>
      <c r="G208" s="2">
        <f t="shared" si="23"/>
        <v>1132.5398779550233</v>
      </c>
      <c r="H208" s="2">
        <f t="shared" si="24"/>
        <v>777.12130390678806</v>
      </c>
      <c r="I208" s="15">
        <f t="shared" si="22"/>
        <v>0</v>
      </c>
      <c r="J208" s="2">
        <f t="shared" si="25"/>
        <v>221574.73239389111</v>
      </c>
      <c r="K208" s="2">
        <f t="shared" si="27"/>
        <v>233136.39117203641</v>
      </c>
    </row>
    <row r="209" spans="2:11">
      <c r="B209" s="17"/>
      <c r="C209" s="17"/>
      <c r="D209">
        <v>205</v>
      </c>
      <c r="E209" s="1">
        <v>49310</v>
      </c>
      <c r="F209" s="2">
        <f t="shared" si="26"/>
        <v>1909.6611818618114</v>
      </c>
      <c r="G209" s="2">
        <f t="shared" si="23"/>
        <v>1136.31501088154</v>
      </c>
      <c r="H209" s="2">
        <f t="shared" si="24"/>
        <v>773.34617098027138</v>
      </c>
      <c r="I209" s="15">
        <f t="shared" si="22"/>
        <v>0</v>
      </c>
      <c r="J209" s="2">
        <f t="shared" si="25"/>
        <v>222348.07856487139</v>
      </c>
      <c r="K209" s="2">
        <f t="shared" si="27"/>
        <v>232003.8512940814</v>
      </c>
    </row>
    <row r="210" spans="2:11">
      <c r="B210" s="18"/>
      <c r="C210" s="18"/>
      <c r="D210">
        <v>206</v>
      </c>
      <c r="E210" s="1">
        <v>49341</v>
      </c>
      <c r="F210" s="2">
        <f t="shared" si="26"/>
        <v>1909.6611818618114</v>
      </c>
      <c r="G210" s="2">
        <f t="shared" si="23"/>
        <v>1140.1027275844785</v>
      </c>
      <c r="H210" s="2">
        <f t="shared" si="24"/>
        <v>769.55845427733288</v>
      </c>
      <c r="I210" s="15">
        <f t="shared" si="22"/>
        <v>0</v>
      </c>
      <c r="J210" s="2">
        <f t="shared" si="25"/>
        <v>223117.63701914874</v>
      </c>
      <c r="K210" s="2">
        <f t="shared" si="27"/>
        <v>230867.53628319985</v>
      </c>
    </row>
    <row r="211" spans="2:11">
      <c r="B211" s="17"/>
      <c r="C211" s="17"/>
      <c r="D211">
        <v>207</v>
      </c>
      <c r="E211" s="1">
        <v>49369</v>
      </c>
      <c r="F211" s="2">
        <f t="shared" si="26"/>
        <v>1909.6611818618114</v>
      </c>
      <c r="G211" s="2">
        <f t="shared" si="23"/>
        <v>1143.9030700097601</v>
      </c>
      <c r="H211" s="2">
        <f t="shared" si="24"/>
        <v>765.75811185205123</v>
      </c>
      <c r="I211" s="15">
        <f t="shared" si="22"/>
        <v>0</v>
      </c>
      <c r="J211" s="2">
        <f t="shared" si="25"/>
        <v>223883.39513100078</v>
      </c>
      <c r="K211" s="2">
        <f t="shared" si="27"/>
        <v>229727.43355561537</v>
      </c>
    </row>
    <row r="212" spans="2:11">
      <c r="B212" s="18"/>
      <c r="C212" s="18"/>
      <c r="D212">
        <v>208</v>
      </c>
      <c r="E212" s="1">
        <v>49400</v>
      </c>
      <c r="F212" s="2">
        <f t="shared" si="26"/>
        <v>1909.6611818618114</v>
      </c>
      <c r="G212" s="2">
        <f t="shared" si="23"/>
        <v>1147.716080243126</v>
      </c>
      <c r="H212" s="2">
        <f t="shared" si="24"/>
        <v>761.94510161868538</v>
      </c>
      <c r="I212" s="15">
        <f t="shared" si="22"/>
        <v>0</v>
      </c>
      <c r="J212" s="2">
        <f t="shared" si="25"/>
        <v>224645.34023261946</v>
      </c>
      <c r="K212" s="2">
        <f t="shared" si="27"/>
        <v>228583.53048560562</v>
      </c>
    </row>
    <row r="213" spans="2:11">
      <c r="B213" s="17"/>
      <c r="C213" s="17"/>
      <c r="D213">
        <v>209</v>
      </c>
      <c r="E213" s="1">
        <v>49430</v>
      </c>
      <c r="F213" s="2">
        <f t="shared" si="26"/>
        <v>1909.6611818618114</v>
      </c>
      <c r="G213" s="2">
        <f t="shared" si="23"/>
        <v>1151.541800510603</v>
      </c>
      <c r="H213" s="2">
        <f t="shared" si="24"/>
        <v>758.1193813512084</v>
      </c>
      <c r="I213" s="15">
        <f t="shared" si="22"/>
        <v>0</v>
      </c>
      <c r="J213" s="2">
        <f t="shared" si="25"/>
        <v>225403.45961397068</v>
      </c>
      <c r="K213" s="2">
        <f t="shared" si="27"/>
        <v>227435.8144053625</v>
      </c>
    </row>
    <row r="214" spans="2:11">
      <c r="B214" s="18"/>
      <c r="C214" s="18"/>
      <c r="D214">
        <v>210</v>
      </c>
      <c r="E214" s="1">
        <v>49461</v>
      </c>
      <c r="F214" s="2">
        <f t="shared" si="26"/>
        <v>1909.6611818618114</v>
      </c>
      <c r="G214" s="2">
        <f t="shared" si="23"/>
        <v>1155.3802731789717</v>
      </c>
      <c r="H214" s="2">
        <f t="shared" si="24"/>
        <v>754.28090868283971</v>
      </c>
      <c r="I214" s="15">
        <f t="shared" si="22"/>
        <v>0</v>
      </c>
      <c r="J214" s="2">
        <f t="shared" si="25"/>
        <v>226157.74052265353</v>
      </c>
      <c r="K214" s="2">
        <f t="shared" si="27"/>
        <v>226284.2726048519</v>
      </c>
    </row>
    <row r="215" spans="2:11">
      <c r="B215" s="17"/>
      <c r="C215" s="17"/>
      <c r="D215">
        <v>211</v>
      </c>
      <c r="E215" s="1">
        <v>49491</v>
      </c>
      <c r="F215" s="2">
        <f t="shared" si="26"/>
        <v>1909.6611818618114</v>
      </c>
      <c r="G215" s="2">
        <f t="shared" si="23"/>
        <v>1159.2315407562351</v>
      </c>
      <c r="H215" s="2">
        <f t="shared" si="24"/>
        <v>750.42964110557648</v>
      </c>
      <c r="I215" s="15">
        <f t="shared" si="22"/>
        <v>0</v>
      </c>
      <c r="J215" s="2">
        <f t="shared" si="25"/>
        <v>226908.17016375912</v>
      </c>
      <c r="K215" s="2">
        <f t="shared" si="27"/>
        <v>225128.89233167292</v>
      </c>
    </row>
    <row r="216" spans="2:11">
      <c r="B216" s="18"/>
      <c r="C216" s="18"/>
      <c r="D216">
        <v>212</v>
      </c>
      <c r="E216" s="1">
        <v>49522</v>
      </c>
      <c r="F216" s="2">
        <f t="shared" si="26"/>
        <v>1909.6611818618114</v>
      </c>
      <c r="G216" s="2">
        <f t="shared" si="23"/>
        <v>1163.0956458920891</v>
      </c>
      <c r="H216" s="2">
        <f t="shared" si="24"/>
        <v>746.5655359697223</v>
      </c>
      <c r="I216" s="15">
        <f t="shared" si="22"/>
        <v>0</v>
      </c>
      <c r="J216" s="2">
        <f t="shared" si="25"/>
        <v>227654.73569972883</v>
      </c>
      <c r="K216" s="2">
        <f t="shared" si="27"/>
        <v>223969.66079091668</v>
      </c>
    </row>
    <row r="217" spans="2:11">
      <c r="B217" s="17"/>
      <c r="C217" s="17"/>
      <c r="D217">
        <v>213</v>
      </c>
      <c r="E217" s="1">
        <v>49553</v>
      </c>
      <c r="F217" s="2">
        <f t="shared" si="26"/>
        <v>1909.6611818618114</v>
      </c>
      <c r="G217" s="2">
        <f t="shared" si="23"/>
        <v>1166.972631378396</v>
      </c>
      <c r="H217" s="2">
        <f t="shared" si="24"/>
        <v>742.68855048341538</v>
      </c>
      <c r="I217" s="15">
        <f t="shared" si="22"/>
        <v>0</v>
      </c>
      <c r="J217" s="2">
        <f t="shared" si="25"/>
        <v>228397.42425021224</v>
      </c>
      <c r="K217" s="2">
        <f t="shared" si="27"/>
        <v>222806.56514502459</v>
      </c>
    </row>
    <row r="218" spans="2:11">
      <c r="B218" s="18"/>
      <c r="C218" s="18"/>
      <c r="D218">
        <v>214</v>
      </c>
      <c r="E218" s="1">
        <v>49583</v>
      </c>
      <c r="F218" s="2">
        <f t="shared" si="26"/>
        <v>1909.6611818618114</v>
      </c>
      <c r="G218" s="2">
        <f t="shared" si="23"/>
        <v>1170.8625401496574</v>
      </c>
      <c r="H218" s="2">
        <f t="shared" si="24"/>
        <v>738.79864171215411</v>
      </c>
      <c r="I218" s="15">
        <f t="shared" si="22"/>
        <v>0</v>
      </c>
      <c r="J218" s="2">
        <f t="shared" si="25"/>
        <v>229136.22289192438</v>
      </c>
      <c r="K218" s="2">
        <f t="shared" si="27"/>
        <v>221639.5925136462</v>
      </c>
    </row>
    <row r="219" spans="2:11">
      <c r="B219" s="17"/>
      <c r="C219" s="17"/>
      <c r="D219">
        <v>215</v>
      </c>
      <c r="E219" s="1">
        <v>49614</v>
      </c>
      <c r="F219" s="2">
        <f t="shared" si="26"/>
        <v>1909.6611818618114</v>
      </c>
      <c r="G219" s="2">
        <f t="shared" si="23"/>
        <v>1174.7654152834896</v>
      </c>
      <c r="H219" s="2">
        <f t="shared" si="24"/>
        <v>734.89576657832185</v>
      </c>
      <c r="I219" s="15">
        <f t="shared" si="22"/>
        <v>0</v>
      </c>
      <c r="J219" s="2">
        <f t="shared" si="25"/>
        <v>229871.1186585027</v>
      </c>
      <c r="K219" s="2">
        <f t="shared" si="27"/>
        <v>220468.72997349655</v>
      </c>
    </row>
    <row r="220" spans="2:11">
      <c r="B220" s="18"/>
      <c r="C220" s="18"/>
      <c r="D220">
        <v>216</v>
      </c>
      <c r="E220" s="1">
        <v>49644</v>
      </c>
      <c r="F220" s="2">
        <f t="shared" si="26"/>
        <v>1909.6611818618114</v>
      </c>
      <c r="G220" s="2">
        <f t="shared" si="23"/>
        <v>1178.6813000011011</v>
      </c>
      <c r="H220" s="2">
        <f t="shared" si="24"/>
        <v>730.97988186071018</v>
      </c>
      <c r="I220" s="15">
        <f t="shared" si="22"/>
        <v>0</v>
      </c>
      <c r="J220" s="2">
        <f t="shared" si="25"/>
        <v>230602.09854036343</v>
      </c>
      <c r="K220" s="2">
        <f t="shared" si="27"/>
        <v>219293.96455821305</v>
      </c>
    </row>
    <row r="221" spans="2:11">
      <c r="B221" s="17"/>
      <c r="C221" s="17"/>
      <c r="D221">
        <v>217</v>
      </c>
      <c r="E221" s="1">
        <v>49675</v>
      </c>
      <c r="F221" s="2">
        <f t="shared" si="26"/>
        <v>1909.6611818618114</v>
      </c>
      <c r="G221" s="2">
        <f t="shared" si="23"/>
        <v>1182.6102376677716</v>
      </c>
      <c r="H221" s="2">
        <f t="shared" si="24"/>
        <v>727.05094419403986</v>
      </c>
      <c r="I221" s="15">
        <f t="shared" si="22"/>
        <v>0</v>
      </c>
      <c r="J221" s="2">
        <f t="shared" si="25"/>
        <v>231329.14948455748</v>
      </c>
      <c r="K221" s="2">
        <f t="shared" si="27"/>
        <v>218115.28325821194</v>
      </c>
    </row>
    <row r="222" spans="2:11">
      <c r="B222" s="18"/>
      <c r="C222" s="18"/>
      <c r="D222">
        <v>218</v>
      </c>
      <c r="E222" s="1">
        <v>49706</v>
      </c>
      <c r="F222" s="2">
        <f t="shared" si="26"/>
        <v>1909.6611818618114</v>
      </c>
      <c r="G222" s="2">
        <f t="shared" si="23"/>
        <v>1186.5522717933309</v>
      </c>
      <c r="H222" s="2">
        <f t="shared" si="24"/>
        <v>723.10891006848067</v>
      </c>
      <c r="I222" s="15">
        <f t="shared" si="22"/>
        <v>0</v>
      </c>
      <c r="J222" s="2">
        <f t="shared" si="25"/>
        <v>232052.25839462597</v>
      </c>
      <c r="K222" s="2">
        <f t="shared" si="27"/>
        <v>216932.67302054417</v>
      </c>
    </row>
    <row r="223" spans="2:11">
      <c r="B223" s="17"/>
      <c r="C223" s="17"/>
      <c r="D223">
        <v>219</v>
      </c>
      <c r="E223" s="1">
        <v>49735</v>
      </c>
      <c r="F223" s="2">
        <f t="shared" si="26"/>
        <v>1909.6611818618114</v>
      </c>
      <c r="G223" s="2">
        <f t="shared" si="23"/>
        <v>1190.5074460326418</v>
      </c>
      <c r="H223" s="2">
        <f t="shared" si="24"/>
        <v>719.15373582916948</v>
      </c>
      <c r="I223" s="15">
        <f t="shared" si="22"/>
        <v>0</v>
      </c>
      <c r="J223" s="2">
        <f t="shared" si="25"/>
        <v>232771.41213045514</v>
      </c>
      <c r="K223" s="2">
        <f t="shared" si="27"/>
        <v>215746.12074875084</v>
      </c>
    </row>
    <row r="224" spans="2:11">
      <c r="B224" s="18"/>
      <c r="C224" s="18"/>
      <c r="D224">
        <v>220</v>
      </c>
      <c r="E224" s="1">
        <v>49766</v>
      </c>
      <c r="F224" s="2">
        <f t="shared" si="26"/>
        <v>1909.6611818618114</v>
      </c>
      <c r="G224" s="2">
        <f t="shared" si="23"/>
        <v>1194.4758041860841</v>
      </c>
      <c r="H224" s="2">
        <f t="shared" si="24"/>
        <v>715.18537767572741</v>
      </c>
      <c r="I224" s="15">
        <f t="shared" si="22"/>
        <v>0</v>
      </c>
      <c r="J224" s="2">
        <f t="shared" si="25"/>
        <v>233486.59750813086</v>
      </c>
      <c r="K224" s="2">
        <f t="shared" si="27"/>
        <v>214555.61330271821</v>
      </c>
    </row>
    <row r="225" spans="2:11">
      <c r="B225" s="17"/>
      <c r="C225" s="17"/>
      <c r="D225">
        <v>221</v>
      </c>
      <c r="E225" s="1">
        <v>49796</v>
      </c>
      <c r="F225" s="2">
        <f t="shared" si="26"/>
        <v>1909.6611818618114</v>
      </c>
      <c r="G225" s="2">
        <f t="shared" si="23"/>
        <v>1198.4573902000375</v>
      </c>
      <c r="H225" s="2">
        <f t="shared" si="24"/>
        <v>711.20379166177383</v>
      </c>
      <c r="I225" s="15">
        <f t="shared" si="22"/>
        <v>0</v>
      </c>
      <c r="J225" s="2">
        <f t="shared" si="25"/>
        <v>234197.80129979263</v>
      </c>
      <c r="K225" s="2">
        <f t="shared" si="27"/>
        <v>213361.13749853213</v>
      </c>
    </row>
    <row r="226" spans="2:11">
      <c r="B226" s="18"/>
      <c r="C226" s="18"/>
      <c r="D226">
        <v>222</v>
      </c>
      <c r="E226" s="1">
        <v>49827</v>
      </c>
      <c r="F226" s="2">
        <f t="shared" si="26"/>
        <v>1909.6611818618114</v>
      </c>
      <c r="G226" s="2">
        <f t="shared" si="23"/>
        <v>1202.4522481673712</v>
      </c>
      <c r="H226" s="2">
        <f t="shared" si="24"/>
        <v>707.20893369444036</v>
      </c>
      <c r="I226" s="15">
        <f t="shared" si="22"/>
        <v>0</v>
      </c>
      <c r="J226" s="2">
        <f t="shared" si="25"/>
        <v>234905.01023348706</v>
      </c>
      <c r="K226" s="2">
        <f t="shared" si="27"/>
        <v>212162.6801083321</v>
      </c>
    </row>
    <row r="227" spans="2:11">
      <c r="B227" s="17"/>
      <c r="C227" s="17"/>
      <c r="D227">
        <v>223</v>
      </c>
      <c r="E227" s="1">
        <v>49857</v>
      </c>
      <c r="F227" s="2">
        <f t="shared" si="26"/>
        <v>1909.6611818618114</v>
      </c>
      <c r="G227" s="2">
        <f t="shared" si="23"/>
        <v>1206.4604223279289</v>
      </c>
      <c r="H227" s="2">
        <f t="shared" si="24"/>
        <v>703.20075953388255</v>
      </c>
      <c r="I227" s="15">
        <f t="shared" si="22"/>
        <v>0</v>
      </c>
      <c r="J227" s="2">
        <f t="shared" si="25"/>
        <v>235608.21099302094</v>
      </c>
      <c r="K227" s="2">
        <f t="shared" si="27"/>
        <v>210960.22786016474</v>
      </c>
    </row>
    <row r="228" spans="2:11">
      <c r="B228" s="18"/>
      <c r="C228" s="18"/>
      <c r="D228">
        <v>224</v>
      </c>
      <c r="E228" s="1">
        <v>49888</v>
      </c>
      <c r="F228" s="2">
        <f t="shared" si="26"/>
        <v>1909.6611818618114</v>
      </c>
      <c r="G228" s="2">
        <f t="shared" si="23"/>
        <v>1210.481957069022</v>
      </c>
      <c r="H228" s="2">
        <f t="shared" si="24"/>
        <v>699.17922479278946</v>
      </c>
      <c r="I228" s="15">
        <f t="shared" si="22"/>
        <v>0</v>
      </c>
      <c r="J228" s="2">
        <f t="shared" si="25"/>
        <v>236307.39021781372</v>
      </c>
      <c r="K228" s="2">
        <f t="shared" si="27"/>
        <v>209753.76743783682</v>
      </c>
    </row>
    <row r="229" spans="2:11">
      <c r="B229" s="17"/>
      <c r="C229" s="17"/>
      <c r="D229">
        <v>225</v>
      </c>
      <c r="E229" s="1">
        <v>49919</v>
      </c>
      <c r="F229" s="2">
        <f t="shared" si="26"/>
        <v>1909.6611818618114</v>
      </c>
      <c r="G229" s="2">
        <f t="shared" si="23"/>
        <v>1214.5168969259187</v>
      </c>
      <c r="H229" s="2">
        <f t="shared" si="24"/>
        <v>695.14428493589276</v>
      </c>
      <c r="I229" s="15">
        <f t="shared" si="22"/>
        <v>0</v>
      </c>
      <c r="J229" s="2">
        <f t="shared" si="25"/>
        <v>237002.53450274962</v>
      </c>
      <c r="K229" s="2">
        <f t="shared" si="27"/>
        <v>208543.28548076781</v>
      </c>
    </row>
    <row r="230" spans="2:11">
      <c r="B230" s="18"/>
      <c r="C230" s="18"/>
      <c r="D230">
        <v>226</v>
      </c>
      <c r="E230" s="1">
        <v>49949</v>
      </c>
      <c r="F230" s="2">
        <f t="shared" si="26"/>
        <v>1909.6611818618114</v>
      </c>
      <c r="G230" s="2">
        <f t="shared" si="23"/>
        <v>1218.5652865823386</v>
      </c>
      <c r="H230" s="2">
        <f t="shared" si="24"/>
        <v>691.09589527947298</v>
      </c>
      <c r="I230" s="15">
        <f t="shared" si="22"/>
        <v>0</v>
      </c>
      <c r="J230" s="2">
        <f t="shared" si="25"/>
        <v>237693.63039802908</v>
      </c>
      <c r="K230" s="2">
        <f t="shared" si="27"/>
        <v>207328.76858384188</v>
      </c>
    </row>
    <row r="231" spans="2:11">
      <c r="B231" s="17"/>
      <c r="C231" s="17"/>
      <c r="D231">
        <v>227</v>
      </c>
      <c r="E231" s="1">
        <v>49980</v>
      </c>
      <c r="F231" s="2">
        <f t="shared" si="26"/>
        <v>1909.6611818618114</v>
      </c>
      <c r="G231" s="2">
        <f t="shared" si="23"/>
        <v>1222.6271708709462</v>
      </c>
      <c r="H231" s="2">
        <f t="shared" si="24"/>
        <v>687.03401099086523</v>
      </c>
      <c r="I231" s="15">
        <f t="shared" si="22"/>
        <v>0</v>
      </c>
      <c r="J231" s="2">
        <f t="shared" si="25"/>
        <v>238380.66440901996</v>
      </c>
      <c r="K231" s="2">
        <f t="shared" si="27"/>
        <v>206110.20329725955</v>
      </c>
    </row>
    <row r="232" spans="2:11">
      <c r="B232" s="18"/>
      <c r="C232" s="18"/>
      <c r="D232">
        <v>228</v>
      </c>
      <c r="E232" s="1">
        <v>50010</v>
      </c>
      <c r="F232" s="2">
        <f t="shared" si="26"/>
        <v>1909.6611818618114</v>
      </c>
      <c r="G232" s="2">
        <f t="shared" si="23"/>
        <v>1226.7025947738493</v>
      </c>
      <c r="H232" s="2">
        <f t="shared" si="24"/>
        <v>682.95858708796197</v>
      </c>
      <c r="I232" s="15">
        <f t="shared" si="22"/>
        <v>0</v>
      </c>
      <c r="J232" s="2">
        <f t="shared" si="25"/>
        <v>239063.62299610791</v>
      </c>
      <c r="K232" s="2">
        <f t="shared" si="27"/>
        <v>204887.57612638859</v>
      </c>
    </row>
    <row r="233" spans="2:11">
      <c r="B233" s="17"/>
      <c r="C233" s="17"/>
      <c r="D233">
        <v>229</v>
      </c>
      <c r="E233" s="1">
        <v>50041</v>
      </c>
      <c r="F233" s="2">
        <f t="shared" si="26"/>
        <v>1909.6611818618114</v>
      </c>
      <c r="G233" s="2">
        <f t="shared" si="23"/>
        <v>1230.7916034230957</v>
      </c>
      <c r="H233" s="2">
        <f t="shared" si="24"/>
        <v>678.86957843871585</v>
      </c>
      <c r="I233" s="15">
        <f t="shared" si="22"/>
        <v>0</v>
      </c>
      <c r="J233" s="2">
        <f t="shared" si="25"/>
        <v>239742.49257454663</v>
      </c>
      <c r="K233" s="2">
        <f t="shared" si="27"/>
        <v>203660.87353161475</v>
      </c>
    </row>
    <row r="234" spans="2:11">
      <c r="B234" s="18"/>
      <c r="C234" s="18"/>
      <c r="D234">
        <v>230</v>
      </c>
      <c r="E234" s="1">
        <v>50072</v>
      </c>
      <c r="F234" s="2">
        <f t="shared" si="26"/>
        <v>1909.6611818618114</v>
      </c>
      <c r="G234" s="2">
        <f t="shared" si="23"/>
        <v>1234.8942421011725</v>
      </c>
      <c r="H234" s="2">
        <f t="shared" si="24"/>
        <v>674.76693976063882</v>
      </c>
      <c r="I234" s="15">
        <f t="shared" si="22"/>
        <v>0</v>
      </c>
      <c r="J234" s="2">
        <f t="shared" si="25"/>
        <v>240417.25951430728</v>
      </c>
      <c r="K234" s="2">
        <f t="shared" si="27"/>
        <v>202430.08192819165</v>
      </c>
    </row>
    <row r="235" spans="2:11">
      <c r="B235" s="17"/>
      <c r="C235" s="17"/>
      <c r="D235">
        <v>231</v>
      </c>
      <c r="E235" s="1">
        <v>50100</v>
      </c>
      <c r="F235" s="2">
        <f t="shared" si="26"/>
        <v>1909.6611818618114</v>
      </c>
      <c r="G235" s="2">
        <f t="shared" si="23"/>
        <v>1239.0105562415097</v>
      </c>
      <c r="H235" s="2">
        <f t="shared" si="24"/>
        <v>670.65062562030164</v>
      </c>
      <c r="I235" s="15">
        <f t="shared" si="22"/>
        <v>0</v>
      </c>
      <c r="J235" s="2">
        <f t="shared" si="25"/>
        <v>241087.91013992758</v>
      </c>
      <c r="K235" s="2">
        <f t="shared" si="27"/>
        <v>201195.18768609047</v>
      </c>
    </row>
    <row r="236" spans="2:11">
      <c r="B236" s="18"/>
      <c r="C236" s="18"/>
      <c r="D236">
        <v>232</v>
      </c>
      <c r="E236" s="1">
        <v>50131</v>
      </c>
      <c r="F236" s="2">
        <f t="shared" si="26"/>
        <v>1909.6611818618114</v>
      </c>
      <c r="G236" s="2">
        <f t="shared" si="23"/>
        <v>1243.1405914289815</v>
      </c>
      <c r="H236" s="2">
        <f t="shared" si="24"/>
        <v>666.52059043282998</v>
      </c>
      <c r="I236" s="15">
        <f t="shared" si="22"/>
        <v>0</v>
      </c>
      <c r="J236" s="2">
        <f t="shared" si="25"/>
        <v>241754.43073036041</v>
      </c>
      <c r="K236" s="2">
        <f t="shared" si="27"/>
        <v>199956.17712984898</v>
      </c>
    </row>
    <row r="237" spans="2:11">
      <c r="B237" s="17"/>
      <c r="C237" s="17"/>
      <c r="D237">
        <v>233</v>
      </c>
      <c r="E237" s="1">
        <v>50161</v>
      </c>
      <c r="F237" s="2">
        <f t="shared" si="26"/>
        <v>1909.6611818618114</v>
      </c>
      <c r="G237" s="2">
        <f t="shared" si="23"/>
        <v>1247.2843934004113</v>
      </c>
      <c r="H237" s="2">
        <f t="shared" si="24"/>
        <v>662.3767884614</v>
      </c>
      <c r="I237" s="15">
        <f t="shared" si="22"/>
        <v>0</v>
      </c>
      <c r="J237" s="2">
        <f t="shared" si="25"/>
        <v>242416.80751882182</v>
      </c>
      <c r="K237" s="2">
        <f t="shared" si="27"/>
        <v>198713.03653841998</v>
      </c>
    </row>
    <row r="238" spans="2:11">
      <c r="B238" s="18"/>
      <c r="C238" s="18"/>
      <c r="D238">
        <v>234</v>
      </c>
      <c r="E238" s="1">
        <v>50192</v>
      </c>
      <c r="F238" s="2">
        <f t="shared" si="26"/>
        <v>1909.6611818618114</v>
      </c>
      <c r="G238" s="2">
        <f t="shared" si="23"/>
        <v>1251.4420080450795</v>
      </c>
      <c r="H238" s="2">
        <f t="shared" si="24"/>
        <v>658.21917381673188</v>
      </c>
      <c r="I238" s="15">
        <f t="shared" si="22"/>
        <v>0</v>
      </c>
      <c r="J238" s="2">
        <f t="shared" si="25"/>
        <v>243075.02669263855</v>
      </c>
      <c r="K238" s="2">
        <f t="shared" si="27"/>
        <v>197465.75214501956</v>
      </c>
    </row>
    <row r="239" spans="2:11">
      <c r="B239" s="17"/>
      <c r="C239" s="17"/>
      <c r="D239">
        <v>235</v>
      </c>
      <c r="E239" s="1">
        <v>50222</v>
      </c>
      <c r="F239" s="2">
        <f t="shared" si="26"/>
        <v>1909.6611818618114</v>
      </c>
      <c r="G239" s="2">
        <f t="shared" si="23"/>
        <v>1255.6134814052298</v>
      </c>
      <c r="H239" s="2">
        <f t="shared" si="24"/>
        <v>654.04770045658165</v>
      </c>
      <c r="I239" s="15">
        <f t="shared" si="22"/>
        <v>0</v>
      </c>
      <c r="J239" s="2">
        <f t="shared" si="25"/>
        <v>243729.07439309513</v>
      </c>
      <c r="K239" s="2">
        <f t="shared" si="27"/>
        <v>196214.3101369745</v>
      </c>
    </row>
    <row r="240" spans="2:11">
      <c r="B240" s="18"/>
      <c r="C240" s="18"/>
      <c r="D240">
        <v>236</v>
      </c>
      <c r="E240" s="1">
        <v>50253</v>
      </c>
      <c r="F240" s="2">
        <f t="shared" si="26"/>
        <v>1909.6611818618114</v>
      </c>
      <c r="G240" s="2">
        <f t="shared" si="23"/>
        <v>1259.7988596765804</v>
      </c>
      <c r="H240" s="2">
        <f t="shared" si="24"/>
        <v>649.86232218523094</v>
      </c>
      <c r="I240" s="15">
        <f t="shared" si="22"/>
        <v>0</v>
      </c>
      <c r="J240" s="2">
        <f t="shared" si="25"/>
        <v>244378.93671528035</v>
      </c>
      <c r="K240" s="2">
        <f t="shared" si="27"/>
        <v>194958.69665556928</v>
      </c>
    </row>
    <row r="241" spans="2:11">
      <c r="B241" s="17"/>
      <c r="C241" s="17"/>
      <c r="D241">
        <v>237</v>
      </c>
      <c r="E241" s="1">
        <v>50284</v>
      </c>
      <c r="F241" s="2">
        <f t="shared" si="26"/>
        <v>1909.6611818618114</v>
      </c>
      <c r="G241" s="2">
        <f t="shared" si="23"/>
        <v>1263.9981892088358</v>
      </c>
      <c r="H241" s="2">
        <f t="shared" si="24"/>
        <v>645.66299265297573</v>
      </c>
      <c r="I241" s="15">
        <f t="shared" si="22"/>
        <v>0</v>
      </c>
      <c r="J241" s="2">
        <f t="shared" si="25"/>
        <v>245024.59970793332</v>
      </c>
      <c r="K241" s="2">
        <f t="shared" si="27"/>
        <v>193698.8977958927</v>
      </c>
    </row>
    <row r="242" spans="2:11">
      <c r="B242" s="18"/>
      <c r="C242" s="18"/>
      <c r="D242">
        <v>238</v>
      </c>
      <c r="E242" s="1">
        <v>50314</v>
      </c>
      <c r="F242" s="2">
        <f t="shared" si="26"/>
        <v>1909.6611818618114</v>
      </c>
      <c r="G242" s="2">
        <f t="shared" si="23"/>
        <v>1268.2115165061984</v>
      </c>
      <c r="H242" s="2">
        <f t="shared" si="24"/>
        <v>641.44966535561298</v>
      </c>
      <c r="I242" s="15">
        <f t="shared" si="22"/>
        <v>0</v>
      </c>
      <c r="J242" s="2">
        <f t="shared" si="25"/>
        <v>245666.04937328893</v>
      </c>
      <c r="K242" s="2">
        <f t="shared" si="27"/>
        <v>192434.89960668387</v>
      </c>
    </row>
    <row r="243" spans="2:11">
      <c r="B243" s="17"/>
      <c r="C243" s="17"/>
      <c r="D243">
        <v>239</v>
      </c>
      <c r="E243" s="1">
        <v>50345</v>
      </c>
      <c r="F243" s="2">
        <f t="shared" si="26"/>
        <v>1909.6611818618114</v>
      </c>
      <c r="G243" s="2">
        <f t="shared" si="23"/>
        <v>1272.4388882278859</v>
      </c>
      <c r="H243" s="2">
        <f t="shared" si="24"/>
        <v>637.22229363392569</v>
      </c>
      <c r="I243" s="15">
        <f t="shared" si="22"/>
        <v>0</v>
      </c>
      <c r="J243" s="2">
        <f t="shared" si="25"/>
        <v>246303.27166692287</v>
      </c>
      <c r="K243" s="2">
        <f t="shared" si="27"/>
        <v>191166.68809017769</v>
      </c>
    </row>
    <row r="244" spans="2:11">
      <c r="B244" s="18"/>
      <c r="C244" s="18"/>
      <c r="D244">
        <v>240</v>
      </c>
      <c r="E244" s="1">
        <v>50375</v>
      </c>
      <c r="F244" s="2">
        <f t="shared" si="26"/>
        <v>1909.6611818618114</v>
      </c>
      <c r="G244" s="2">
        <f t="shared" si="23"/>
        <v>1276.6803511886455</v>
      </c>
      <c r="H244" s="2">
        <f t="shared" si="24"/>
        <v>632.980830673166</v>
      </c>
      <c r="I244" s="15">
        <f t="shared" si="22"/>
        <v>0</v>
      </c>
      <c r="J244" s="2">
        <f t="shared" si="25"/>
        <v>246936.25249759603</v>
      </c>
      <c r="K244" s="2">
        <f t="shared" si="27"/>
        <v>189894.2492019498</v>
      </c>
    </row>
    <row r="245" spans="2:11">
      <c r="B245" s="17"/>
      <c r="C245" s="17"/>
      <c r="D245">
        <v>241</v>
      </c>
      <c r="E245" s="1">
        <v>50406</v>
      </c>
      <c r="F245" s="2">
        <f t="shared" si="26"/>
        <v>1909.6611818618114</v>
      </c>
      <c r="G245" s="2">
        <f t="shared" si="23"/>
        <v>1280.9359523592743</v>
      </c>
      <c r="H245" s="2">
        <f t="shared" si="24"/>
        <v>628.72522950253722</v>
      </c>
      <c r="I245" s="15">
        <f t="shared" si="22"/>
        <v>0</v>
      </c>
      <c r="J245" s="2">
        <f t="shared" si="25"/>
        <v>247564.97772709857</v>
      </c>
      <c r="K245" s="2">
        <f t="shared" si="27"/>
        <v>188617.56885076116</v>
      </c>
    </row>
    <row r="246" spans="2:11">
      <c r="B246" s="18"/>
      <c r="C246" s="18"/>
      <c r="D246">
        <v>242</v>
      </c>
      <c r="E246" s="1">
        <v>50437</v>
      </c>
      <c r="F246" s="2">
        <f t="shared" si="26"/>
        <v>1909.6611818618114</v>
      </c>
      <c r="G246" s="2">
        <f t="shared" si="23"/>
        <v>1285.2057388671385</v>
      </c>
      <c r="H246" s="2">
        <f t="shared" si="24"/>
        <v>624.45544299467292</v>
      </c>
      <c r="I246" s="15">
        <f t="shared" si="22"/>
        <v>0</v>
      </c>
      <c r="J246" s="2">
        <f t="shared" si="25"/>
        <v>248189.43317009322</v>
      </c>
      <c r="K246" s="2">
        <f t="shared" si="27"/>
        <v>187336.63289840188</v>
      </c>
    </row>
    <row r="247" spans="2:11">
      <c r="B247" s="17"/>
      <c r="C247" s="17"/>
      <c r="D247">
        <v>243</v>
      </c>
      <c r="E247" s="1">
        <v>50465</v>
      </c>
      <c r="F247" s="2">
        <f t="shared" si="26"/>
        <v>1909.6611818618114</v>
      </c>
      <c r="G247" s="2">
        <f t="shared" si="23"/>
        <v>1289.4897579966955</v>
      </c>
      <c r="H247" s="2">
        <f t="shared" si="24"/>
        <v>620.1714238651158</v>
      </c>
      <c r="I247" s="15">
        <f t="shared" si="22"/>
        <v>0</v>
      </c>
      <c r="J247" s="2">
        <f t="shared" si="25"/>
        <v>248809.60459395833</v>
      </c>
      <c r="K247" s="2">
        <f t="shared" si="27"/>
        <v>186051.42715953474</v>
      </c>
    </row>
    <row r="248" spans="2:11">
      <c r="B248" s="18"/>
      <c r="C248" s="18"/>
      <c r="D248">
        <v>244</v>
      </c>
      <c r="E248" s="1">
        <v>50496</v>
      </c>
      <c r="F248" s="2">
        <f t="shared" si="26"/>
        <v>1909.6611818618114</v>
      </c>
      <c r="G248" s="2">
        <f t="shared" si="23"/>
        <v>1293.7880571900178</v>
      </c>
      <c r="H248" s="2">
        <f t="shared" si="24"/>
        <v>615.87312467179356</v>
      </c>
      <c r="I248" s="15">
        <f t="shared" si="22"/>
        <v>0</v>
      </c>
      <c r="J248" s="2">
        <f t="shared" si="25"/>
        <v>249425.47771863011</v>
      </c>
      <c r="K248" s="2">
        <f t="shared" si="27"/>
        <v>184761.93740153805</v>
      </c>
    </row>
    <row r="249" spans="2:11">
      <c r="B249" s="17"/>
      <c r="C249" s="17"/>
      <c r="D249">
        <v>245</v>
      </c>
      <c r="E249" s="1">
        <v>50526</v>
      </c>
      <c r="F249" s="2">
        <f t="shared" si="26"/>
        <v>1909.6611818618114</v>
      </c>
      <c r="G249" s="2">
        <f t="shared" si="23"/>
        <v>1298.1006840473178</v>
      </c>
      <c r="H249" s="2">
        <f t="shared" si="24"/>
        <v>611.56049781449349</v>
      </c>
      <c r="I249" s="15">
        <f t="shared" si="22"/>
        <v>0</v>
      </c>
      <c r="J249" s="2">
        <f t="shared" si="25"/>
        <v>250037.03821644461</v>
      </c>
      <c r="K249" s="2">
        <f t="shared" si="27"/>
        <v>183468.14934434803</v>
      </c>
    </row>
    <row r="250" spans="2:11">
      <c r="B250" s="18"/>
      <c r="C250" s="18"/>
      <c r="D250">
        <v>246</v>
      </c>
      <c r="E250" s="1">
        <v>50557</v>
      </c>
      <c r="F250" s="2">
        <f t="shared" si="26"/>
        <v>1909.6611818618114</v>
      </c>
      <c r="G250" s="2">
        <f t="shared" si="23"/>
        <v>1302.4276863274758</v>
      </c>
      <c r="H250" s="2">
        <f t="shared" si="24"/>
        <v>607.2334955343357</v>
      </c>
      <c r="I250" s="15">
        <f t="shared" si="22"/>
        <v>0</v>
      </c>
      <c r="J250" s="2">
        <f t="shared" si="25"/>
        <v>250644.27171197894</v>
      </c>
      <c r="K250" s="2">
        <f t="shared" si="27"/>
        <v>182170.0486603007</v>
      </c>
    </row>
    <row r="251" spans="2:11">
      <c r="B251" s="17"/>
      <c r="C251" s="17"/>
      <c r="D251">
        <v>247</v>
      </c>
      <c r="E251" s="1">
        <v>50587</v>
      </c>
      <c r="F251" s="2">
        <f t="shared" si="26"/>
        <v>1909.6611818618114</v>
      </c>
      <c r="G251" s="2">
        <f t="shared" si="23"/>
        <v>1306.7691119485673</v>
      </c>
      <c r="H251" s="2">
        <f t="shared" si="24"/>
        <v>602.89206991324409</v>
      </c>
      <c r="I251" s="15">
        <f t="shared" si="22"/>
        <v>0</v>
      </c>
      <c r="J251" s="2">
        <f t="shared" si="25"/>
        <v>251247.16378189219</v>
      </c>
      <c r="K251" s="2">
        <f t="shared" si="27"/>
        <v>180867.62097397321</v>
      </c>
    </row>
    <row r="252" spans="2:11">
      <c r="B252" s="18"/>
      <c r="C252" s="18"/>
      <c r="D252">
        <v>248</v>
      </c>
      <c r="E252" s="1">
        <v>50618</v>
      </c>
      <c r="F252" s="2">
        <f t="shared" si="26"/>
        <v>1909.6611818618114</v>
      </c>
      <c r="G252" s="2">
        <f t="shared" si="23"/>
        <v>1311.1250089883958</v>
      </c>
      <c r="H252" s="2">
        <f t="shared" si="24"/>
        <v>598.53617287341558</v>
      </c>
      <c r="I252" s="15">
        <f t="shared" si="22"/>
        <v>0</v>
      </c>
      <c r="J252" s="2">
        <f t="shared" si="25"/>
        <v>251845.69995476562</v>
      </c>
      <c r="K252" s="2">
        <f t="shared" si="27"/>
        <v>179560.85186202466</v>
      </c>
    </row>
    <row r="253" spans="2:11">
      <c r="B253" s="17"/>
      <c r="C253" s="17"/>
      <c r="D253">
        <v>249</v>
      </c>
      <c r="E253" s="1">
        <v>50649</v>
      </c>
      <c r="F253" s="2">
        <f t="shared" si="26"/>
        <v>1909.6611818618114</v>
      </c>
      <c r="G253" s="2">
        <f t="shared" si="23"/>
        <v>1315.4954256850237</v>
      </c>
      <c r="H253" s="2">
        <f t="shared" si="24"/>
        <v>594.16575617678757</v>
      </c>
      <c r="I253" s="15">
        <f t="shared" si="22"/>
        <v>0</v>
      </c>
      <c r="J253" s="2">
        <f t="shared" si="25"/>
        <v>252439.86571094239</v>
      </c>
      <c r="K253" s="2">
        <f t="shared" si="27"/>
        <v>178249.72685303626</v>
      </c>
    </row>
    <row r="254" spans="2:11">
      <c r="B254" s="18"/>
      <c r="C254" s="18"/>
      <c r="D254">
        <v>250</v>
      </c>
      <c r="E254" s="1">
        <v>50679</v>
      </c>
      <c r="F254" s="2">
        <f t="shared" si="26"/>
        <v>1909.6611818618114</v>
      </c>
      <c r="G254" s="2">
        <f t="shared" si="23"/>
        <v>1319.8804104373071</v>
      </c>
      <c r="H254" s="2">
        <f t="shared" si="24"/>
        <v>589.78077142450422</v>
      </c>
      <c r="I254" s="15">
        <f t="shared" si="22"/>
        <v>0</v>
      </c>
      <c r="J254" s="2">
        <f t="shared" si="25"/>
        <v>253029.64648236689</v>
      </c>
      <c r="K254" s="2">
        <f t="shared" si="27"/>
        <v>176934.23142735125</v>
      </c>
    </row>
    <row r="255" spans="2:11">
      <c r="B255" s="17"/>
      <c r="C255" s="17"/>
      <c r="D255">
        <v>251</v>
      </c>
      <c r="E255" s="1">
        <v>50710</v>
      </c>
      <c r="F255" s="2">
        <f t="shared" si="26"/>
        <v>1909.6611818618114</v>
      </c>
      <c r="G255" s="2">
        <f t="shared" si="23"/>
        <v>1324.2800118054315</v>
      </c>
      <c r="H255" s="2">
        <f t="shared" si="24"/>
        <v>585.38117005637991</v>
      </c>
      <c r="I255" s="15">
        <f t="shared" si="22"/>
        <v>0</v>
      </c>
      <c r="J255" s="2">
        <f t="shared" si="25"/>
        <v>253615.02765242328</v>
      </c>
      <c r="K255" s="2">
        <f t="shared" si="27"/>
        <v>175614.35101691395</v>
      </c>
    </row>
    <row r="256" spans="2:11">
      <c r="B256" s="18"/>
      <c r="C256" s="18"/>
      <c r="D256">
        <v>252</v>
      </c>
      <c r="E256" s="1">
        <v>50740</v>
      </c>
      <c r="F256" s="2">
        <f t="shared" si="26"/>
        <v>1909.6611818618114</v>
      </c>
      <c r="G256" s="2">
        <f t="shared" si="23"/>
        <v>1328.6942785114497</v>
      </c>
      <c r="H256" s="2">
        <f t="shared" si="24"/>
        <v>580.96690335036169</v>
      </c>
      <c r="I256" s="15">
        <f t="shared" si="22"/>
        <v>0</v>
      </c>
      <c r="J256" s="2">
        <f t="shared" si="25"/>
        <v>254195.99455577365</v>
      </c>
      <c r="K256" s="2">
        <f t="shared" si="27"/>
        <v>174290.0710051085</v>
      </c>
    </row>
    <row r="257" spans="2:11">
      <c r="B257" s="17"/>
      <c r="C257" s="17"/>
      <c r="D257">
        <v>253</v>
      </c>
      <c r="E257" s="1">
        <v>50771</v>
      </c>
      <c r="F257" s="2">
        <f t="shared" si="26"/>
        <v>1909.6611818618114</v>
      </c>
      <c r="G257" s="2">
        <f t="shared" si="23"/>
        <v>1333.1232594398211</v>
      </c>
      <c r="H257" s="2">
        <f t="shared" si="24"/>
        <v>576.53792242199017</v>
      </c>
      <c r="I257" s="15">
        <f t="shared" si="22"/>
        <v>0</v>
      </c>
      <c r="J257" s="2">
        <f t="shared" si="25"/>
        <v>254772.53247819564</v>
      </c>
      <c r="K257" s="2">
        <f t="shared" si="27"/>
        <v>172961.37672659705</v>
      </c>
    </row>
    <row r="258" spans="2:11">
      <c r="B258" s="18"/>
      <c r="C258" s="18"/>
      <c r="D258">
        <v>254</v>
      </c>
      <c r="E258" s="1">
        <v>50802</v>
      </c>
      <c r="F258" s="2">
        <f t="shared" si="26"/>
        <v>1909.6611818618114</v>
      </c>
      <c r="G258" s="2">
        <f t="shared" si="23"/>
        <v>1337.567003637954</v>
      </c>
      <c r="H258" s="2">
        <f t="shared" si="24"/>
        <v>572.0941782238574</v>
      </c>
      <c r="I258" s="15">
        <f t="shared" si="22"/>
        <v>0</v>
      </c>
      <c r="J258" s="2">
        <f t="shared" si="25"/>
        <v>255344.62665641951</v>
      </c>
      <c r="K258" s="2">
        <f t="shared" si="27"/>
        <v>171628.25346715722</v>
      </c>
    </row>
    <row r="259" spans="2:11">
      <c r="B259" s="17"/>
      <c r="C259" s="17"/>
      <c r="D259">
        <v>255</v>
      </c>
      <c r="E259" s="1">
        <v>50830</v>
      </c>
      <c r="F259" s="2">
        <f t="shared" si="26"/>
        <v>1909.6611818618114</v>
      </c>
      <c r="G259" s="2">
        <f t="shared" si="23"/>
        <v>1342.025560316747</v>
      </c>
      <c r="H259" s="2">
        <f t="shared" si="24"/>
        <v>567.63562154506428</v>
      </c>
      <c r="I259" s="15">
        <f t="shared" si="22"/>
        <v>0</v>
      </c>
      <c r="J259" s="2">
        <f t="shared" si="25"/>
        <v>255912.26227796456</v>
      </c>
      <c r="K259" s="2">
        <f t="shared" si="27"/>
        <v>170290.68646351926</v>
      </c>
    </row>
    <row r="260" spans="2:11">
      <c r="B260" s="18"/>
      <c r="C260" s="18"/>
      <c r="D260">
        <v>256</v>
      </c>
      <c r="E260" s="1">
        <v>50861</v>
      </c>
      <c r="F260" s="2">
        <f t="shared" si="26"/>
        <v>1909.6611818618114</v>
      </c>
      <c r="G260" s="2">
        <f t="shared" si="23"/>
        <v>1346.4989788511364</v>
      </c>
      <c r="H260" s="2">
        <f t="shared" si="24"/>
        <v>563.16220301067506</v>
      </c>
      <c r="I260" s="15">
        <f t="shared" si="22"/>
        <v>0</v>
      </c>
      <c r="J260" s="2">
        <f t="shared" si="25"/>
        <v>256475.42448097523</v>
      </c>
      <c r="K260" s="2">
        <f t="shared" si="27"/>
        <v>168948.66090320252</v>
      </c>
    </row>
    <row r="261" spans="2:11">
      <c r="B261" s="17"/>
      <c r="C261" s="17"/>
      <c r="D261">
        <v>257</v>
      </c>
      <c r="E261" s="1">
        <v>50891</v>
      </c>
      <c r="F261" s="2">
        <f t="shared" si="26"/>
        <v>1909.6611818618114</v>
      </c>
      <c r="G261" s="2">
        <f t="shared" si="23"/>
        <v>1350.98730878064</v>
      </c>
      <c r="H261" s="2">
        <f t="shared" si="24"/>
        <v>558.67387308117134</v>
      </c>
      <c r="I261" s="15">
        <f t="shared" ref="I261:I324" si="28">IF(AND(MOD(D261,12)=2, $B$2&gt;0,K261&gt;$B$2),$B$2,IF(K261=0,0,IF(D261&lt;=$B$3,$I$1,0)))</f>
        <v>0</v>
      </c>
      <c r="J261" s="2">
        <f t="shared" si="25"/>
        <v>257034.09835405639</v>
      </c>
      <c r="K261" s="2">
        <f t="shared" si="27"/>
        <v>167602.16192435139</v>
      </c>
    </row>
    <row r="262" spans="2:11">
      <c r="B262" s="18"/>
      <c r="C262" s="18"/>
      <c r="D262">
        <v>258</v>
      </c>
      <c r="E262" s="1">
        <v>50922</v>
      </c>
      <c r="F262" s="2">
        <f t="shared" si="26"/>
        <v>1909.6611818618114</v>
      </c>
      <c r="G262" s="2">
        <f t="shared" si="23"/>
        <v>1355.4905998099089</v>
      </c>
      <c r="H262" s="2">
        <f t="shared" si="24"/>
        <v>554.17058205190256</v>
      </c>
      <c r="I262" s="15">
        <f t="shared" si="28"/>
        <v>0</v>
      </c>
      <c r="J262" s="2">
        <f t="shared" si="25"/>
        <v>257588.2689361083</v>
      </c>
      <c r="K262" s="2">
        <f t="shared" si="27"/>
        <v>166251.17461557075</v>
      </c>
    </row>
    <row r="263" spans="2:11">
      <c r="B263" s="17"/>
      <c r="C263" s="17"/>
      <c r="D263">
        <v>259</v>
      </c>
      <c r="E263" s="1">
        <v>50952</v>
      </c>
      <c r="F263" s="2">
        <f t="shared" si="26"/>
        <v>1909.6611818618114</v>
      </c>
      <c r="G263" s="2">
        <f t="shared" ref="G263:G326" si="29">+F263-H263</f>
        <v>1360.0089018092754</v>
      </c>
      <c r="H263" s="2">
        <f t="shared" si="24"/>
        <v>549.65228005253618</v>
      </c>
      <c r="I263" s="15">
        <f t="shared" si="28"/>
        <v>0</v>
      </c>
      <c r="J263" s="2">
        <f t="shared" si="25"/>
        <v>258137.92121616084</v>
      </c>
      <c r="K263" s="2">
        <f t="shared" si="27"/>
        <v>164895.68401576084</v>
      </c>
    </row>
    <row r="264" spans="2:11">
      <c r="B264" s="18"/>
      <c r="C264" s="18"/>
      <c r="D264">
        <v>260</v>
      </c>
      <c r="E264" s="1">
        <v>50983</v>
      </c>
      <c r="F264" s="2">
        <f t="shared" si="26"/>
        <v>1909.6611818618114</v>
      </c>
      <c r="G264" s="2">
        <f t="shared" si="29"/>
        <v>1364.5422648153062</v>
      </c>
      <c r="H264" s="2">
        <f t="shared" ref="H264:H327" si="30">($G$2/12)*K264</f>
        <v>545.1189170465052</v>
      </c>
      <c r="I264" s="15">
        <f t="shared" si="28"/>
        <v>0</v>
      </c>
      <c r="J264" s="2">
        <f t="shared" ref="J264:J327" si="31">IF(K264=0,0,J263+H264)</f>
        <v>258683.04013320734</v>
      </c>
      <c r="K264" s="2">
        <f t="shared" si="27"/>
        <v>163535.67511395155</v>
      </c>
    </row>
    <row r="265" spans="2:11">
      <c r="B265" s="17"/>
      <c r="C265" s="17"/>
      <c r="D265">
        <v>261</v>
      </c>
      <c r="E265" s="1">
        <v>51014</v>
      </c>
      <c r="F265" s="2">
        <f t="shared" ref="F265:F328" si="32">IF( (K265+20)&lt;$F$5, H265+K265,I265+$G$1*($G$2/12)*(1+($G$2/12))^($G$3*12)/((1+($G$2/12))^($G$3*12)-1))</f>
        <v>1909.6611818618114</v>
      </c>
      <c r="G265" s="2">
        <f t="shared" si="29"/>
        <v>1369.0907390313573</v>
      </c>
      <c r="H265" s="2">
        <f t="shared" si="30"/>
        <v>540.57044283045423</v>
      </c>
      <c r="I265" s="15">
        <f t="shared" si="28"/>
        <v>0</v>
      </c>
      <c r="J265" s="2">
        <f t="shared" si="31"/>
        <v>259223.61057603778</v>
      </c>
      <c r="K265" s="2">
        <f t="shared" si="27"/>
        <v>162171.13284913625</v>
      </c>
    </row>
    <row r="266" spans="2:11">
      <c r="B266" s="18"/>
      <c r="C266" s="18"/>
      <c r="D266">
        <v>262</v>
      </c>
      <c r="E266" s="1">
        <v>51044</v>
      </c>
      <c r="F266" s="2">
        <f t="shared" si="32"/>
        <v>1909.6611818618114</v>
      </c>
      <c r="G266" s="2">
        <f t="shared" si="29"/>
        <v>1373.6543748281283</v>
      </c>
      <c r="H266" s="2">
        <f t="shared" si="30"/>
        <v>536.006807033683</v>
      </c>
      <c r="I266" s="15">
        <f t="shared" si="28"/>
        <v>0</v>
      </c>
      <c r="J266" s="2">
        <f t="shared" si="31"/>
        <v>259759.61738307145</v>
      </c>
      <c r="K266" s="2">
        <f t="shared" ref="K266:K329" si="33">K265-G265</f>
        <v>160802.0421101049</v>
      </c>
    </row>
    <row r="267" spans="2:11">
      <c r="B267" s="17"/>
      <c r="C267" s="17"/>
      <c r="D267">
        <v>263</v>
      </c>
      <c r="E267" s="1">
        <v>51075</v>
      </c>
      <c r="F267" s="2">
        <f t="shared" si="32"/>
        <v>1909.6611818618114</v>
      </c>
      <c r="G267" s="2">
        <f t="shared" si="29"/>
        <v>1378.2332227442221</v>
      </c>
      <c r="H267" s="2">
        <f t="shared" si="30"/>
        <v>531.42795911758924</v>
      </c>
      <c r="I267" s="15">
        <f t="shared" si="28"/>
        <v>0</v>
      </c>
      <c r="J267" s="2">
        <f t="shared" si="31"/>
        <v>260291.04534218906</v>
      </c>
      <c r="K267" s="2">
        <f t="shared" si="33"/>
        <v>159428.38773527677</v>
      </c>
    </row>
    <row r="268" spans="2:11">
      <c r="B268" s="18"/>
      <c r="C268" s="18"/>
      <c r="D268">
        <v>264</v>
      </c>
      <c r="E268" s="1">
        <v>51105</v>
      </c>
      <c r="F268" s="2">
        <f t="shared" si="32"/>
        <v>1909.6611818618114</v>
      </c>
      <c r="G268" s="2">
        <f t="shared" si="29"/>
        <v>1382.8273334867029</v>
      </c>
      <c r="H268" s="2">
        <f t="shared" si="30"/>
        <v>526.83384837510857</v>
      </c>
      <c r="I268" s="15">
        <f t="shared" si="28"/>
        <v>0</v>
      </c>
      <c r="J268" s="2">
        <f t="shared" si="31"/>
        <v>260817.87919056416</v>
      </c>
      <c r="K268" s="2">
        <f t="shared" si="33"/>
        <v>158050.15451253255</v>
      </c>
    </row>
    <row r="269" spans="2:11">
      <c r="B269" s="17"/>
      <c r="C269" s="17"/>
      <c r="D269">
        <v>265</v>
      </c>
      <c r="E269" s="1">
        <v>51136</v>
      </c>
      <c r="F269" s="2">
        <f t="shared" si="32"/>
        <v>1909.6611818618114</v>
      </c>
      <c r="G269" s="2">
        <f t="shared" si="29"/>
        <v>1387.4367579316586</v>
      </c>
      <c r="H269" s="2">
        <f t="shared" si="30"/>
        <v>522.22442393015285</v>
      </c>
      <c r="I269" s="15">
        <f t="shared" si="28"/>
        <v>0</v>
      </c>
      <c r="J269" s="2">
        <f t="shared" si="31"/>
        <v>261340.10361449432</v>
      </c>
      <c r="K269" s="2">
        <f t="shared" si="33"/>
        <v>156667.32717904585</v>
      </c>
    </row>
    <row r="270" spans="2:11">
      <c r="B270" s="18"/>
      <c r="C270" s="18"/>
      <c r="D270">
        <v>266</v>
      </c>
      <c r="E270" s="1">
        <v>51167</v>
      </c>
      <c r="F270" s="2">
        <f t="shared" si="32"/>
        <v>1909.6611818618114</v>
      </c>
      <c r="G270" s="2">
        <f t="shared" si="29"/>
        <v>1392.061547124764</v>
      </c>
      <c r="H270" s="2">
        <f t="shared" si="30"/>
        <v>517.59963473704738</v>
      </c>
      <c r="I270" s="15">
        <f t="shared" si="28"/>
        <v>0</v>
      </c>
      <c r="J270" s="2">
        <f t="shared" si="31"/>
        <v>261857.70324923136</v>
      </c>
      <c r="K270" s="2">
        <f t="shared" si="33"/>
        <v>155279.89042111419</v>
      </c>
    </row>
    <row r="271" spans="2:11">
      <c r="B271" s="17"/>
      <c r="C271" s="17"/>
      <c r="D271">
        <v>267</v>
      </c>
      <c r="E271" s="1">
        <v>51196</v>
      </c>
      <c r="F271" s="2">
        <f t="shared" si="32"/>
        <v>1909.6611818618114</v>
      </c>
      <c r="G271" s="2">
        <f t="shared" si="29"/>
        <v>1396.7017522818467</v>
      </c>
      <c r="H271" s="2">
        <f t="shared" si="30"/>
        <v>512.95942957996476</v>
      </c>
      <c r="I271" s="15">
        <f t="shared" si="28"/>
        <v>0</v>
      </c>
      <c r="J271" s="2">
        <f t="shared" si="31"/>
        <v>262370.66267881135</v>
      </c>
      <c r="K271" s="2">
        <f t="shared" si="33"/>
        <v>153887.82887398943</v>
      </c>
    </row>
    <row r="272" spans="2:11">
      <c r="B272" s="18"/>
      <c r="C272" s="18"/>
      <c r="D272">
        <v>268</v>
      </c>
      <c r="E272" s="1">
        <v>51227</v>
      </c>
      <c r="F272" s="2">
        <f t="shared" si="32"/>
        <v>1909.6611818618114</v>
      </c>
      <c r="G272" s="2">
        <f t="shared" si="29"/>
        <v>1401.3574247894528</v>
      </c>
      <c r="H272" s="2">
        <f t="shared" si="30"/>
        <v>508.30375707235868</v>
      </c>
      <c r="I272" s="15">
        <f t="shared" si="28"/>
        <v>0</v>
      </c>
      <c r="J272" s="2">
        <f t="shared" si="31"/>
        <v>262878.96643588372</v>
      </c>
      <c r="K272" s="2">
        <f t="shared" si="33"/>
        <v>152491.1271217076</v>
      </c>
    </row>
    <row r="273" spans="2:11">
      <c r="B273" s="17"/>
      <c r="C273" s="17"/>
      <c r="D273">
        <v>269</v>
      </c>
      <c r="E273" s="1">
        <v>51257</v>
      </c>
      <c r="F273" s="2">
        <f t="shared" si="32"/>
        <v>1909.6611818618114</v>
      </c>
      <c r="G273" s="2">
        <f t="shared" si="29"/>
        <v>1406.0286162054176</v>
      </c>
      <c r="H273" s="2">
        <f t="shared" si="30"/>
        <v>503.63256565639387</v>
      </c>
      <c r="I273" s="15">
        <f t="shared" si="28"/>
        <v>0</v>
      </c>
      <c r="J273" s="2">
        <f t="shared" si="31"/>
        <v>263382.5990015401</v>
      </c>
      <c r="K273" s="2">
        <f t="shared" si="33"/>
        <v>151089.76969691814</v>
      </c>
    </row>
    <row r="274" spans="2:11">
      <c r="B274" s="18"/>
      <c r="C274" s="18"/>
      <c r="D274">
        <v>270</v>
      </c>
      <c r="E274" s="1">
        <v>51288</v>
      </c>
      <c r="F274" s="2">
        <f t="shared" si="32"/>
        <v>1909.6611818618114</v>
      </c>
      <c r="G274" s="2">
        <f t="shared" si="29"/>
        <v>1410.7153782594355</v>
      </c>
      <c r="H274" s="2">
        <f t="shared" si="30"/>
        <v>498.9458036023758</v>
      </c>
      <c r="I274" s="15">
        <f t="shared" si="28"/>
        <v>0</v>
      </c>
      <c r="J274" s="2">
        <f t="shared" si="31"/>
        <v>263881.5448051425</v>
      </c>
      <c r="K274" s="2">
        <f t="shared" si="33"/>
        <v>149683.74108071273</v>
      </c>
    </row>
    <row r="275" spans="2:11">
      <c r="B275" s="17"/>
      <c r="C275" s="17"/>
      <c r="D275">
        <v>271</v>
      </c>
      <c r="E275" s="1">
        <v>51318</v>
      </c>
      <c r="F275" s="2">
        <f t="shared" si="32"/>
        <v>1909.6611818618114</v>
      </c>
      <c r="G275" s="2">
        <f t="shared" si="29"/>
        <v>1415.4177628536336</v>
      </c>
      <c r="H275" s="2">
        <f t="shared" si="30"/>
        <v>494.24341900817774</v>
      </c>
      <c r="I275" s="15">
        <f t="shared" si="28"/>
        <v>0</v>
      </c>
      <c r="J275" s="2">
        <f t="shared" si="31"/>
        <v>264375.78822415066</v>
      </c>
      <c r="K275" s="2">
        <f t="shared" si="33"/>
        <v>148273.02570245331</v>
      </c>
    </row>
    <row r="276" spans="2:11">
      <c r="B276" s="18"/>
      <c r="C276" s="18"/>
      <c r="D276">
        <v>272</v>
      </c>
      <c r="E276" s="1">
        <v>51349</v>
      </c>
      <c r="F276" s="2">
        <f t="shared" si="32"/>
        <v>1909.6611818618114</v>
      </c>
      <c r="G276" s="2">
        <f t="shared" si="29"/>
        <v>1420.135822063146</v>
      </c>
      <c r="H276" s="2">
        <f t="shared" si="30"/>
        <v>489.52535979866559</v>
      </c>
      <c r="I276" s="15">
        <f t="shared" si="28"/>
        <v>0</v>
      </c>
      <c r="J276" s="2">
        <f t="shared" si="31"/>
        <v>264865.31358394935</v>
      </c>
      <c r="K276" s="2">
        <f t="shared" si="33"/>
        <v>146857.60793959966</v>
      </c>
    </row>
    <row r="277" spans="2:11">
      <c r="B277" s="17"/>
      <c r="C277" s="17"/>
      <c r="D277">
        <v>273</v>
      </c>
      <c r="E277" s="1">
        <v>51380</v>
      </c>
      <c r="F277" s="2">
        <f t="shared" si="32"/>
        <v>1909.6611818618114</v>
      </c>
      <c r="G277" s="2">
        <f t="shared" si="29"/>
        <v>1424.8696081366897</v>
      </c>
      <c r="H277" s="2">
        <f t="shared" si="30"/>
        <v>484.79157372512179</v>
      </c>
      <c r="I277" s="15">
        <f t="shared" si="28"/>
        <v>0</v>
      </c>
      <c r="J277" s="2">
        <f t="shared" si="31"/>
        <v>265350.10515767446</v>
      </c>
      <c r="K277" s="2">
        <f t="shared" si="33"/>
        <v>145437.47211753653</v>
      </c>
    </row>
    <row r="278" spans="2:11">
      <c r="B278" s="18"/>
      <c r="C278" s="18"/>
      <c r="D278">
        <v>274</v>
      </c>
      <c r="E278" s="1">
        <v>51410</v>
      </c>
      <c r="F278" s="2">
        <f t="shared" si="32"/>
        <v>1909.6611818618114</v>
      </c>
      <c r="G278" s="2">
        <f t="shared" si="29"/>
        <v>1429.6191734971453</v>
      </c>
      <c r="H278" s="2">
        <f t="shared" si="30"/>
        <v>480.04200836466617</v>
      </c>
      <c r="I278" s="15">
        <f t="shared" si="28"/>
        <v>0</v>
      </c>
      <c r="J278" s="2">
        <f t="shared" si="31"/>
        <v>265830.14716603915</v>
      </c>
      <c r="K278" s="2">
        <f t="shared" si="33"/>
        <v>144012.60250939985</v>
      </c>
    </row>
    <row r="279" spans="2:11">
      <c r="B279" s="17"/>
      <c r="C279" s="17"/>
      <c r="D279">
        <v>275</v>
      </c>
      <c r="E279" s="1">
        <v>51441</v>
      </c>
      <c r="F279" s="2">
        <f t="shared" si="32"/>
        <v>1909.6611818618114</v>
      </c>
      <c r="G279" s="2">
        <f t="shared" si="29"/>
        <v>1434.3845707421356</v>
      </c>
      <c r="H279" s="2">
        <f t="shared" si="30"/>
        <v>475.27661111967575</v>
      </c>
      <c r="I279" s="15">
        <f t="shared" si="28"/>
        <v>0</v>
      </c>
      <c r="J279" s="2">
        <f t="shared" si="31"/>
        <v>266305.42377715884</v>
      </c>
      <c r="K279" s="2">
        <f t="shared" si="33"/>
        <v>142582.98333590271</v>
      </c>
    </row>
    <row r="280" spans="2:11">
      <c r="B280" s="18"/>
      <c r="C280" s="18"/>
      <c r="D280">
        <v>276</v>
      </c>
      <c r="E280" s="1">
        <v>51471</v>
      </c>
      <c r="F280" s="2">
        <f t="shared" si="32"/>
        <v>1909.6611818618114</v>
      </c>
      <c r="G280" s="2">
        <f t="shared" si="29"/>
        <v>1439.1658526446095</v>
      </c>
      <c r="H280" s="2">
        <f t="shared" si="30"/>
        <v>470.49532921720191</v>
      </c>
      <c r="I280" s="15">
        <f t="shared" si="28"/>
        <v>0</v>
      </c>
      <c r="J280" s="2">
        <f t="shared" si="31"/>
        <v>266775.91910637607</v>
      </c>
      <c r="K280" s="2">
        <f t="shared" si="33"/>
        <v>141148.59876516057</v>
      </c>
    </row>
    <row r="281" spans="2:11">
      <c r="B281" s="17"/>
      <c r="C281" s="17"/>
      <c r="D281">
        <v>277</v>
      </c>
      <c r="E281" s="1">
        <v>51502</v>
      </c>
      <c r="F281" s="2">
        <f t="shared" si="32"/>
        <v>1909.6611818618114</v>
      </c>
      <c r="G281" s="2">
        <f t="shared" si="29"/>
        <v>1443.9630721534249</v>
      </c>
      <c r="H281" s="2">
        <f t="shared" si="30"/>
        <v>465.6981097083866</v>
      </c>
      <c r="I281" s="15">
        <f t="shared" si="28"/>
        <v>0</v>
      </c>
      <c r="J281" s="2">
        <f t="shared" si="31"/>
        <v>267241.61721608444</v>
      </c>
      <c r="K281" s="2">
        <f t="shared" si="33"/>
        <v>139709.43291251597</v>
      </c>
    </row>
    <row r="282" spans="2:11">
      <c r="B282" s="18"/>
      <c r="C282" s="18"/>
      <c r="D282">
        <v>278</v>
      </c>
      <c r="E282" s="1">
        <v>51533</v>
      </c>
      <c r="F282" s="2">
        <f t="shared" si="32"/>
        <v>1909.6611818618114</v>
      </c>
      <c r="G282" s="2">
        <f t="shared" si="29"/>
        <v>1448.7762823939363</v>
      </c>
      <c r="H282" s="2">
        <f t="shared" si="30"/>
        <v>460.88489946787519</v>
      </c>
      <c r="I282" s="15">
        <f t="shared" si="28"/>
        <v>0</v>
      </c>
      <c r="J282" s="2">
        <f t="shared" si="31"/>
        <v>267702.50211555231</v>
      </c>
      <c r="K282" s="2">
        <f t="shared" si="33"/>
        <v>138265.46984036255</v>
      </c>
    </row>
    <row r="283" spans="2:11">
      <c r="B283" s="17"/>
      <c r="C283" s="17"/>
      <c r="D283">
        <v>279</v>
      </c>
      <c r="E283" s="1">
        <v>51561</v>
      </c>
      <c r="F283" s="2">
        <f t="shared" si="32"/>
        <v>1909.6611818618114</v>
      </c>
      <c r="G283" s="2">
        <f t="shared" si="29"/>
        <v>1453.6055366685828</v>
      </c>
      <c r="H283" s="2">
        <f t="shared" si="30"/>
        <v>456.05564519322877</v>
      </c>
      <c r="I283" s="15">
        <f t="shared" si="28"/>
        <v>0</v>
      </c>
      <c r="J283" s="2">
        <f t="shared" si="31"/>
        <v>268158.55776074552</v>
      </c>
      <c r="K283" s="2">
        <f t="shared" si="33"/>
        <v>136816.69355796863</v>
      </c>
    </row>
    <row r="284" spans="2:11">
      <c r="B284" s="18"/>
      <c r="C284" s="18"/>
      <c r="D284">
        <v>280</v>
      </c>
      <c r="E284" s="1">
        <v>51592</v>
      </c>
      <c r="F284" s="2">
        <f t="shared" si="32"/>
        <v>1909.6611818618114</v>
      </c>
      <c r="G284" s="2">
        <f t="shared" si="29"/>
        <v>1458.450888457478</v>
      </c>
      <c r="H284" s="2">
        <f t="shared" si="30"/>
        <v>451.21029340433347</v>
      </c>
      <c r="I284" s="15">
        <f t="shared" si="28"/>
        <v>0</v>
      </c>
      <c r="J284" s="2">
        <f t="shared" si="31"/>
        <v>268609.76805414987</v>
      </c>
      <c r="K284" s="2">
        <f t="shared" si="33"/>
        <v>135363.08802130003</v>
      </c>
    </row>
    <row r="285" spans="2:11">
      <c r="B285" s="17"/>
      <c r="C285" s="17"/>
      <c r="D285">
        <v>281</v>
      </c>
      <c r="E285" s="1">
        <v>51622</v>
      </c>
      <c r="F285" s="2">
        <f t="shared" si="32"/>
        <v>1909.6611818618114</v>
      </c>
      <c r="G285" s="2">
        <f t="shared" si="29"/>
        <v>1463.3123914190028</v>
      </c>
      <c r="H285" s="2">
        <f t="shared" si="30"/>
        <v>446.34879044280854</v>
      </c>
      <c r="I285" s="15">
        <f t="shared" si="28"/>
        <v>0</v>
      </c>
      <c r="J285" s="2">
        <f t="shared" si="31"/>
        <v>269056.11684459267</v>
      </c>
      <c r="K285" s="2">
        <f t="shared" si="33"/>
        <v>133904.63713284256</v>
      </c>
    </row>
    <row r="286" spans="2:11">
      <c r="B286" s="18"/>
      <c r="C286" s="18"/>
      <c r="D286">
        <v>282</v>
      </c>
      <c r="E286" s="1">
        <v>51653</v>
      </c>
      <c r="F286" s="2">
        <f t="shared" si="32"/>
        <v>1909.6611818618114</v>
      </c>
      <c r="G286" s="2">
        <f t="shared" si="29"/>
        <v>1468.1900993903996</v>
      </c>
      <c r="H286" s="2">
        <f t="shared" si="30"/>
        <v>441.47108247141193</v>
      </c>
      <c r="I286" s="15">
        <f t="shared" si="28"/>
        <v>0</v>
      </c>
      <c r="J286" s="2">
        <f t="shared" si="31"/>
        <v>269497.5879270641</v>
      </c>
      <c r="K286" s="2">
        <f t="shared" si="33"/>
        <v>132441.32474142357</v>
      </c>
    </row>
    <row r="287" spans="2:11">
      <c r="B287" s="17"/>
      <c r="C287" s="17"/>
      <c r="D287">
        <v>283</v>
      </c>
      <c r="E287" s="1">
        <v>51683</v>
      </c>
      <c r="F287" s="2">
        <f t="shared" si="32"/>
        <v>1909.6611818618114</v>
      </c>
      <c r="G287" s="2">
        <f t="shared" si="29"/>
        <v>1473.0840663883675</v>
      </c>
      <c r="H287" s="2">
        <f t="shared" si="30"/>
        <v>436.57711547344394</v>
      </c>
      <c r="I287" s="15">
        <f t="shared" si="28"/>
        <v>0</v>
      </c>
      <c r="J287" s="2">
        <f t="shared" si="31"/>
        <v>269934.16504253756</v>
      </c>
      <c r="K287" s="2">
        <f t="shared" si="33"/>
        <v>130973.13464203317</v>
      </c>
    </row>
    <row r="288" spans="2:11">
      <c r="B288" s="18"/>
      <c r="C288" s="18"/>
      <c r="D288">
        <v>284</v>
      </c>
      <c r="E288" s="1">
        <v>51714</v>
      </c>
      <c r="F288" s="2">
        <f t="shared" si="32"/>
        <v>1909.6611818618114</v>
      </c>
      <c r="G288" s="2">
        <f t="shared" si="29"/>
        <v>1477.994346609662</v>
      </c>
      <c r="H288" s="2">
        <f t="shared" si="30"/>
        <v>431.66683525214933</v>
      </c>
      <c r="I288" s="15">
        <f t="shared" si="28"/>
        <v>0</v>
      </c>
      <c r="J288" s="2">
        <f t="shared" si="31"/>
        <v>270365.83187778969</v>
      </c>
      <c r="K288" s="2">
        <f t="shared" si="33"/>
        <v>129500.0505756448</v>
      </c>
    </row>
    <row r="289" spans="2:11">
      <c r="B289" s="17"/>
      <c r="C289" s="17"/>
      <c r="D289">
        <v>285</v>
      </c>
      <c r="E289" s="1">
        <v>51745</v>
      </c>
      <c r="F289" s="2">
        <f t="shared" si="32"/>
        <v>1909.6611818618114</v>
      </c>
      <c r="G289" s="2">
        <f t="shared" si="29"/>
        <v>1482.9209944316942</v>
      </c>
      <c r="H289" s="2">
        <f t="shared" si="30"/>
        <v>426.74018743011715</v>
      </c>
      <c r="I289" s="15">
        <f t="shared" si="28"/>
        <v>0</v>
      </c>
      <c r="J289" s="2">
        <f t="shared" si="31"/>
        <v>270792.57206521981</v>
      </c>
      <c r="K289" s="2">
        <f t="shared" si="33"/>
        <v>128022.05622903514</v>
      </c>
    </row>
    <row r="290" spans="2:11">
      <c r="B290" s="18"/>
      <c r="C290" s="18"/>
      <c r="D290">
        <v>286</v>
      </c>
      <c r="E290" s="1">
        <v>51775</v>
      </c>
      <c r="F290" s="2">
        <f t="shared" si="32"/>
        <v>1909.6611818618114</v>
      </c>
      <c r="G290" s="2">
        <f t="shared" si="29"/>
        <v>1487.8640644131333</v>
      </c>
      <c r="H290" s="2">
        <f t="shared" si="30"/>
        <v>421.79711744867814</v>
      </c>
      <c r="I290" s="15">
        <f t="shared" si="28"/>
        <v>0</v>
      </c>
      <c r="J290" s="2">
        <f t="shared" si="31"/>
        <v>271214.36918266851</v>
      </c>
      <c r="K290" s="2">
        <f t="shared" si="33"/>
        <v>126539.13523460344</v>
      </c>
    </row>
    <row r="291" spans="2:11">
      <c r="B291" s="17"/>
      <c r="C291" s="17"/>
      <c r="D291">
        <v>287</v>
      </c>
      <c r="E291" s="1">
        <v>51806</v>
      </c>
      <c r="F291" s="2">
        <f t="shared" si="32"/>
        <v>1909.6611818618114</v>
      </c>
      <c r="G291" s="2">
        <f t="shared" si="29"/>
        <v>1492.8236112945103</v>
      </c>
      <c r="H291" s="2">
        <f t="shared" si="30"/>
        <v>416.83757056730104</v>
      </c>
      <c r="I291" s="15">
        <f t="shared" si="28"/>
        <v>0</v>
      </c>
      <c r="J291" s="2">
        <f t="shared" si="31"/>
        <v>271631.20675323583</v>
      </c>
      <c r="K291" s="2">
        <f t="shared" si="33"/>
        <v>125051.2711701903</v>
      </c>
    </row>
    <row r="292" spans="2:11">
      <c r="B292" s="18"/>
      <c r="C292" s="18"/>
      <c r="D292">
        <v>288</v>
      </c>
      <c r="E292" s="1">
        <v>51836</v>
      </c>
      <c r="F292" s="2">
        <f t="shared" si="32"/>
        <v>1909.6611818618114</v>
      </c>
      <c r="G292" s="2">
        <f t="shared" si="29"/>
        <v>1497.7996899988254</v>
      </c>
      <c r="H292" s="2">
        <f t="shared" si="30"/>
        <v>411.86149186298599</v>
      </c>
      <c r="I292" s="15">
        <f t="shared" si="28"/>
        <v>0</v>
      </c>
      <c r="J292" s="2">
        <f t="shared" si="31"/>
        <v>272043.06824509881</v>
      </c>
      <c r="K292" s="2">
        <f t="shared" si="33"/>
        <v>123558.44755889579</v>
      </c>
    </row>
    <row r="293" spans="2:11">
      <c r="B293" s="17"/>
      <c r="C293" s="17"/>
      <c r="D293">
        <v>289</v>
      </c>
      <c r="E293" s="1">
        <v>51867</v>
      </c>
      <c r="F293" s="2">
        <f t="shared" si="32"/>
        <v>1909.6611818618114</v>
      </c>
      <c r="G293" s="2">
        <f t="shared" si="29"/>
        <v>1502.7923556321548</v>
      </c>
      <c r="H293" s="2">
        <f t="shared" si="30"/>
        <v>406.86882622965658</v>
      </c>
      <c r="I293" s="15">
        <f t="shared" si="28"/>
        <v>0</v>
      </c>
      <c r="J293" s="2">
        <f t="shared" si="31"/>
        <v>272449.93707132846</v>
      </c>
      <c r="K293" s="2">
        <f t="shared" si="33"/>
        <v>122060.64786889697</v>
      </c>
    </row>
    <row r="294" spans="2:11">
      <c r="B294" s="18"/>
      <c r="C294" s="18"/>
      <c r="D294">
        <v>290</v>
      </c>
      <c r="E294" s="1">
        <v>51898</v>
      </c>
      <c r="F294" s="2">
        <f t="shared" si="32"/>
        <v>1909.6611818618114</v>
      </c>
      <c r="G294" s="2">
        <f t="shared" si="29"/>
        <v>1507.801663484262</v>
      </c>
      <c r="H294" s="2">
        <f t="shared" si="30"/>
        <v>401.85951837754936</v>
      </c>
      <c r="I294" s="15">
        <f t="shared" si="28"/>
        <v>0</v>
      </c>
      <c r="J294" s="2">
        <f t="shared" si="31"/>
        <v>272851.79658970603</v>
      </c>
      <c r="K294" s="2">
        <f t="shared" si="33"/>
        <v>120557.8555132648</v>
      </c>
    </row>
    <row r="295" spans="2:11">
      <c r="B295" s="17"/>
      <c r="C295" s="17"/>
      <c r="D295">
        <v>291</v>
      </c>
      <c r="E295" s="1">
        <v>51926</v>
      </c>
      <c r="F295" s="2">
        <f t="shared" si="32"/>
        <v>1909.6611818618114</v>
      </c>
      <c r="G295" s="2">
        <f t="shared" si="29"/>
        <v>1512.8276690292096</v>
      </c>
      <c r="H295" s="2">
        <f t="shared" si="30"/>
        <v>396.8335128326018</v>
      </c>
      <c r="I295" s="15">
        <f t="shared" si="28"/>
        <v>0</v>
      </c>
      <c r="J295" s="2">
        <f t="shared" si="31"/>
        <v>273248.63010253862</v>
      </c>
      <c r="K295" s="2">
        <f t="shared" si="33"/>
        <v>119050.05384978054</v>
      </c>
    </row>
    <row r="296" spans="2:11">
      <c r="B296" s="18"/>
      <c r="C296" s="18"/>
      <c r="D296">
        <v>292</v>
      </c>
      <c r="E296" s="1">
        <v>51957</v>
      </c>
      <c r="F296" s="2">
        <f t="shared" si="32"/>
        <v>1909.6611818618114</v>
      </c>
      <c r="G296" s="2">
        <f t="shared" si="29"/>
        <v>1517.8704279259737</v>
      </c>
      <c r="H296" s="2">
        <f t="shared" si="30"/>
        <v>391.79075393583776</v>
      </c>
      <c r="I296" s="15">
        <f t="shared" si="28"/>
        <v>0</v>
      </c>
      <c r="J296" s="2">
        <f t="shared" si="31"/>
        <v>273640.42085647443</v>
      </c>
      <c r="K296" s="2">
        <f t="shared" si="33"/>
        <v>117537.22618075133</v>
      </c>
    </row>
    <row r="297" spans="2:11">
      <c r="B297" s="17"/>
      <c r="C297" s="17"/>
      <c r="D297">
        <v>293</v>
      </c>
      <c r="E297" s="1">
        <v>51987</v>
      </c>
      <c r="F297" s="2">
        <f t="shared" si="32"/>
        <v>1909.6611818618114</v>
      </c>
      <c r="G297" s="2">
        <f t="shared" si="29"/>
        <v>1522.9299960190601</v>
      </c>
      <c r="H297" s="2">
        <f t="shared" si="30"/>
        <v>386.73118584275124</v>
      </c>
      <c r="I297" s="15">
        <f t="shared" si="28"/>
        <v>0</v>
      </c>
      <c r="J297" s="2">
        <f t="shared" si="31"/>
        <v>274027.1520423172</v>
      </c>
      <c r="K297" s="2">
        <f t="shared" si="33"/>
        <v>116019.35575282536</v>
      </c>
    </row>
    <row r="298" spans="2:11">
      <c r="B298" s="18"/>
      <c r="C298" s="18"/>
      <c r="D298">
        <v>294</v>
      </c>
      <c r="E298" s="1">
        <v>52018</v>
      </c>
      <c r="F298" s="2">
        <f t="shared" si="32"/>
        <v>1909.6611818618114</v>
      </c>
      <c r="G298" s="2">
        <f t="shared" si="29"/>
        <v>1528.0064293391238</v>
      </c>
      <c r="H298" s="2">
        <f t="shared" si="30"/>
        <v>381.65475252268772</v>
      </c>
      <c r="I298" s="15">
        <f t="shared" si="28"/>
        <v>0</v>
      </c>
      <c r="J298" s="2">
        <f t="shared" si="31"/>
        <v>274408.80679483991</v>
      </c>
      <c r="K298" s="2">
        <f t="shared" si="33"/>
        <v>114496.4257568063</v>
      </c>
    </row>
    <row r="299" spans="2:11">
      <c r="B299" s="17"/>
      <c r="C299" s="17"/>
      <c r="D299">
        <v>295</v>
      </c>
      <c r="E299" s="1">
        <v>52048</v>
      </c>
      <c r="F299" s="2">
        <f t="shared" si="32"/>
        <v>1909.6611818618114</v>
      </c>
      <c r="G299" s="2">
        <f t="shared" si="29"/>
        <v>1533.0997841035874</v>
      </c>
      <c r="H299" s="2">
        <f t="shared" si="30"/>
        <v>376.56139775822396</v>
      </c>
      <c r="I299" s="15">
        <f t="shared" si="28"/>
        <v>0</v>
      </c>
      <c r="J299" s="2">
        <f t="shared" si="31"/>
        <v>274785.36819259811</v>
      </c>
      <c r="K299" s="2">
        <f t="shared" si="33"/>
        <v>112968.41932746719</v>
      </c>
    </row>
    <row r="300" spans="2:11">
      <c r="B300" s="18"/>
      <c r="C300" s="18"/>
      <c r="D300">
        <v>296</v>
      </c>
      <c r="E300" s="1">
        <v>52079</v>
      </c>
      <c r="F300" s="2">
        <f t="shared" si="32"/>
        <v>1909.6611818618114</v>
      </c>
      <c r="G300" s="2">
        <f t="shared" si="29"/>
        <v>1538.2101167172661</v>
      </c>
      <c r="H300" s="2">
        <f t="shared" si="30"/>
        <v>371.45106514454534</v>
      </c>
      <c r="I300" s="15">
        <f t="shared" si="28"/>
        <v>0</v>
      </c>
      <c r="J300" s="2">
        <f t="shared" si="31"/>
        <v>275156.81925774267</v>
      </c>
      <c r="K300" s="2">
        <f t="shared" si="33"/>
        <v>111435.3195433636</v>
      </c>
    </row>
    <row r="301" spans="2:11">
      <c r="B301" s="17"/>
      <c r="C301" s="17"/>
      <c r="D301">
        <v>297</v>
      </c>
      <c r="E301" s="1">
        <v>52110</v>
      </c>
      <c r="F301" s="2">
        <f t="shared" si="32"/>
        <v>1909.6611818618114</v>
      </c>
      <c r="G301" s="2">
        <f t="shared" si="29"/>
        <v>1543.3374837729903</v>
      </c>
      <c r="H301" s="2">
        <f t="shared" si="30"/>
        <v>366.32369808882112</v>
      </c>
      <c r="I301" s="15">
        <f t="shared" si="28"/>
        <v>0</v>
      </c>
      <c r="J301" s="2">
        <f t="shared" si="31"/>
        <v>275523.14295583148</v>
      </c>
      <c r="K301" s="2">
        <f t="shared" si="33"/>
        <v>109897.10942664633</v>
      </c>
    </row>
    <row r="302" spans="2:11">
      <c r="B302" s="18"/>
      <c r="C302" s="18"/>
      <c r="D302">
        <v>298</v>
      </c>
      <c r="E302" s="1">
        <v>52140</v>
      </c>
      <c r="F302" s="2">
        <f t="shared" si="32"/>
        <v>1909.6611818618114</v>
      </c>
      <c r="G302" s="2">
        <f t="shared" si="29"/>
        <v>1548.4819420522335</v>
      </c>
      <c r="H302" s="2">
        <f t="shared" si="30"/>
        <v>361.17923980957784</v>
      </c>
      <c r="I302" s="15">
        <f t="shared" si="28"/>
        <v>0</v>
      </c>
      <c r="J302" s="2">
        <f t="shared" si="31"/>
        <v>275884.32219564106</v>
      </c>
      <c r="K302" s="2">
        <f t="shared" si="33"/>
        <v>108353.77194287334</v>
      </c>
    </row>
    <row r="303" spans="2:11">
      <c r="B303" s="17"/>
      <c r="C303" s="17"/>
      <c r="D303">
        <v>299</v>
      </c>
      <c r="E303" s="1">
        <v>52171</v>
      </c>
      <c r="F303" s="2">
        <f t="shared" si="32"/>
        <v>1909.6611818618114</v>
      </c>
      <c r="G303" s="2">
        <f t="shared" si="29"/>
        <v>1553.6435485257412</v>
      </c>
      <c r="H303" s="2">
        <f t="shared" si="30"/>
        <v>356.01763333607033</v>
      </c>
      <c r="I303" s="15">
        <f t="shared" si="28"/>
        <v>0</v>
      </c>
      <c r="J303" s="2">
        <f t="shared" si="31"/>
        <v>276240.33982897713</v>
      </c>
      <c r="K303" s="2">
        <f t="shared" si="33"/>
        <v>106805.2900008211</v>
      </c>
    </row>
    <row r="304" spans="2:11">
      <c r="B304" s="18"/>
      <c r="C304" s="18"/>
      <c r="D304">
        <v>300</v>
      </c>
      <c r="E304" s="1">
        <v>52201</v>
      </c>
      <c r="F304" s="2">
        <f t="shared" si="32"/>
        <v>1909.6611818618114</v>
      </c>
      <c r="G304" s="2">
        <f t="shared" si="29"/>
        <v>1558.8223603541601</v>
      </c>
      <c r="H304" s="2">
        <f t="shared" si="30"/>
        <v>350.83882150765123</v>
      </c>
      <c r="I304" s="15">
        <f t="shared" si="28"/>
        <v>0</v>
      </c>
      <c r="J304" s="2">
        <f t="shared" si="31"/>
        <v>276591.17865048477</v>
      </c>
      <c r="K304" s="2">
        <f t="shared" si="33"/>
        <v>105251.64645229536</v>
      </c>
    </row>
    <row r="305" spans="2:11">
      <c r="B305" s="17"/>
      <c r="C305" s="17"/>
      <c r="D305">
        <v>301</v>
      </c>
      <c r="E305" s="1">
        <v>52232</v>
      </c>
      <c r="F305" s="2">
        <f t="shared" si="32"/>
        <v>1909.6611818618114</v>
      </c>
      <c r="G305" s="2">
        <f t="shared" si="29"/>
        <v>1564.0184348886742</v>
      </c>
      <c r="H305" s="2">
        <f t="shared" si="30"/>
        <v>345.64274697313738</v>
      </c>
      <c r="I305" s="15">
        <f t="shared" si="28"/>
        <v>0</v>
      </c>
      <c r="J305" s="2">
        <f t="shared" si="31"/>
        <v>276936.82139745791</v>
      </c>
      <c r="K305" s="2">
        <f t="shared" si="33"/>
        <v>103692.82409194121</v>
      </c>
    </row>
    <row r="306" spans="2:11">
      <c r="B306" s="18"/>
      <c r="C306" s="18"/>
      <c r="D306">
        <v>302</v>
      </c>
      <c r="E306" s="1">
        <v>52263</v>
      </c>
      <c r="F306" s="2">
        <f t="shared" si="32"/>
        <v>1909.6611818618114</v>
      </c>
      <c r="G306" s="2">
        <f t="shared" si="29"/>
        <v>1569.2318296716362</v>
      </c>
      <c r="H306" s="2">
        <f t="shared" si="30"/>
        <v>340.42935219017517</v>
      </c>
      <c r="I306" s="15">
        <f t="shared" si="28"/>
        <v>0</v>
      </c>
      <c r="J306" s="2">
        <f t="shared" si="31"/>
        <v>277277.25074964808</v>
      </c>
      <c r="K306" s="2">
        <f t="shared" si="33"/>
        <v>102128.80565705254</v>
      </c>
    </row>
    <row r="307" spans="2:11">
      <c r="B307" s="17"/>
      <c r="C307" s="17"/>
      <c r="D307">
        <v>303</v>
      </c>
      <c r="E307" s="1">
        <v>52291</v>
      </c>
      <c r="F307" s="2">
        <f t="shared" si="32"/>
        <v>1909.6611818618114</v>
      </c>
      <c r="G307" s="2">
        <f t="shared" si="29"/>
        <v>1574.4626024372085</v>
      </c>
      <c r="H307" s="2">
        <f t="shared" si="30"/>
        <v>335.198579424603</v>
      </c>
      <c r="I307" s="15">
        <f t="shared" si="28"/>
        <v>0</v>
      </c>
      <c r="J307" s="2">
        <f t="shared" si="31"/>
        <v>277612.44932907267</v>
      </c>
      <c r="K307" s="2">
        <f t="shared" si="33"/>
        <v>100559.5738273809</v>
      </c>
    </row>
    <row r="308" spans="2:11">
      <c r="B308" s="18"/>
      <c r="C308" s="18"/>
      <c r="D308">
        <v>304</v>
      </c>
      <c r="E308" s="1">
        <v>52322</v>
      </c>
      <c r="F308" s="2">
        <f t="shared" si="32"/>
        <v>1909.6611818618114</v>
      </c>
      <c r="G308" s="2">
        <f t="shared" si="29"/>
        <v>1579.7108111119992</v>
      </c>
      <c r="H308" s="2">
        <f t="shared" si="30"/>
        <v>329.95037074981229</v>
      </c>
      <c r="I308" s="15">
        <f t="shared" si="28"/>
        <v>0</v>
      </c>
      <c r="J308" s="2">
        <f t="shared" si="31"/>
        <v>277942.39969982248</v>
      </c>
      <c r="K308" s="2">
        <f t="shared" si="33"/>
        <v>98985.111224943685</v>
      </c>
    </row>
    <row r="309" spans="2:11">
      <c r="B309" s="17"/>
      <c r="C309" s="17"/>
      <c r="D309">
        <v>305</v>
      </c>
      <c r="E309" s="1">
        <v>52352</v>
      </c>
      <c r="F309" s="2">
        <f t="shared" si="32"/>
        <v>1909.6611818618114</v>
      </c>
      <c r="G309" s="2">
        <f t="shared" si="29"/>
        <v>1584.9765138157059</v>
      </c>
      <c r="H309" s="2">
        <f t="shared" si="30"/>
        <v>324.68466804610563</v>
      </c>
      <c r="I309" s="15">
        <f t="shared" si="28"/>
        <v>0</v>
      </c>
      <c r="J309" s="2">
        <f t="shared" si="31"/>
        <v>278267.08436786861</v>
      </c>
      <c r="K309" s="2">
        <f t="shared" si="33"/>
        <v>97405.400413831681</v>
      </c>
    </row>
    <row r="310" spans="2:11">
      <c r="B310" s="18"/>
      <c r="C310" s="18"/>
      <c r="D310">
        <v>306</v>
      </c>
      <c r="E310" s="1">
        <v>52383</v>
      </c>
      <c r="F310" s="2">
        <f t="shared" si="32"/>
        <v>1909.6611818618114</v>
      </c>
      <c r="G310" s="2">
        <f t="shared" si="29"/>
        <v>1590.2597688617582</v>
      </c>
      <c r="H310" s="2">
        <f t="shared" si="30"/>
        <v>319.40141300005325</v>
      </c>
      <c r="I310" s="15">
        <f t="shared" si="28"/>
        <v>0</v>
      </c>
      <c r="J310" s="2">
        <f t="shared" si="31"/>
        <v>278586.48578086868</v>
      </c>
      <c r="K310" s="2">
        <f t="shared" si="33"/>
        <v>95820.423900015972</v>
      </c>
    </row>
    <row r="311" spans="2:11">
      <c r="B311" s="17"/>
      <c r="C311" s="17"/>
      <c r="D311">
        <v>307</v>
      </c>
      <c r="E311" s="1">
        <v>52413</v>
      </c>
      <c r="F311" s="2">
        <f t="shared" si="32"/>
        <v>1909.6611818618114</v>
      </c>
      <c r="G311" s="2">
        <f t="shared" si="29"/>
        <v>1595.560634757964</v>
      </c>
      <c r="H311" s="2">
        <f t="shared" si="30"/>
        <v>314.10054710384742</v>
      </c>
      <c r="I311" s="15">
        <f t="shared" si="28"/>
        <v>0</v>
      </c>
      <c r="J311" s="2">
        <f t="shared" si="31"/>
        <v>278900.58632797253</v>
      </c>
      <c r="K311" s="2">
        <f t="shared" si="33"/>
        <v>94230.164131154219</v>
      </c>
    </row>
    <row r="312" spans="2:11">
      <c r="B312" s="18"/>
      <c r="C312" s="18"/>
      <c r="D312">
        <v>308</v>
      </c>
      <c r="E312" s="1">
        <v>52444</v>
      </c>
      <c r="F312" s="2">
        <f t="shared" si="32"/>
        <v>1909.6611818618114</v>
      </c>
      <c r="G312" s="2">
        <f t="shared" si="29"/>
        <v>1600.8791702071571</v>
      </c>
      <c r="H312" s="2">
        <f t="shared" si="30"/>
        <v>308.78201165465424</v>
      </c>
      <c r="I312" s="15">
        <f t="shared" si="28"/>
        <v>0</v>
      </c>
      <c r="J312" s="2">
        <f t="shared" si="31"/>
        <v>279209.36833962717</v>
      </c>
      <c r="K312" s="2">
        <f t="shared" si="33"/>
        <v>92634.603496396259</v>
      </c>
    </row>
    <row r="313" spans="2:11">
      <c r="B313" s="17"/>
      <c r="C313" s="17"/>
      <c r="D313">
        <v>309</v>
      </c>
      <c r="E313" s="1">
        <v>52475</v>
      </c>
      <c r="F313" s="2">
        <f t="shared" si="32"/>
        <v>1909.6611818618114</v>
      </c>
      <c r="G313" s="2">
        <f t="shared" si="29"/>
        <v>1606.2154341078476</v>
      </c>
      <c r="H313" s="2">
        <f t="shared" si="30"/>
        <v>303.4457477539637</v>
      </c>
      <c r="I313" s="15">
        <f t="shared" si="28"/>
        <v>0</v>
      </c>
      <c r="J313" s="2">
        <f t="shared" si="31"/>
        <v>279512.81408738112</v>
      </c>
      <c r="K313" s="2">
        <f t="shared" si="33"/>
        <v>91033.724326189098</v>
      </c>
    </row>
    <row r="314" spans="2:11">
      <c r="B314" s="18"/>
      <c r="C314" s="18"/>
      <c r="D314">
        <v>310</v>
      </c>
      <c r="E314" s="1">
        <v>52505</v>
      </c>
      <c r="F314" s="2">
        <f t="shared" si="32"/>
        <v>1909.6611818618114</v>
      </c>
      <c r="G314" s="2">
        <f t="shared" si="29"/>
        <v>1611.5694855548738</v>
      </c>
      <c r="H314" s="2">
        <f t="shared" si="30"/>
        <v>298.09169630693754</v>
      </c>
      <c r="I314" s="15">
        <f t="shared" si="28"/>
        <v>0</v>
      </c>
      <c r="J314" s="2">
        <f t="shared" si="31"/>
        <v>279810.90578368807</v>
      </c>
      <c r="K314" s="2">
        <f t="shared" si="33"/>
        <v>89427.508892081256</v>
      </c>
    </row>
    <row r="315" spans="2:11">
      <c r="B315" s="17"/>
      <c r="C315" s="17"/>
      <c r="D315">
        <v>311</v>
      </c>
      <c r="E315" s="1">
        <v>52536</v>
      </c>
      <c r="F315" s="2">
        <f t="shared" si="32"/>
        <v>1909.6611818618114</v>
      </c>
      <c r="G315" s="2">
        <f t="shared" si="29"/>
        <v>1616.9413838400569</v>
      </c>
      <c r="H315" s="2">
        <f t="shared" si="30"/>
        <v>292.71979802175463</v>
      </c>
      <c r="I315" s="15">
        <f t="shared" si="28"/>
        <v>0</v>
      </c>
      <c r="J315" s="2">
        <f t="shared" si="31"/>
        <v>280103.62558170984</v>
      </c>
      <c r="K315" s="2">
        <f t="shared" si="33"/>
        <v>87815.939406526377</v>
      </c>
    </row>
    <row r="316" spans="2:11">
      <c r="B316" s="18"/>
      <c r="C316" s="18"/>
      <c r="D316">
        <v>312</v>
      </c>
      <c r="E316" s="1">
        <v>52566</v>
      </c>
      <c r="F316" s="2">
        <f t="shared" si="32"/>
        <v>1909.6611818618114</v>
      </c>
      <c r="G316" s="2">
        <f t="shared" si="29"/>
        <v>1622.3311884528571</v>
      </c>
      <c r="H316" s="2">
        <f t="shared" si="30"/>
        <v>287.32999340895446</v>
      </c>
      <c r="I316" s="15">
        <f t="shared" si="28"/>
        <v>0</v>
      </c>
      <c r="J316" s="2">
        <f t="shared" si="31"/>
        <v>280390.95557511877</v>
      </c>
      <c r="K316" s="2">
        <f t="shared" si="33"/>
        <v>86198.998022686326</v>
      </c>
    </row>
    <row r="317" spans="2:11">
      <c r="B317" s="17"/>
      <c r="C317" s="17"/>
      <c r="D317">
        <v>313</v>
      </c>
      <c r="E317" s="1">
        <v>52597</v>
      </c>
      <c r="F317" s="2">
        <f t="shared" si="32"/>
        <v>1909.6611818618114</v>
      </c>
      <c r="G317" s="2">
        <f t="shared" si="29"/>
        <v>1627.738959081033</v>
      </c>
      <c r="H317" s="2">
        <f t="shared" si="30"/>
        <v>281.92222278077827</v>
      </c>
      <c r="I317" s="15">
        <f t="shared" si="28"/>
        <v>0</v>
      </c>
      <c r="J317" s="2">
        <f t="shared" si="31"/>
        <v>280672.87779789953</v>
      </c>
      <c r="K317" s="2">
        <f t="shared" si="33"/>
        <v>84576.666834233474</v>
      </c>
    </row>
    <row r="318" spans="2:11">
      <c r="B318" s="18"/>
      <c r="C318" s="18"/>
      <c r="D318">
        <v>314</v>
      </c>
      <c r="E318" s="1">
        <v>52628</v>
      </c>
      <c r="F318" s="2">
        <f t="shared" si="32"/>
        <v>1909.6611818618114</v>
      </c>
      <c r="G318" s="2">
        <f t="shared" si="29"/>
        <v>1633.1647556113032</v>
      </c>
      <c r="H318" s="2">
        <f t="shared" si="30"/>
        <v>276.49642625050814</v>
      </c>
      <c r="I318" s="15">
        <f t="shared" si="28"/>
        <v>0</v>
      </c>
      <c r="J318" s="2">
        <f t="shared" si="31"/>
        <v>280949.37422415003</v>
      </c>
      <c r="K318" s="2">
        <f t="shared" si="33"/>
        <v>82948.92787515244</v>
      </c>
    </row>
    <row r="319" spans="2:11">
      <c r="B319" s="17"/>
      <c r="C319" s="17"/>
      <c r="D319">
        <v>315</v>
      </c>
      <c r="E319" s="1">
        <v>52657</v>
      </c>
      <c r="F319" s="2">
        <f t="shared" si="32"/>
        <v>1909.6611818618114</v>
      </c>
      <c r="G319" s="2">
        <f t="shared" si="29"/>
        <v>1638.6086381300076</v>
      </c>
      <c r="H319" s="2">
        <f t="shared" si="30"/>
        <v>271.05254373180384</v>
      </c>
      <c r="I319" s="15">
        <f t="shared" si="28"/>
        <v>0</v>
      </c>
      <c r="J319" s="2">
        <f t="shared" si="31"/>
        <v>281220.42676788184</v>
      </c>
      <c r="K319" s="2">
        <f t="shared" si="33"/>
        <v>81315.763119541138</v>
      </c>
    </row>
    <row r="320" spans="2:11">
      <c r="B320" s="18"/>
      <c r="C320" s="18"/>
      <c r="D320">
        <v>316</v>
      </c>
      <c r="E320" s="1">
        <v>52688</v>
      </c>
      <c r="F320" s="2">
        <f t="shared" si="32"/>
        <v>1909.6611818618114</v>
      </c>
      <c r="G320" s="2">
        <f t="shared" si="29"/>
        <v>1644.0706669237743</v>
      </c>
      <c r="H320" s="2">
        <f t="shared" si="30"/>
        <v>265.59051493803713</v>
      </c>
      <c r="I320" s="15">
        <f t="shared" si="28"/>
        <v>0</v>
      </c>
      <c r="J320" s="2">
        <f t="shared" si="31"/>
        <v>281486.0172828199</v>
      </c>
      <c r="K320" s="2">
        <f t="shared" si="33"/>
        <v>79677.154481411126</v>
      </c>
    </row>
    <row r="321" spans="2:11">
      <c r="B321" s="17"/>
      <c r="C321" s="17"/>
      <c r="D321">
        <v>317</v>
      </c>
      <c r="E321" s="1">
        <v>52718</v>
      </c>
      <c r="F321" s="2">
        <f t="shared" si="32"/>
        <v>1909.6611818618114</v>
      </c>
      <c r="G321" s="2">
        <f t="shared" si="29"/>
        <v>1649.5509024801868</v>
      </c>
      <c r="H321" s="2">
        <f t="shared" si="30"/>
        <v>260.11027938162454</v>
      </c>
      <c r="I321" s="15">
        <f t="shared" si="28"/>
        <v>0</v>
      </c>
      <c r="J321" s="2">
        <f t="shared" si="31"/>
        <v>281746.12756220152</v>
      </c>
      <c r="K321" s="2">
        <f t="shared" si="33"/>
        <v>78033.083814487356</v>
      </c>
    </row>
    <row r="322" spans="2:11">
      <c r="B322" s="18"/>
      <c r="C322" s="18"/>
      <c r="D322">
        <v>318</v>
      </c>
      <c r="E322" s="1">
        <v>52749</v>
      </c>
      <c r="F322" s="2">
        <f t="shared" si="32"/>
        <v>1909.6611818618114</v>
      </c>
      <c r="G322" s="2">
        <f t="shared" si="29"/>
        <v>1655.0494054884541</v>
      </c>
      <c r="H322" s="2">
        <f t="shared" si="30"/>
        <v>254.61177637335726</v>
      </c>
      <c r="I322" s="15">
        <f t="shared" si="28"/>
        <v>0</v>
      </c>
      <c r="J322" s="2">
        <f t="shared" si="31"/>
        <v>282000.73933857487</v>
      </c>
      <c r="K322" s="2">
        <f t="shared" si="33"/>
        <v>76383.532912007169</v>
      </c>
    </row>
    <row r="323" spans="2:11">
      <c r="B323" s="17"/>
      <c r="C323" s="17"/>
      <c r="D323">
        <v>319</v>
      </c>
      <c r="E323" s="1">
        <v>52779</v>
      </c>
      <c r="F323" s="2">
        <f t="shared" si="32"/>
        <v>1909.6611818618114</v>
      </c>
      <c r="G323" s="2">
        <f t="shared" si="29"/>
        <v>1660.5662368400824</v>
      </c>
      <c r="H323" s="2">
        <f t="shared" si="30"/>
        <v>249.09494502172907</v>
      </c>
      <c r="I323" s="15">
        <f t="shared" si="28"/>
        <v>0</v>
      </c>
      <c r="J323" s="2">
        <f t="shared" si="31"/>
        <v>282249.8342835966</v>
      </c>
      <c r="K323" s="2">
        <f t="shared" si="33"/>
        <v>74728.483506518722</v>
      </c>
    </row>
    <row r="324" spans="2:11">
      <c r="B324" s="18"/>
      <c r="C324" s="18"/>
      <c r="D324">
        <v>320</v>
      </c>
      <c r="E324" s="1">
        <v>52810</v>
      </c>
      <c r="F324" s="2">
        <f t="shared" si="32"/>
        <v>1909.6611818618114</v>
      </c>
      <c r="G324" s="2">
        <f t="shared" si="29"/>
        <v>1666.1014576295493</v>
      </c>
      <c r="H324" s="2">
        <f t="shared" si="30"/>
        <v>243.55972423226214</v>
      </c>
      <c r="I324" s="15">
        <f t="shared" si="28"/>
        <v>0</v>
      </c>
      <c r="J324" s="2">
        <f t="shared" si="31"/>
        <v>282493.39400782884</v>
      </c>
      <c r="K324" s="2">
        <f t="shared" si="33"/>
        <v>73067.917269678641</v>
      </c>
    </row>
    <row r="325" spans="2:11">
      <c r="B325" s="17"/>
      <c r="C325" s="17"/>
      <c r="D325">
        <v>321</v>
      </c>
      <c r="E325" s="1">
        <v>52841</v>
      </c>
      <c r="F325" s="2">
        <f t="shared" si="32"/>
        <v>1909.6611818618114</v>
      </c>
      <c r="G325" s="2">
        <f t="shared" si="29"/>
        <v>1671.6551291549811</v>
      </c>
      <c r="H325" s="2">
        <f t="shared" si="30"/>
        <v>238.0060527068303</v>
      </c>
      <c r="I325" s="15">
        <f t="shared" ref="I325:I364" si="34">IF(AND(MOD(D325,12)=2, $B$2&gt;0,K325&gt;$B$2),$B$2,IF(K325=0,0,IF(D325&lt;=$B$3,$I$1,0)))</f>
        <v>0</v>
      </c>
      <c r="J325" s="2">
        <f t="shared" si="31"/>
        <v>282731.4000605357</v>
      </c>
      <c r="K325" s="2">
        <f t="shared" si="33"/>
        <v>71401.815812049084</v>
      </c>
    </row>
    <row r="326" spans="2:11">
      <c r="B326" s="18"/>
      <c r="C326" s="18"/>
      <c r="D326">
        <v>322</v>
      </c>
      <c r="E326" s="1">
        <v>52871</v>
      </c>
      <c r="F326" s="2">
        <f t="shared" si="32"/>
        <v>1909.6611818618114</v>
      </c>
      <c r="G326" s="2">
        <f t="shared" si="29"/>
        <v>1677.2273129188311</v>
      </c>
      <c r="H326" s="2">
        <f t="shared" si="30"/>
        <v>232.43386894298035</v>
      </c>
      <c r="I326" s="15">
        <f t="shared" si="34"/>
        <v>0</v>
      </c>
      <c r="J326" s="2">
        <f t="shared" si="31"/>
        <v>282963.83392947866</v>
      </c>
      <c r="K326" s="2">
        <f t="shared" si="33"/>
        <v>69730.1606828941</v>
      </c>
    </row>
    <row r="327" spans="2:11">
      <c r="B327" s="17"/>
      <c r="C327" s="17"/>
      <c r="D327">
        <v>323</v>
      </c>
      <c r="E327" s="1">
        <v>52902</v>
      </c>
      <c r="F327" s="2">
        <f t="shared" si="32"/>
        <v>1909.6611818618114</v>
      </c>
      <c r="G327" s="2">
        <f t="shared" ref="G327:G364" si="35">+F327-H327</f>
        <v>1682.8180706285605</v>
      </c>
      <c r="H327" s="2">
        <f t="shared" si="30"/>
        <v>226.84311123325094</v>
      </c>
      <c r="I327" s="15">
        <f t="shared" si="34"/>
        <v>0</v>
      </c>
      <c r="J327" s="2">
        <f t="shared" si="31"/>
        <v>283190.67704071192</v>
      </c>
      <c r="K327" s="2">
        <f t="shared" si="33"/>
        <v>68052.933369975275</v>
      </c>
    </row>
    <row r="328" spans="2:11">
      <c r="B328" s="18"/>
      <c r="C328" s="18"/>
      <c r="D328">
        <v>324</v>
      </c>
      <c r="E328" s="1">
        <v>52932</v>
      </c>
      <c r="F328" s="2">
        <f t="shared" si="32"/>
        <v>1909.6611818618114</v>
      </c>
      <c r="G328" s="2">
        <f t="shared" si="35"/>
        <v>1688.4274641973225</v>
      </c>
      <c r="H328" s="2">
        <f t="shared" ref="H328:H364" si="36">($G$2/12)*K328</f>
        <v>221.23371766448906</v>
      </c>
      <c r="I328" s="15">
        <f t="shared" si="34"/>
        <v>0</v>
      </c>
      <c r="J328" s="2">
        <f t="shared" ref="J328:J364" si="37">IF(K328=0,0,J327+H328)</f>
        <v>283411.91075837641</v>
      </c>
      <c r="K328" s="2">
        <f t="shared" si="33"/>
        <v>66370.115299346711</v>
      </c>
    </row>
    <row r="329" spans="2:11">
      <c r="B329" s="17"/>
      <c r="C329" s="17"/>
      <c r="D329">
        <v>325</v>
      </c>
      <c r="E329" s="1">
        <v>52963</v>
      </c>
      <c r="F329" s="2">
        <f t="shared" ref="F329:F364" si="38">IF( (K329+20)&lt;$F$5, H329+K329,I329+$G$1*($G$2/12)*(1+($G$2/12))^($G$3*12)/((1+($G$2/12))^($G$3*12)-1))</f>
        <v>1909.6611818618114</v>
      </c>
      <c r="G329" s="2">
        <f t="shared" si="35"/>
        <v>1694.0555557446469</v>
      </c>
      <c r="H329" s="2">
        <f t="shared" si="36"/>
        <v>215.60562611716463</v>
      </c>
      <c r="I329" s="15">
        <f t="shared" si="34"/>
        <v>0</v>
      </c>
      <c r="J329" s="2">
        <f t="shared" si="37"/>
        <v>283627.51638449356</v>
      </c>
      <c r="K329" s="2">
        <f t="shared" si="33"/>
        <v>64681.687835149387</v>
      </c>
    </row>
    <row r="330" spans="2:11">
      <c r="B330" s="18"/>
      <c r="C330" s="18"/>
      <c r="D330">
        <v>326</v>
      </c>
      <c r="E330" s="1">
        <v>52994</v>
      </c>
      <c r="F330" s="2">
        <f t="shared" si="38"/>
        <v>1909.6611818618114</v>
      </c>
      <c r="G330" s="2">
        <f t="shared" si="35"/>
        <v>1699.702407597129</v>
      </c>
      <c r="H330" s="2">
        <f t="shared" si="36"/>
        <v>209.95877426468246</v>
      </c>
      <c r="I330" s="15">
        <f t="shared" si="34"/>
        <v>0</v>
      </c>
      <c r="J330" s="2">
        <f t="shared" si="37"/>
        <v>283837.47515875823</v>
      </c>
      <c r="K330" s="2">
        <f t="shared" ref="K330:K364" si="39">K329-G329</f>
        <v>62987.632279404737</v>
      </c>
    </row>
    <row r="331" spans="2:11">
      <c r="B331" s="17"/>
      <c r="C331" s="17"/>
      <c r="D331">
        <v>327</v>
      </c>
      <c r="E331" s="1">
        <v>53022</v>
      </c>
      <c r="F331" s="2">
        <f t="shared" si="38"/>
        <v>1909.6611818618114</v>
      </c>
      <c r="G331" s="2">
        <f t="shared" si="35"/>
        <v>1705.3680822891195</v>
      </c>
      <c r="H331" s="2">
        <f t="shared" si="36"/>
        <v>204.29309957269206</v>
      </c>
      <c r="I331" s="15">
        <f t="shared" si="34"/>
        <v>0</v>
      </c>
      <c r="J331" s="2">
        <f t="shared" si="37"/>
        <v>284041.76825833094</v>
      </c>
      <c r="K331" s="2">
        <f t="shared" si="39"/>
        <v>61287.92987180761</v>
      </c>
    </row>
    <row r="332" spans="2:11">
      <c r="B332" s="18"/>
      <c r="C332" s="18"/>
      <c r="D332">
        <v>328</v>
      </c>
      <c r="E332" s="1">
        <v>53053</v>
      </c>
      <c r="F332" s="2">
        <f t="shared" si="38"/>
        <v>1909.6611818618114</v>
      </c>
      <c r="G332" s="2">
        <f t="shared" si="35"/>
        <v>1711.0526425634164</v>
      </c>
      <c r="H332" s="2">
        <f t="shared" si="36"/>
        <v>198.60853929839499</v>
      </c>
      <c r="I332" s="15">
        <f t="shared" si="34"/>
        <v>0</v>
      </c>
      <c r="J332" s="2">
        <f t="shared" si="37"/>
        <v>284240.37679762935</v>
      </c>
      <c r="K332" s="2">
        <f t="shared" si="39"/>
        <v>59582.561789518491</v>
      </c>
    </row>
    <row r="333" spans="2:11">
      <c r="B333" s="17"/>
      <c r="C333" s="17"/>
      <c r="D333">
        <v>329</v>
      </c>
      <c r="E333" s="1">
        <v>53083</v>
      </c>
      <c r="F333" s="2">
        <f t="shared" si="38"/>
        <v>1909.6611818618114</v>
      </c>
      <c r="G333" s="2">
        <f t="shared" si="35"/>
        <v>1716.7561513719611</v>
      </c>
      <c r="H333" s="2">
        <f t="shared" si="36"/>
        <v>192.90503048985028</v>
      </c>
      <c r="I333" s="15">
        <f t="shared" si="34"/>
        <v>0</v>
      </c>
      <c r="J333" s="2">
        <f t="shared" si="37"/>
        <v>284433.28182811919</v>
      </c>
      <c r="K333" s="2">
        <f t="shared" si="39"/>
        <v>57871.509146955075</v>
      </c>
    </row>
    <row r="334" spans="2:11">
      <c r="B334" s="18"/>
      <c r="C334" s="18"/>
      <c r="D334">
        <v>330</v>
      </c>
      <c r="E334" s="1">
        <v>53114</v>
      </c>
      <c r="F334" s="2">
        <f t="shared" si="38"/>
        <v>1909.6611818618114</v>
      </c>
      <c r="G334" s="2">
        <f t="shared" si="35"/>
        <v>1722.4786718765345</v>
      </c>
      <c r="H334" s="2">
        <f t="shared" si="36"/>
        <v>187.18250998527705</v>
      </c>
      <c r="I334" s="15">
        <f t="shared" si="34"/>
        <v>0</v>
      </c>
      <c r="J334" s="2">
        <f t="shared" si="37"/>
        <v>284620.46433810447</v>
      </c>
      <c r="K334" s="2">
        <f t="shared" si="39"/>
        <v>56154.752995583112</v>
      </c>
    </row>
    <row r="335" spans="2:11">
      <c r="B335" s="17"/>
      <c r="C335" s="17"/>
      <c r="D335">
        <v>331</v>
      </c>
      <c r="E335" s="1">
        <v>53144</v>
      </c>
      <c r="F335" s="2">
        <f t="shared" si="38"/>
        <v>1909.6611818618114</v>
      </c>
      <c r="G335" s="2">
        <f t="shared" si="35"/>
        <v>1728.2202674494561</v>
      </c>
      <c r="H335" s="2">
        <f t="shared" si="36"/>
        <v>181.44091441235528</v>
      </c>
      <c r="I335" s="15">
        <f t="shared" si="34"/>
        <v>0</v>
      </c>
      <c r="J335" s="2">
        <f t="shared" si="37"/>
        <v>284801.90525251685</v>
      </c>
      <c r="K335" s="2">
        <f t="shared" si="39"/>
        <v>54432.274323706581</v>
      </c>
    </row>
    <row r="336" spans="2:11">
      <c r="B336" s="18"/>
      <c r="C336" s="18"/>
      <c r="D336">
        <v>332</v>
      </c>
      <c r="E336" s="1">
        <v>53175</v>
      </c>
      <c r="F336" s="2">
        <f t="shared" si="38"/>
        <v>1909.6611818618114</v>
      </c>
      <c r="G336" s="2">
        <f t="shared" si="35"/>
        <v>1733.9810016742877</v>
      </c>
      <c r="H336" s="2">
        <f t="shared" si="36"/>
        <v>175.68018018752377</v>
      </c>
      <c r="I336" s="15">
        <f t="shared" si="34"/>
        <v>0</v>
      </c>
      <c r="J336" s="2">
        <f t="shared" si="37"/>
        <v>284977.58543270436</v>
      </c>
      <c r="K336" s="2">
        <f t="shared" si="39"/>
        <v>52704.054056257126</v>
      </c>
    </row>
    <row r="337" spans="2:11">
      <c r="B337" s="17"/>
      <c r="C337" s="17"/>
      <c r="D337">
        <v>333</v>
      </c>
      <c r="E337" s="1">
        <v>53206</v>
      </c>
      <c r="F337" s="2">
        <f t="shared" si="38"/>
        <v>1909.6611818618114</v>
      </c>
      <c r="G337" s="2">
        <f t="shared" si="35"/>
        <v>1739.7609383465353</v>
      </c>
      <c r="H337" s="2">
        <f t="shared" si="36"/>
        <v>169.90024351527614</v>
      </c>
      <c r="I337" s="15">
        <f t="shared" si="34"/>
        <v>0</v>
      </c>
      <c r="J337" s="2">
        <f t="shared" si="37"/>
        <v>285147.48567621963</v>
      </c>
      <c r="K337" s="2">
        <f t="shared" si="39"/>
        <v>50970.073054582841</v>
      </c>
    </row>
    <row r="338" spans="2:11">
      <c r="B338" s="18"/>
      <c r="C338" s="18"/>
      <c r="D338">
        <v>334</v>
      </c>
      <c r="E338" s="1">
        <v>53236</v>
      </c>
      <c r="F338" s="2">
        <f t="shared" si="38"/>
        <v>1909.6611818618114</v>
      </c>
      <c r="G338" s="2">
        <f t="shared" si="35"/>
        <v>1745.5601414743571</v>
      </c>
      <c r="H338" s="2">
        <f t="shared" si="36"/>
        <v>164.10104038745436</v>
      </c>
      <c r="I338" s="15">
        <f t="shared" si="34"/>
        <v>0</v>
      </c>
      <c r="J338" s="2">
        <f t="shared" si="37"/>
        <v>285311.5867166071</v>
      </c>
      <c r="K338" s="2">
        <f t="shared" si="39"/>
        <v>49230.312116236302</v>
      </c>
    </row>
    <row r="339" spans="2:11">
      <c r="B339" s="17"/>
      <c r="C339" s="17"/>
      <c r="D339">
        <v>335</v>
      </c>
      <c r="E339" s="1">
        <v>53267</v>
      </c>
      <c r="F339" s="2">
        <f t="shared" si="38"/>
        <v>1909.6611818618114</v>
      </c>
      <c r="G339" s="2">
        <f t="shared" si="35"/>
        <v>1751.3786752792716</v>
      </c>
      <c r="H339" s="2">
        <f t="shared" si="36"/>
        <v>158.28250658253984</v>
      </c>
      <c r="I339" s="15">
        <f t="shared" si="34"/>
        <v>0</v>
      </c>
      <c r="J339" s="2">
        <f t="shared" si="37"/>
        <v>285469.86922318966</v>
      </c>
      <c r="K339" s="2">
        <f t="shared" si="39"/>
        <v>47484.751974761944</v>
      </c>
    </row>
    <row r="340" spans="2:11">
      <c r="B340" s="18"/>
      <c r="C340" s="18"/>
      <c r="D340">
        <v>336</v>
      </c>
      <c r="E340" s="1">
        <v>53297</v>
      </c>
      <c r="F340" s="2">
        <f t="shared" si="38"/>
        <v>1909.6611818618114</v>
      </c>
      <c r="G340" s="2">
        <f t="shared" si="35"/>
        <v>1757.2166041968692</v>
      </c>
      <c r="H340" s="2">
        <f t="shared" si="36"/>
        <v>152.44457766494224</v>
      </c>
      <c r="I340" s="15">
        <f t="shared" si="34"/>
        <v>0</v>
      </c>
      <c r="J340" s="2">
        <f t="shared" si="37"/>
        <v>285622.31380085461</v>
      </c>
      <c r="K340" s="2">
        <f t="shared" si="39"/>
        <v>45733.373299482671</v>
      </c>
    </row>
    <row r="341" spans="2:11">
      <c r="B341" s="17"/>
      <c r="C341" s="17"/>
      <c r="D341">
        <v>337</v>
      </c>
      <c r="E341" s="1">
        <v>53328</v>
      </c>
      <c r="F341" s="2">
        <f t="shared" si="38"/>
        <v>1909.6611818618114</v>
      </c>
      <c r="G341" s="2">
        <f t="shared" si="35"/>
        <v>1763.0739928775254</v>
      </c>
      <c r="H341" s="2">
        <f t="shared" si="36"/>
        <v>146.58718898428603</v>
      </c>
      <c r="I341" s="15">
        <f t="shared" si="34"/>
        <v>0</v>
      </c>
      <c r="J341" s="2">
        <f t="shared" si="37"/>
        <v>285768.90098983888</v>
      </c>
      <c r="K341" s="2">
        <f t="shared" si="39"/>
        <v>43976.156695285805</v>
      </c>
    </row>
    <row r="342" spans="2:11">
      <c r="B342" s="18"/>
      <c r="C342" s="18"/>
      <c r="D342">
        <v>338</v>
      </c>
      <c r="E342" s="1">
        <v>53359</v>
      </c>
      <c r="F342" s="2">
        <f t="shared" si="38"/>
        <v>1909.6611818618114</v>
      </c>
      <c r="G342" s="2">
        <f t="shared" si="35"/>
        <v>1768.9509061871172</v>
      </c>
      <c r="H342" s="2">
        <f t="shared" si="36"/>
        <v>140.71027567469429</v>
      </c>
      <c r="I342" s="15">
        <f t="shared" si="34"/>
        <v>0</v>
      </c>
      <c r="J342" s="2">
        <f t="shared" si="37"/>
        <v>285909.61126551358</v>
      </c>
      <c r="K342" s="2">
        <f t="shared" si="39"/>
        <v>42213.082702408283</v>
      </c>
    </row>
    <row r="343" spans="2:11">
      <c r="B343" s="17"/>
      <c r="C343" s="17"/>
      <c r="D343">
        <v>339</v>
      </c>
      <c r="E343" s="1">
        <v>53387</v>
      </c>
      <c r="F343" s="2">
        <f t="shared" si="38"/>
        <v>1909.6611818618114</v>
      </c>
      <c r="G343" s="2">
        <f t="shared" si="35"/>
        <v>1774.8474092077408</v>
      </c>
      <c r="H343" s="2">
        <f t="shared" si="36"/>
        <v>134.81377265407056</v>
      </c>
      <c r="I343" s="15">
        <f t="shared" si="34"/>
        <v>0</v>
      </c>
      <c r="J343" s="2">
        <f t="shared" si="37"/>
        <v>286044.42503816762</v>
      </c>
      <c r="K343" s="2">
        <f t="shared" si="39"/>
        <v>40444.131796221169</v>
      </c>
    </row>
    <row r="344" spans="2:11">
      <c r="B344" s="18"/>
      <c r="C344" s="18"/>
      <c r="D344">
        <v>340</v>
      </c>
      <c r="E344" s="1">
        <v>53418</v>
      </c>
      <c r="F344" s="2">
        <f t="shared" si="38"/>
        <v>1909.6611818618114</v>
      </c>
      <c r="G344" s="2">
        <f t="shared" si="35"/>
        <v>1780.7635672384333</v>
      </c>
      <c r="H344" s="2">
        <f t="shared" si="36"/>
        <v>128.8976146233781</v>
      </c>
      <c r="I344" s="15">
        <f t="shared" si="34"/>
        <v>0</v>
      </c>
      <c r="J344" s="2">
        <f t="shared" si="37"/>
        <v>286173.32265279099</v>
      </c>
      <c r="K344" s="2">
        <f t="shared" si="39"/>
        <v>38669.284387013431</v>
      </c>
    </row>
    <row r="345" spans="2:11">
      <c r="B345" s="17"/>
      <c r="C345" s="17"/>
      <c r="D345">
        <v>341</v>
      </c>
      <c r="E345" s="1">
        <v>53448</v>
      </c>
      <c r="F345" s="2">
        <f t="shared" si="38"/>
        <v>1909.6611818618114</v>
      </c>
      <c r="G345" s="2">
        <f t="shared" si="35"/>
        <v>1786.6994457958947</v>
      </c>
      <c r="H345" s="2">
        <f t="shared" si="36"/>
        <v>122.96173606591667</v>
      </c>
      <c r="I345" s="15">
        <f t="shared" si="34"/>
        <v>0</v>
      </c>
      <c r="J345" s="2">
        <f t="shared" si="37"/>
        <v>286296.2843888569</v>
      </c>
      <c r="K345" s="2">
        <f t="shared" si="39"/>
        <v>36888.520819774996</v>
      </c>
    </row>
    <row r="346" spans="2:11">
      <c r="B346" s="18"/>
      <c r="C346" s="18"/>
      <c r="D346">
        <v>342</v>
      </c>
      <c r="E346" s="1">
        <v>53479</v>
      </c>
      <c r="F346" s="2">
        <f t="shared" si="38"/>
        <v>1909.6611818618114</v>
      </c>
      <c r="G346" s="2">
        <f t="shared" si="35"/>
        <v>1792.6551106152144</v>
      </c>
      <c r="H346" s="2">
        <f t="shared" si="36"/>
        <v>117.00607124659702</v>
      </c>
      <c r="I346" s="15">
        <f t="shared" si="34"/>
        <v>0</v>
      </c>
      <c r="J346" s="2">
        <f t="shared" si="37"/>
        <v>286413.29046010348</v>
      </c>
      <c r="K346" s="2">
        <f t="shared" si="39"/>
        <v>35101.821373979103</v>
      </c>
    </row>
    <row r="347" spans="2:11">
      <c r="B347" s="17"/>
      <c r="C347" s="17"/>
      <c r="D347">
        <v>343</v>
      </c>
      <c r="E347" s="1">
        <v>53509</v>
      </c>
      <c r="F347" s="2">
        <f t="shared" si="38"/>
        <v>1909.6611818618114</v>
      </c>
      <c r="G347" s="2">
        <f t="shared" si="35"/>
        <v>1798.6306276505984</v>
      </c>
      <c r="H347" s="2">
        <f t="shared" si="36"/>
        <v>111.03055421121297</v>
      </c>
      <c r="I347" s="15">
        <f t="shared" si="34"/>
        <v>0</v>
      </c>
      <c r="J347" s="2">
        <f t="shared" si="37"/>
        <v>286524.32101431472</v>
      </c>
      <c r="K347" s="2">
        <f t="shared" si="39"/>
        <v>33309.166263363892</v>
      </c>
    </row>
    <row r="348" spans="2:11">
      <c r="B348" s="18"/>
      <c r="C348" s="18"/>
      <c r="D348">
        <v>344</v>
      </c>
      <c r="E348" s="1">
        <v>53540</v>
      </c>
      <c r="F348" s="2">
        <f t="shared" si="38"/>
        <v>1909.6611818618114</v>
      </c>
      <c r="G348" s="2">
        <f t="shared" si="35"/>
        <v>1804.6260630761005</v>
      </c>
      <c r="H348" s="2">
        <f t="shared" si="36"/>
        <v>105.03511878571098</v>
      </c>
      <c r="I348" s="15">
        <f t="shared" si="34"/>
        <v>0</v>
      </c>
      <c r="J348" s="2">
        <f t="shared" si="37"/>
        <v>286629.3561331004</v>
      </c>
      <c r="K348" s="2">
        <f t="shared" si="39"/>
        <v>31510.535635713291</v>
      </c>
    </row>
    <row r="349" spans="2:11">
      <c r="B349" s="17"/>
      <c r="C349" s="17"/>
      <c r="D349">
        <v>345</v>
      </c>
      <c r="E349" s="1">
        <v>53571</v>
      </c>
      <c r="F349" s="2">
        <f t="shared" si="38"/>
        <v>1909.6611818618114</v>
      </c>
      <c r="G349" s="2">
        <f t="shared" si="35"/>
        <v>1810.6414832863541</v>
      </c>
      <c r="H349" s="2">
        <f t="shared" si="36"/>
        <v>99.019698575457312</v>
      </c>
      <c r="I349" s="15">
        <f t="shared" si="34"/>
        <v>0</v>
      </c>
      <c r="J349" s="2">
        <f t="shared" si="37"/>
        <v>286728.37583167583</v>
      </c>
      <c r="K349" s="2">
        <f t="shared" si="39"/>
        <v>29705.909572637192</v>
      </c>
    </row>
    <row r="350" spans="2:11">
      <c r="B350" s="18"/>
      <c r="C350" s="18"/>
      <c r="D350">
        <v>346</v>
      </c>
      <c r="E350" s="1">
        <v>53601</v>
      </c>
      <c r="F350" s="2">
        <f t="shared" si="38"/>
        <v>1909.6611818618114</v>
      </c>
      <c r="G350" s="2">
        <f t="shared" si="35"/>
        <v>1816.6769548973086</v>
      </c>
      <c r="H350" s="2">
        <f t="shared" si="36"/>
        <v>92.984226964502795</v>
      </c>
      <c r="I350" s="15">
        <f t="shared" si="34"/>
        <v>0</v>
      </c>
      <c r="J350" s="2">
        <f t="shared" si="37"/>
        <v>286821.36005864036</v>
      </c>
      <c r="K350" s="2">
        <f t="shared" si="39"/>
        <v>27895.268089350837</v>
      </c>
    </row>
    <row r="351" spans="2:11">
      <c r="B351" s="17"/>
      <c r="C351" s="17"/>
      <c r="D351">
        <v>347</v>
      </c>
      <c r="E351" s="1">
        <v>53632</v>
      </c>
      <c r="F351" s="2">
        <f t="shared" si="38"/>
        <v>1909.6611818618114</v>
      </c>
      <c r="G351" s="2">
        <f t="shared" si="35"/>
        <v>1822.7325447469664</v>
      </c>
      <c r="H351" s="2">
        <f t="shared" si="36"/>
        <v>86.928637114845102</v>
      </c>
      <c r="I351" s="15">
        <f t="shared" si="34"/>
        <v>0</v>
      </c>
      <c r="J351" s="2">
        <f t="shared" si="37"/>
        <v>286908.28869575518</v>
      </c>
      <c r="K351" s="2">
        <f t="shared" si="39"/>
        <v>26078.591134453527</v>
      </c>
    </row>
    <row r="352" spans="2:11">
      <c r="B352" s="18"/>
      <c r="C352" s="18"/>
      <c r="D352">
        <v>348</v>
      </c>
      <c r="E352" s="1">
        <v>53662</v>
      </c>
      <c r="F352" s="2">
        <f t="shared" si="38"/>
        <v>1909.6611818618114</v>
      </c>
      <c r="G352" s="2">
        <f t="shared" si="35"/>
        <v>1828.8083198961228</v>
      </c>
      <c r="H352" s="2">
        <f t="shared" si="36"/>
        <v>80.852861965688547</v>
      </c>
      <c r="I352" s="15">
        <f t="shared" si="34"/>
        <v>0</v>
      </c>
      <c r="J352" s="2">
        <f t="shared" si="37"/>
        <v>286989.1415577209</v>
      </c>
      <c r="K352" s="2">
        <f t="shared" si="39"/>
        <v>24255.85858970656</v>
      </c>
    </row>
    <row r="353" spans="2:11">
      <c r="B353" s="17"/>
      <c r="C353" s="17"/>
      <c r="D353">
        <v>349</v>
      </c>
      <c r="E353" s="1">
        <v>53693</v>
      </c>
      <c r="F353" s="2">
        <f t="shared" si="38"/>
        <v>1909.6611818618114</v>
      </c>
      <c r="G353" s="2">
        <f t="shared" si="35"/>
        <v>1834.9043476291099</v>
      </c>
      <c r="H353" s="2">
        <f t="shared" si="36"/>
        <v>74.756834232701465</v>
      </c>
      <c r="I353" s="15">
        <f t="shared" si="34"/>
        <v>0</v>
      </c>
      <c r="J353" s="2">
        <f t="shared" si="37"/>
        <v>287063.89839195361</v>
      </c>
      <c r="K353" s="2">
        <f t="shared" si="39"/>
        <v>22427.050269810439</v>
      </c>
    </row>
    <row r="354" spans="2:11">
      <c r="B354" s="18"/>
      <c r="C354" s="18"/>
      <c r="D354">
        <v>350</v>
      </c>
      <c r="E354" s="1">
        <v>53724</v>
      </c>
      <c r="F354" s="2">
        <f t="shared" si="38"/>
        <v>1909.6611818618114</v>
      </c>
      <c r="G354" s="2">
        <f t="shared" si="35"/>
        <v>1841.0206954545404</v>
      </c>
      <c r="H354" s="2">
        <f t="shared" si="36"/>
        <v>68.640486407271098</v>
      </c>
      <c r="I354" s="15">
        <f t="shared" si="34"/>
        <v>0</v>
      </c>
      <c r="J354" s="2">
        <f t="shared" si="37"/>
        <v>287132.53887836088</v>
      </c>
      <c r="K354" s="2">
        <f t="shared" si="39"/>
        <v>20592.145922181327</v>
      </c>
    </row>
    <row r="355" spans="2:11">
      <c r="B355" s="17"/>
      <c r="C355" s="17"/>
      <c r="D355">
        <v>351</v>
      </c>
      <c r="E355" s="1">
        <v>53752</v>
      </c>
      <c r="F355" s="2">
        <f t="shared" si="38"/>
        <v>1909.6611818618114</v>
      </c>
      <c r="G355" s="2">
        <f t="shared" si="35"/>
        <v>1847.1574311060554</v>
      </c>
      <c r="H355" s="2">
        <f t="shared" si="36"/>
        <v>62.503750755755966</v>
      </c>
      <c r="I355" s="15">
        <f t="shared" si="34"/>
        <v>0</v>
      </c>
      <c r="J355" s="2">
        <f t="shared" si="37"/>
        <v>287195.04262911662</v>
      </c>
      <c r="K355" s="2">
        <f t="shared" si="39"/>
        <v>18751.125226726788</v>
      </c>
    </row>
    <row r="356" spans="2:11">
      <c r="B356" s="18"/>
      <c r="C356" s="18"/>
      <c r="D356">
        <v>352</v>
      </c>
      <c r="E356" s="1">
        <v>53783</v>
      </c>
      <c r="F356" s="2">
        <f t="shared" si="38"/>
        <v>1909.6611818618114</v>
      </c>
      <c r="G356" s="2">
        <f t="shared" si="35"/>
        <v>1853.3146225430755</v>
      </c>
      <c r="H356" s="2">
        <f t="shared" si="36"/>
        <v>56.346559318735785</v>
      </c>
      <c r="I356" s="15">
        <f t="shared" si="34"/>
        <v>0</v>
      </c>
      <c r="J356" s="2">
        <f t="shared" si="37"/>
        <v>287251.38918843534</v>
      </c>
      <c r="K356" s="2">
        <f t="shared" si="39"/>
        <v>16903.967795620734</v>
      </c>
    </row>
    <row r="357" spans="2:11">
      <c r="B357" s="17"/>
      <c r="C357" s="17"/>
      <c r="D357">
        <v>353</v>
      </c>
      <c r="E357" s="1">
        <v>53813</v>
      </c>
      <c r="F357" s="2">
        <f t="shared" si="38"/>
        <v>1909.6611818618114</v>
      </c>
      <c r="G357" s="2">
        <f t="shared" si="35"/>
        <v>1859.4923379515526</v>
      </c>
      <c r="H357" s="2">
        <f t="shared" si="36"/>
        <v>50.168843910258865</v>
      </c>
      <c r="I357" s="15">
        <f t="shared" si="34"/>
        <v>0</v>
      </c>
      <c r="J357" s="2">
        <f t="shared" si="37"/>
        <v>287301.55803234561</v>
      </c>
      <c r="K357" s="2">
        <f t="shared" si="39"/>
        <v>15050.653173077659</v>
      </c>
    </row>
    <row r="358" spans="2:11">
      <c r="B358" s="18"/>
      <c r="C358" s="18"/>
      <c r="D358">
        <v>354</v>
      </c>
      <c r="E358" s="1">
        <v>53844</v>
      </c>
      <c r="F358" s="2">
        <f t="shared" si="38"/>
        <v>1909.6611818618114</v>
      </c>
      <c r="G358" s="2">
        <f t="shared" si="35"/>
        <v>1865.6906457447244</v>
      </c>
      <c r="H358" s="2">
        <f t="shared" si="36"/>
        <v>43.970536117087022</v>
      </c>
      <c r="I358" s="15">
        <f t="shared" si="34"/>
        <v>0</v>
      </c>
      <c r="J358" s="2">
        <f t="shared" si="37"/>
        <v>287345.5285684627</v>
      </c>
      <c r="K358" s="2">
        <f t="shared" si="39"/>
        <v>13191.160835126106</v>
      </c>
    </row>
    <row r="359" spans="2:11">
      <c r="B359" s="17"/>
      <c r="C359" s="17"/>
      <c r="D359">
        <v>355</v>
      </c>
      <c r="E359" s="1">
        <v>53874</v>
      </c>
      <c r="F359" s="2">
        <f t="shared" si="38"/>
        <v>1909.6611818618114</v>
      </c>
      <c r="G359" s="2">
        <f t="shared" si="35"/>
        <v>1871.9096145638734</v>
      </c>
      <c r="H359" s="2">
        <f t="shared" si="36"/>
        <v>37.751567297937939</v>
      </c>
      <c r="I359" s="15">
        <f t="shared" si="34"/>
        <v>0</v>
      </c>
      <c r="J359" s="2">
        <f t="shared" si="37"/>
        <v>287383.28013576067</v>
      </c>
      <c r="K359" s="2">
        <f t="shared" si="39"/>
        <v>11325.470189381382</v>
      </c>
    </row>
    <row r="360" spans="2:11">
      <c r="B360" s="18"/>
      <c r="C360" s="18"/>
      <c r="D360">
        <v>356</v>
      </c>
      <c r="E360" s="1">
        <v>53905</v>
      </c>
      <c r="F360" s="2">
        <f t="shared" si="38"/>
        <v>1909.6611818618114</v>
      </c>
      <c r="G360" s="2">
        <f t="shared" si="35"/>
        <v>1878.1493132790863</v>
      </c>
      <c r="H360" s="2">
        <f t="shared" si="36"/>
        <v>31.511868582725029</v>
      </c>
      <c r="I360" s="15">
        <f t="shared" si="34"/>
        <v>0</v>
      </c>
      <c r="J360" s="2">
        <f t="shared" si="37"/>
        <v>287414.79200434341</v>
      </c>
      <c r="K360" s="2">
        <f t="shared" si="39"/>
        <v>9453.5605748175076</v>
      </c>
    </row>
    <row r="361" spans="2:11">
      <c r="B361" s="17"/>
      <c r="C361" s="17"/>
      <c r="D361">
        <v>357</v>
      </c>
      <c r="E361" s="1">
        <v>53936</v>
      </c>
      <c r="F361" s="2">
        <f t="shared" si="38"/>
        <v>1909.6611818618114</v>
      </c>
      <c r="G361" s="2">
        <f t="shared" si="35"/>
        <v>1884.4098109900167</v>
      </c>
      <c r="H361" s="2">
        <f t="shared" si="36"/>
        <v>25.251370871794737</v>
      </c>
      <c r="I361" s="15">
        <f t="shared" si="34"/>
        <v>0</v>
      </c>
      <c r="J361" s="2">
        <f t="shared" si="37"/>
        <v>287440.0433752152</v>
      </c>
      <c r="K361" s="2">
        <f t="shared" si="39"/>
        <v>7575.4112615384211</v>
      </c>
    </row>
    <row r="362" spans="2:11">
      <c r="B362" s="18"/>
      <c r="C362" s="18"/>
      <c r="D362">
        <v>358</v>
      </c>
      <c r="E362" s="1">
        <v>53966</v>
      </c>
      <c r="F362" s="2">
        <f t="shared" si="38"/>
        <v>1909.6611818618114</v>
      </c>
      <c r="G362" s="2">
        <f t="shared" si="35"/>
        <v>1890.6911770266502</v>
      </c>
      <c r="H362" s="2">
        <f t="shared" si="36"/>
        <v>18.970004835161348</v>
      </c>
      <c r="I362" s="15">
        <f t="shared" si="34"/>
        <v>0</v>
      </c>
      <c r="J362" s="2">
        <f t="shared" si="37"/>
        <v>287459.01338005037</v>
      </c>
      <c r="K362" s="2">
        <f t="shared" si="39"/>
        <v>5691.0014505484041</v>
      </c>
    </row>
    <row r="363" spans="2:11">
      <c r="B363" s="17"/>
      <c r="C363" s="17"/>
      <c r="D363">
        <v>359</v>
      </c>
      <c r="E363" s="1">
        <v>53997</v>
      </c>
      <c r="F363" s="2">
        <f t="shared" si="38"/>
        <v>1909.6611818618114</v>
      </c>
      <c r="G363" s="2">
        <f t="shared" si="35"/>
        <v>1896.9934809500724</v>
      </c>
      <c r="H363" s="2">
        <f t="shared" si="36"/>
        <v>12.66770091173918</v>
      </c>
      <c r="I363" s="15">
        <f t="shared" si="34"/>
        <v>0</v>
      </c>
      <c r="J363" s="2">
        <f t="shared" si="37"/>
        <v>287471.68108096212</v>
      </c>
      <c r="K363" s="2">
        <f t="shared" si="39"/>
        <v>3800.310273521754</v>
      </c>
    </row>
    <row r="364" spans="2:11">
      <c r="B364" s="18"/>
      <c r="C364" s="18"/>
      <c r="D364">
        <v>360</v>
      </c>
      <c r="E364" s="1">
        <v>54027</v>
      </c>
      <c r="F364" s="2">
        <f t="shared" si="38"/>
        <v>1909.6611818618114</v>
      </c>
      <c r="G364" s="2">
        <f t="shared" si="35"/>
        <v>1903.3167925532391</v>
      </c>
      <c r="H364" s="2">
        <f t="shared" si="36"/>
        <v>6.3443893085722722</v>
      </c>
      <c r="I364" s="15">
        <f t="shared" si="34"/>
        <v>0</v>
      </c>
      <c r="J364" s="2">
        <f t="shared" si="37"/>
        <v>287478.02547027072</v>
      </c>
      <c r="K364" s="2">
        <f t="shared" si="39"/>
        <v>1903.3167925716816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42"/>
  <sheetViews>
    <sheetView zoomScale="80" zoomScaleNormal="80" workbookViewId="0">
      <selection activeCell="E3" sqref="E3"/>
    </sheetView>
  </sheetViews>
  <sheetFormatPr defaultColWidth="8.85546875" defaultRowHeight="15"/>
  <cols>
    <col min="1" max="1" width="6.5703125" style="14" customWidth="1"/>
    <col min="2" max="2" width="9.140625" style="14" customWidth="1"/>
    <col min="3" max="3" width="11" style="14" customWidth="1"/>
    <col min="4" max="6" width="11.85546875" style="14" customWidth="1"/>
    <col min="7" max="7" width="10.5703125" style="14" customWidth="1"/>
    <col min="8" max="8" width="9.7109375" style="14" customWidth="1"/>
    <col min="9" max="9" width="7.85546875" style="14" customWidth="1"/>
    <col min="10" max="10" width="10.7109375" style="14" customWidth="1"/>
    <col min="11" max="11" width="11.42578125" style="14" customWidth="1"/>
    <col min="12" max="12" width="11.7109375" style="14" customWidth="1"/>
    <col min="13" max="13" width="10.28515625" style="14" customWidth="1"/>
    <col min="14" max="14" width="10.85546875" style="14" customWidth="1"/>
    <col min="15" max="17" width="9.85546875" style="14" customWidth="1"/>
    <col min="18" max="18" width="7.5703125" style="14" customWidth="1"/>
    <col min="19" max="19" width="10.7109375" style="14" customWidth="1"/>
    <col min="20" max="20" width="8.85546875" style="14" customWidth="1"/>
    <col min="21" max="21" width="8.5703125" style="14" customWidth="1"/>
    <col min="22" max="16384" width="8.85546875" style="14"/>
  </cols>
  <sheetData>
    <row r="2" spans="1:21" s="13" customFormat="1" ht="45">
      <c r="A2" s="13" t="s">
        <v>30</v>
      </c>
      <c r="B2" s="13" t="s">
        <v>32</v>
      </c>
      <c r="C2" s="13" t="s">
        <v>33</v>
      </c>
      <c r="D2" s="13" t="s">
        <v>149</v>
      </c>
      <c r="E2" s="13" t="s">
        <v>163</v>
      </c>
      <c r="F2" s="13" t="s">
        <v>50</v>
      </c>
      <c r="G2" s="13" t="s">
        <v>34</v>
      </c>
      <c r="H2" s="13" t="s">
        <v>35</v>
      </c>
      <c r="I2" s="13" t="s">
        <v>36</v>
      </c>
      <c r="J2" s="13" t="s">
        <v>37</v>
      </c>
      <c r="K2" s="13" t="s">
        <v>38</v>
      </c>
      <c r="L2" s="13" t="s">
        <v>39</v>
      </c>
      <c r="M2" s="13" t="s">
        <v>40</v>
      </c>
      <c r="N2" s="13" t="s">
        <v>41</v>
      </c>
      <c r="O2" s="13" t="s">
        <v>42</v>
      </c>
      <c r="P2" s="13" t="s">
        <v>131</v>
      </c>
      <c r="Q2" s="13" t="s">
        <v>43</v>
      </c>
      <c r="R2" s="13" t="s">
        <v>44</v>
      </c>
      <c r="S2" s="13" t="s">
        <v>45</v>
      </c>
      <c r="T2" s="13" t="s">
        <v>21</v>
      </c>
      <c r="U2" s="13" t="s">
        <v>49</v>
      </c>
    </row>
    <row r="3" spans="1:21">
      <c r="A3" s="20">
        <f>'Data Input'!C2</f>
        <v>2016</v>
      </c>
      <c r="B3" s="62">
        <f>12*'Data Input'!$E$5</f>
        <v>3600</v>
      </c>
      <c r="C3" s="62">
        <f>12*'Data Input'!$F$5</f>
        <v>3000</v>
      </c>
      <c r="D3" s="62">
        <f>ROUNDDOWN('Student Loans'!B6+'Credit Card Debt'!B6,2)</f>
        <v>0</v>
      </c>
      <c r="E3" s="62"/>
      <c r="F3" s="62">
        <f>('Data Input'!F27+100)*12</f>
        <v>7800</v>
      </c>
      <c r="G3" s="62">
        <f>12*'Data Input'!$J$5</f>
        <v>1200</v>
      </c>
      <c r="H3" s="62">
        <f>12*'Data Input'!$K$5</f>
        <v>720</v>
      </c>
      <c r="I3" s="62">
        <f>12*'Data Input'!$L$5</f>
        <v>2250</v>
      </c>
      <c r="J3" s="62">
        <f>12*'Data Input'!$M$5</f>
        <v>4800</v>
      </c>
      <c r="K3" s="62">
        <f>12*'Data Input'!$N$5</f>
        <v>1200</v>
      </c>
      <c r="L3" s="62">
        <f>12*'Data Input'!$O$5</f>
        <v>1200</v>
      </c>
      <c r="M3" s="62">
        <f>12*'Data Input'!$P$5</f>
        <v>2400</v>
      </c>
      <c r="N3" s="62">
        <f>12*'Data Input'!$Q$5</f>
        <v>2400</v>
      </c>
      <c r="O3" s="62">
        <f>12*'Data Input'!$R$5</f>
        <v>1200</v>
      </c>
      <c r="P3" s="62">
        <f>12*'Data Input'!$S$5</f>
        <v>1200</v>
      </c>
      <c r="Q3" s="62">
        <f>12*'Data Input'!$T$5</f>
        <v>1200</v>
      </c>
      <c r="R3" s="62">
        <f>12*'Data Input'!$U$5</f>
        <v>2400</v>
      </c>
      <c r="S3" s="62">
        <f>12*'Data Input'!$V$5</f>
        <v>1200</v>
      </c>
      <c r="T3" s="62">
        <f>SUM(Table12[[#This Row],[Utilities]:[Misc. Housing costs]])</f>
        <v>37770</v>
      </c>
      <c r="U3" s="63">
        <f>Table12[[#This Row],[Total]]/12</f>
        <v>3147.5</v>
      </c>
    </row>
    <row r="4" spans="1:21">
      <c r="A4" s="19">
        <f>A3+1</f>
        <v>2017</v>
      </c>
      <c r="B4" s="62">
        <f>12*'Data Input'!$E$5</f>
        <v>3600</v>
      </c>
      <c r="C4" s="62">
        <f>12*'Data Input'!$F$5</f>
        <v>3000</v>
      </c>
      <c r="D4" s="62">
        <f>ROUNDDOWN('Student Loans'!B7+'Credit Card Debt'!B7,2)</f>
        <v>0</v>
      </c>
      <c r="E4" s="62"/>
      <c r="F4" s="62">
        <f>('Data Input'!F28+100)*12</f>
        <v>7800</v>
      </c>
      <c r="G4" s="62">
        <f>12*'Data Input'!$J$5</f>
        <v>1200</v>
      </c>
      <c r="H4" s="64">
        <f>12*'Data Input'!$K$5</f>
        <v>720</v>
      </c>
      <c r="I4" s="62">
        <f>12*'Data Input'!$L$5</f>
        <v>2250</v>
      </c>
      <c r="J4" s="62">
        <f>12*'Data Input'!$M$5</f>
        <v>4800</v>
      </c>
      <c r="K4" s="62">
        <f>12*'Data Input'!$N$5</f>
        <v>1200</v>
      </c>
      <c r="L4" s="62">
        <f>12*'Data Input'!$O$5</f>
        <v>1200</v>
      </c>
      <c r="M4" s="62">
        <f>12*'Data Input'!$P$5</f>
        <v>2400</v>
      </c>
      <c r="N4" s="64">
        <f>12*'Data Input'!$Q$5</f>
        <v>2400</v>
      </c>
      <c r="O4" s="62">
        <f>12*'Data Input'!$R$5</f>
        <v>1200</v>
      </c>
      <c r="P4" s="62">
        <f>12*'Data Input'!$S$5</f>
        <v>1200</v>
      </c>
      <c r="Q4" s="62">
        <f>12*'Data Input'!$T$5</f>
        <v>1200</v>
      </c>
      <c r="R4" s="62">
        <f>12*'Data Input'!$U$5</f>
        <v>2400</v>
      </c>
      <c r="S4" s="62">
        <f>12*'Data Input'!$V$5</f>
        <v>1200</v>
      </c>
      <c r="T4" s="64">
        <f>SUM(Table12[[#This Row],[Utilities]:[Misc. Housing costs]])</f>
        <v>37770</v>
      </c>
      <c r="U4" s="63">
        <f>Table12[[#This Row],[Total]]/12</f>
        <v>3147.5</v>
      </c>
    </row>
    <row r="5" spans="1:21">
      <c r="A5" s="19">
        <f t="shared" ref="A5:A42" si="0">A4+1</f>
        <v>2018</v>
      </c>
      <c r="B5" s="62">
        <f>12*'Data Input'!$E$5</f>
        <v>3600</v>
      </c>
      <c r="C5" s="62">
        <f>12*'Data Input'!$F$5</f>
        <v>3000</v>
      </c>
      <c r="D5" s="62">
        <f>ROUNDDOWN('Student Loans'!B8+'Credit Card Debt'!B8,2)</f>
        <v>0</v>
      </c>
      <c r="E5" s="62"/>
      <c r="F5" s="62">
        <f>('Data Input'!F29+100)*12</f>
        <v>7800</v>
      </c>
      <c r="G5" s="62">
        <f>12*'Data Input'!$J$5</f>
        <v>1200</v>
      </c>
      <c r="H5" s="65">
        <f>12*'Data Input'!$K$5</f>
        <v>720</v>
      </c>
      <c r="I5" s="62">
        <f>12*'Data Input'!$L$5</f>
        <v>2250</v>
      </c>
      <c r="J5" s="62">
        <f>12*'Data Input'!$M$5</f>
        <v>4800</v>
      </c>
      <c r="K5" s="62">
        <f>12*'Data Input'!$N$5</f>
        <v>1200</v>
      </c>
      <c r="L5" s="62">
        <f>12*'Data Input'!$O$5</f>
        <v>1200</v>
      </c>
      <c r="M5" s="62">
        <f>12*'Data Input'!$P$5</f>
        <v>2400</v>
      </c>
      <c r="N5" s="65">
        <f>12*'Data Input'!$Q$5</f>
        <v>2400</v>
      </c>
      <c r="O5" s="62">
        <f>12*'Data Input'!$R$5</f>
        <v>1200</v>
      </c>
      <c r="P5" s="62">
        <f>12*'Data Input'!$S$5</f>
        <v>1200</v>
      </c>
      <c r="Q5" s="62">
        <f>12*'Data Input'!$T$5</f>
        <v>1200</v>
      </c>
      <c r="R5" s="62">
        <f>12*'Data Input'!$U$5</f>
        <v>2400</v>
      </c>
      <c r="S5" s="62">
        <f>12*'Data Input'!$V$5</f>
        <v>1200</v>
      </c>
      <c r="T5" s="64">
        <f>SUM(Table12[[#This Row],[Utilities]:[Misc. Housing costs]])</f>
        <v>37770</v>
      </c>
      <c r="U5" s="63">
        <f>Table12[[#This Row],[Total]]/12</f>
        <v>3147.5</v>
      </c>
    </row>
    <row r="6" spans="1:21">
      <c r="A6" s="19">
        <f t="shared" si="0"/>
        <v>2019</v>
      </c>
      <c r="B6" s="62">
        <f>12*'Data Input'!$E$5</f>
        <v>3600</v>
      </c>
      <c r="C6" s="62">
        <f>12*'Data Input'!$F$5</f>
        <v>3000</v>
      </c>
      <c r="D6" s="62">
        <f>ROUNDDOWN('Student Loans'!B9+'Credit Card Debt'!B9,2)</f>
        <v>0</v>
      </c>
      <c r="E6" s="62"/>
      <c r="F6" s="62">
        <f>('Data Input'!F30+100)*12</f>
        <v>7800</v>
      </c>
      <c r="G6" s="62">
        <f>12*'Data Input'!$J$5</f>
        <v>1200</v>
      </c>
      <c r="H6" s="64">
        <f>12*'Data Input'!$K$5</f>
        <v>720</v>
      </c>
      <c r="I6" s="62">
        <f>12*'Data Input'!$L$5</f>
        <v>2250</v>
      </c>
      <c r="J6" s="62">
        <f>12*'Data Input'!$M$5</f>
        <v>4800</v>
      </c>
      <c r="K6" s="62">
        <f>12*'Data Input'!$N$5</f>
        <v>1200</v>
      </c>
      <c r="L6" s="62">
        <f>12*'Data Input'!$O$5</f>
        <v>1200</v>
      </c>
      <c r="M6" s="62">
        <f>12*'Data Input'!$P$5</f>
        <v>2400</v>
      </c>
      <c r="N6" s="64">
        <f>12*'Data Input'!$Q$5</f>
        <v>2400</v>
      </c>
      <c r="O6" s="62">
        <f>12*'Data Input'!$R$5</f>
        <v>1200</v>
      </c>
      <c r="P6" s="62">
        <f>12*'Data Input'!$S$5</f>
        <v>1200</v>
      </c>
      <c r="Q6" s="62">
        <f>12*'Data Input'!$T$5</f>
        <v>1200</v>
      </c>
      <c r="R6" s="62">
        <f>12*'Data Input'!$U$5</f>
        <v>2400</v>
      </c>
      <c r="S6" s="62">
        <f>12*'Data Input'!$V$5</f>
        <v>1200</v>
      </c>
      <c r="T6" s="64">
        <f>SUM(Table12[[#This Row],[Utilities]:[Misc. Housing costs]])</f>
        <v>37770</v>
      </c>
      <c r="U6" s="63">
        <f>Table12[[#This Row],[Total]]/12</f>
        <v>3147.5</v>
      </c>
    </row>
    <row r="7" spans="1:21">
      <c r="A7" s="19">
        <f t="shared" si="0"/>
        <v>2020</v>
      </c>
      <c r="B7" s="62">
        <f>12*'Data Input'!$E$5</f>
        <v>3600</v>
      </c>
      <c r="C7" s="62">
        <f>12*'Data Input'!$F$5</f>
        <v>3000</v>
      </c>
      <c r="D7" s="62">
        <f>ROUNDDOWN('Student Loans'!B10+'Credit Card Debt'!B10,2)</f>
        <v>0</v>
      </c>
      <c r="E7" s="62"/>
      <c r="F7" s="62">
        <f>('Data Input'!F31+100)*12</f>
        <v>7800</v>
      </c>
      <c r="G7" s="62">
        <f>12*'Data Input'!$J$5</f>
        <v>1200</v>
      </c>
      <c r="H7" s="64">
        <f>12*'Data Input'!$K$5</f>
        <v>720</v>
      </c>
      <c r="I7" s="62">
        <f>12*'Data Input'!$L$5</f>
        <v>2250</v>
      </c>
      <c r="J7" s="62">
        <f>12*'Data Input'!$M$5</f>
        <v>4800</v>
      </c>
      <c r="K7" s="62">
        <f>12*'Data Input'!$N$5</f>
        <v>1200</v>
      </c>
      <c r="L7" s="62">
        <f>12*'Data Input'!$O$5</f>
        <v>1200</v>
      </c>
      <c r="M7" s="62">
        <f>12*'Data Input'!$P$5</f>
        <v>2400</v>
      </c>
      <c r="N7" s="64">
        <f>12*'Data Input'!$Q$5</f>
        <v>2400</v>
      </c>
      <c r="O7" s="62">
        <f>12*'Data Input'!$R$5</f>
        <v>1200</v>
      </c>
      <c r="P7" s="62">
        <f>12*'Data Input'!$S$5</f>
        <v>1200</v>
      </c>
      <c r="Q7" s="62">
        <f>12*'Data Input'!$T$5</f>
        <v>1200</v>
      </c>
      <c r="R7" s="62">
        <f>12*'Data Input'!$U$5</f>
        <v>2400</v>
      </c>
      <c r="S7" s="62">
        <f>12*'Data Input'!$V$5</f>
        <v>1200</v>
      </c>
      <c r="T7" s="64">
        <f>SUM(Table12[[#This Row],[Utilities]:[Misc. Housing costs]])</f>
        <v>37770</v>
      </c>
      <c r="U7" s="63">
        <f>Table12[[#This Row],[Total]]/12</f>
        <v>3147.5</v>
      </c>
    </row>
    <row r="8" spans="1:21">
      <c r="A8" s="19">
        <f t="shared" si="0"/>
        <v>2021</v>
      </c>
      <c r="B8" s="62">
        <f>12*'Data Input'!$E$5</f>
        <v>3600</v>
      </c>
      <c r="C8" s="62">
        <f>12*'Data Input'!$F$5</f>
        <v>3000</v>
      </c>
      <c r="D8" s="62">
        <f>ROUNDDOWN('Student Loans'!B11+'Credit Card Debt'!B11,2)</f>
        <v>0</v>
      </c>
      <c r="E8" s="62"/>
      <c r="F8" s="62">
        <f>('Data Input'!F32+100)*12</f>
        <v>4200</v>
      </c>
      <c r="G8" s="62">
        <f>12*'Data Input'!$J$5</f>
        <v>1200</v>
      </c>
      <c r="H8" s="64">
        <f>12*'Data Input'!$K$5</f>
        <v>720</v>
      </c>
      <c r="I8" s="62">
        <f>12*'Data Input'!$L$5</f>
        <v>2250</v>
      </c>
      <c r="J8" s="62">
        <f>12*'Data Input'!$M$5</f>
        <v>4800</v>
      </c>
      <c r="K8" s="62">
        <f>12*'Data Input'!$N$5</f>
        <v>1200</v>
      </c>
      <c r="L8" s="62">
        <f>12*'Data Input'!$O$5</f>
        <v>1200</v>
      </c>
      <c r="M8" s="62">
        <f>12*'Data Input'!$P$5</f>
        <v>2400</v>
      </c>
      <c r="N8" s="64">
        <f>12*'Data Input'!$Q$5</f>
        <v>2400</v>
      </c>
      <c r="O8" s="62">
        <f>12*'Data Input'!$R$5</f>
        <v>1200</v>
      </c>
      <c r="P8" s="62">
        <f>12*'Data Input'!$S$5</f>
        <v>1200</v>
      </c>
      <c r="Q8" s="62">
        <f>12*'Data Input'!$T$5</f>
        <v>1200</v>
      </c>
      <c r="R8" s="62">
        <f>12*'Data Input'!$U$5</f>
        <v>2400</v>
      </c>
      <c r="S8" s="62">
        <f>12*'Data Input'!$V$5</f>
        <v>1200</v>
      </c>
      <c r="T8" s="64">
        <f>SUM(Table12[[#This Row],[Utilities]:[Misc. Housing costs]])</f>
        <v>34170</v>
      </c>
      <c r="U8" s="63">
        <f>Table12[[#This Row],[Total]]/12</f>
        <v>2847.5</v>
      </c>
    </row>
    <row r="9" spans="1:21">
      <c r="A9" s="19">
        <f t="shared" si="0"/>
        <v>2022</v>
      </c>
      <c r="B9" s="62">
        <f>12*'Data Input'!$E$5</f>
        <v>3600</v>
      </c>
      <c r="C9" s="62">
        <f>12*'Data Input'!$F$5</f>
        <v>3000</v>
      </c>
      <c r="D9" s="62">
        <f>ROUNDDOWN('Student Loans'!B12+'Credit Card Debt'!B12,2)</f>
        <v>0</v>
      </c>
      <c r="E9" s="62"/>
      <c r="F9" s="62">
        <f>('Data Input'!F33+100)*12</f>
        <v>4200</v>
      </c>
      <c r="G9" s="62">
        <f>12*'Data Input'!$J$5</f>
        <v>1200</v>
      </c>
      <c r="H9" s="64">
        <f>12*'Data Input'!$K$5</f>
        <v>720</v>
      </c>
      <c r="I9" s="62">
        <f>12*'Data Input'!$L$5</f>
        <v>2250</v>
      </c>
      <c r="J9" s="62">
        <f>12*'Data Input'!$M$5</f>
        <v>4800</v>
      </c>
      <c r="K9" s="62">
        <f>12*'Data Input'!$N$5</f>
        <v>1200</v>
      </c>
      <c r="L9" s="62">
        <f>12*'Data Input'!$O$5</f>
        <v>1200</v>
      </c>
      <c r="M9" s="62">
        <f>12*'Data Input'!$P$5</f>
        <v>2400</v>
      </c>
      <c r="N9" s="64">
        <f>12*'Data Input'!$Q$5</f>
        <v>2400</v>
      </c>
      <c r="O9" s="62">
        <f>12*'Data Input'!$R$5</f>
        <v>1200</v>
      </c>
      <c r="P9" s="62">
        <f>12*'Data Input'!$S$5</f>
        <v>1200</v>
      </c>
      <c r="Q9" s="62">
        <f>12*'Data Input'!$T$5</f>
        <v>1200</v>
      </c>
      <c r="R9" s="62">
        <f>12*'Data Input'!$U$5</f>
        <v>2400</v>
      </c>
      <c r="S9" s="62">
        <f>12*'Data Input'!$V$5</f>
        <v>1200</v>
      </c>
      <c r="T9" s="64">
        <f>SUM(Table12[[#This Row],[Utilities]:[Misc. Housing costs]])</f>
        <v>34170</v>
      </c>
      <c r="U9" s="63">
        <f>Table12[[#This Row],[Total]]/12</f>
        <v>2847.5</v>
      </c>
    </row>
    <row r="10" spans="1:21">
      <c r="A10" s="19">
        <f t="shared" si="0"/>
        <v>2023</v>
      </c>
      <c r="B10" s="62">
        <f>12*'Data Input'!$E$5</f>
        <v>3600</v>
      </c>
      <c r="C10" s="62">
        <f>12*'Data Input'!$F$5</f>
        <v>3000</v>
      </c>
      <c r="D10" s="62">
        <f>ROUNDDOWN('Student Loans'!B13+'Credit Card Debt'!B13,2)</f>
        <v>0</v>
      </c>
      <c r="E10" s="62"/>
      <c r="F10" s="62">
        <f>('Data Input'!F34+100)*12</f>
        <v>1200</v>
      </c>
      <c r="G10" s="62">
        <f>12*'Data Input'!$J$5</f>
        <v>1200</v>
      </c>
      <c r="H10" s="64">
        <f>12*'Data Input'!$K$5</f>
        <v>720</v>
      </c>
      <c r="I10" s="62">
        <f>12*'Data Input'!$L$5</f>
        <v>2250</v>
      </c>
      <c r="J10" s="62">
        <f>12*'Data Input'!$M$5</f>
        <v>4800</v>
      </c>
      <c r="K10" s="62">
        <f>12*'Data Input'!$N$5</f>
        <v>1200</v>
      </c>
      <c r="L10" s="62">
        <f>12*'Data Input'!$O$5</f>
        <v>1200</v>
      </c>
      <c r="M10" s="62">
        <f>12*'Data Input'!$P$5</f>
        <v>2400</v>
      </c>
      <c r="N10" s="64">
        <f>12*'Data Input'!$Q$5</f>
        <v>2400</v>
      </c>
      <c r="O10" s="62">
        <f>12*'Data Input'!$R$5</f>
        <v>1200</v>
      </c>
      <c r="P10" s="62">
        <f>12*'Data Input'!$S$5</f>
        <v>1200</v>
      </c>
      <c r="Q10" s="62">
        <f>12*'Data Input'!$T$5</f>
        <v>1200</v>
      </c>
      <c r="R10" s="62">
        <f>12*'Data Input'!$U$5</f>
        <v>2400</v>
      </c>
      <c r="S10" s="62">
        <f>12*'Data Input'!$V$5</f>
        <v>1200</v>
      </c>
      <c r="T10" s="64">
        <f>SUM(Table12[[#This Row],[Utilities]:[Misc. Housing costs]])</f>
        <v>31170</v>
      </c>
      <c r="U10" s="63">
        <f>Table12[[#This Row],[Total]]/12</f>
        <v>2597.5</v>
      </c>
    </row>
    <row r="11" spans="1:21">
      <c r="A11" s="19">
        <f t="shared" si="0"/>
        <v>2024</v>
      </c>
      <c r="B11" s="62">
        <f>12*'Data Input'!$E$5</f>
        <v>3600</v>
      </c>
      <c r="C11" s="62">
        <f>12*'Data Input'!$F$5</f>
        <v>3000</v>
      </c>
      <c r="D11" s="62">
        <f>ROUNDDOWN('Student Loans'!B14+'Credit Card Debt'!B14,2)</f>
        <v>0</v>
      </c>
      <c r="E11" s="62"/>
      <c r="F11" s="62">
        <f>('Data Input'!F35+100)*12</f>
        <v>1200</v>
      </c>
      <c r="G11" s="62">
        <f>12*'Data Input'!$J$5</f>
        <v>1200</v>
      </c>
      <c r="H11" s="64">
        <f>12*'Data Input'!$K$5</f>
        <v>720</v>
      </c>
      <c r="I11" s="62">
        <f>12*'Data Input'!$L$5</f>
        <v>2250</v>
      </c>
      <c r="J11" s="62">
        <f>12*'Data Input'!$M$5</f>
        <v>4800</v>
      </c>
      <c r="K11" s="62">
        <f>12*'Data Input'!$N$5</f>
        <v>1200</v>
      </c>
      <c r="L11" s="62">
        <f>12*'Data Input'!$O$5</f>
        <v>1200</v>
      </c>
      <c r="M11" s="62">
        <f>12*'Data Input'!$P$5</f>
        <v>2400</v>
      </c>
      <c r="N11" s="64">
        <f>12*'Data Input'!$Q$5</f>
        <v>2400</v>
      </c>
      <c r="O11" s="62">
        <f>12*'Data Input'!$R$5</f>
        <v>1200</v>
      </c>
      <c r="P11" s="62">
        <f>12*'Data Input'!$S$5</f>
        <v>1200</v>
      </c>
      <c r="Q11" s="62">
        <f>12*'Data Input'!$T$5</f>
        <v>1200</v>
      </c>
      <c r="R11" s="62">
        <f>12*'Data Input'!$U$5</f>
        <v>2400</v>
      </c>
      <c r="S11" s="62">
        <f>12*'Data Input'!$V$5</f>
        <v>1200</v>
      </c>
      <c r="T11" s="64">
        <f>SUM(Table12[[#This Row],[Utilities]:[Misc. Housing costs]])</f>
        <v>31170</v>
      </c>
      <c r="U11" s="63">
        <f>Table12[[#This Row],[Total]]/12</f>
        <v>2597.5</v>
      </c>
    </row>
    <row r="12" spans="1:21">
      <c r="A12" s="19">
        <f t="shared" si="0"/>
        <v>2025</v>
      </c>
      <c r="B12" s="62">
        <f>12*'Data Input'!$E$5</f>
        <v>3600</v>
      </c>
      <c r="C12" s="62">
        <f>12*'Data Input'!$F$5</f>
        <v>3000</v>
      </c>
      <c r="D12" s="62">
        <f>ROUNDDOWN('Student Loans'!B15+'Credit Card Debt'!B15,2)</f>
        <v>0</v>
      </c>
      <c r="E12" s="62"/>
      <c r="F12" s="62">
        <f>('Data Input'!F36+100)*12</f>
        <v>1200</v>
      </c>
      <c r="G12" s="62">
        <f>12*'Data Input'!$J$5</f>
        <v>1200</v>
      </c>
      <c r="H12" s="64">
        <f>12*'Data Input'!$K$5</f>
        <v>720</v>
      </c>
      <c r="I12" s="62">
        <f>12*'Data Input'!$L$5</f>
        <v>2250</v>
      </c>
      <c r="J12" s="62">
        <f>12*'Data Input'!$M$5</f>
        <v>4800</v>
      </c>
      <c r="K12" s="62">
        <f>12*'Data Input'!$N$5</f>
        <v>1200</v>
      </c>
      <c r="L12" s="62">
        <f>12*'Data Input'!$O$5</f>
        <v>1200</v>
      </c>
      <c r="M12" s="62">
        <f>12*'Data Input'!$P$5</f>
        <v>2400</v>
      </c>
      <c r="N12" s="64">
        <f>12*'Data Input'!$Q$5</f>
        <v>2400</v>
      </c>
      <c r="O12" s="62">
        <f>12*'Data Input'!$R$5</f>
        <v>1200</v>
      </c>
      <c r="P12" s="62">
        <f>12*'Data Input'!$S$5</f>
        <v>1200</v>
      </c>
      <c r="Q12" s="62">
        <f>12*'Data Input'!$T$5</f>
        <v>1200</v>
      </c>
      <c r="R12" s="62">
        <f>12*'Data Input'!$U$5</f>
        <v>2400</v>
      </c>
      <c r="S12" s="62">
        <f>12*'Data Input'!$V$5</f>
        <v>1200</v>
      </c>
      <c r="T12" s="64">
        <f>SUM(Table12[[#This Row],[Utilities]:[Misc. Housing costs]])</f>
        <v>31170</v>
      </c>
      <c r="U12" s="63">
        <f>Table12[[#This Row],[Total]]/12</f>
        <v>2597.5</v>
      </c>
    </row>
    <row r="13" spans="1:21">
      <c r="A13" s="19">
        <f t="shared" si="0"/>
        <v>2026</v>
      </c>
      <c r="B13" s="62">
        <f>12*'Data Input'!$E$5</f>
        <v>3600</v>
      </c>
      <c r="C13" s="62">
        <f>12*'Data Input'!$F$5</f>
        <v>3000</v>
      </c>
      <c r="D13" s="62">
        <f>ROUNDDOWN('Student Loans'!B16+'Credit Card Debt'!B16,2)</f>
        <v>0</v>
      </c>
      <c r="E13" s="62"/>
      <c r="F13" s="62">
        <f>('Data Input'!F37+100)*12</f>
        <v>1200</v>
      </c>
      <c r="G13" s="62">
        <f>12*'Data Input'!$J$5</f>
        <v>1200</v>
      </c>
      <c r="H13" s="64">
        <f>12*'Data Input'!$K$5</f>
        <v>720</v>
      </c>
      <c r="I13" s="62">
        <f>12*'Data Input'!$L$5</f>
        <v>2250</v>
      </c>
      <c r="J13" s="62">
        <f>12*'Data Input'!$M$5</f>
        <v>4800</v>
      </c>
      <c r="K13" s="62">
        <f>12*'Data Input'!$N$5</f>
        <v>1200</v>
      </c>
      <c r="L13" s="62">
        <f>12*'Data Input'!$O$5</f>
        <v>1200</v>
      </c>
      <c r="M13" s="62">
        <f>12*'Data Input'!$P$5</f>
        <v>2400</v>
      </c>
      <c r="N13" s="64">
        <f>12*'Data Input'!$Q$5</f>
        <v>2400</v>
      </c>
      <c r="O13" s="62">
        <f>12*'Data Input'!$R$5</f>
        <v>1200</v>
      </c>
      <c r="P13" s="62">
        <f>12*'Data Input'!$S$5</f>
        <v>1200</v>
      </c>
      <c r="Q13" s="62">
        <f>12*'Data Input'!$T$5</f>
        <v>1200</v>
      </c>
      <c r="R13" s="62">
        <f>12*'Data Input'!$U$5</f>
        <v>2400</v>
      </c>
      <c r="S13" s="62">
        <f>12*'Data Input'!$V$5</f>
        <v>1200</v>
      </c>
      <c r="T13" s="64">
        <f>SUM(Table12[[#This Row],[Utilities]:[Misc. Housing costs]])</f>
        <v>31170</v>
      </c>
      <c r="U13" s="63">
        <f>Table12[[#This Row],[Total]]/12</f>
        <v>2597.5</v>
      </c>
    </row>
    <row r="14" spans="1:21">
      <c r="A14" s="19">
        <f t="shared" si="0"/>
        <v>2027</v>
      </c>
      <c r="B14" s="62">
        <f>12*'Data Input'!$E$5</f>
        <v>3600</v>
      </c>
      <c r="C14" s="62">
        <f>12*'Data Input'!$F$5</f>
        <v>3000</v>
      </c>
      <c r="D14" s="62">
        <f>ROUNDDOWN('Student Loans'!B17+'Credit Card Debt'!B17,2)</f>
        <v>0</v>
      </c>
      <c r="E14" s="62"/>
      <c r="F14" s="62">
        <f>('Data Input'!F38+100)*12</f>
        <v>1200</v>
      </c>
      <c r="G14" s="62">
        <f>12*'Data Input'!$J$5</f>
        <v>1200</v>
      </c>
      <c r="H14" s="64">
        <f>12*'Data Input'!$K$5</f>
        <v>720</v>
      </c>
      <c r="I14" s="62">
        <f>12*'Data Input'!$L$5</f>
        <v>2250</v>
      </c>
      <c r="J14" s="62">
        <f>12*'Data Input'!$M$5</f>
        <v>4800</v>
      </c>
      <c r="K14" s="62">
        <f>12*'Data Input'!$N$5</f>
        <v>1200</v>
      </c>
      <c r="L14" s="62">
        <f>12*'Data Input'!$O$5</f>
        <v>1200</v>
      </c>
      <c r="M14" s="62">
        <f>12*'Data Input'!$P$5</f>
        <v>2400</v>
      </c>
      <c r="N14" s="64">
        <f>12*'Data Input'!$Q$5</f>
        <v>2400</v>
      </c>
      <c r="O14" s="62">
        <f>12*'Data Input'!$R$5</f>
        <v>1200</v>
      </c>
      <c r="P14" s="62">
        <f>12*'Data Input'!$S$5</f>
        <v>1200</v>
      </c>
      <c r="Q14" s="62">
        <f>12*'Data Input'!$T$5</f>
        <v>1200</v>
      </c>
      <c r="R14" s="62">
        <f>12*'Data Input'!$U$5</f>
        <v>2400</v>
      </c>
      <c r="S14" s="62">
        <f>12*'Data Input'!$V$5</f>
        <v>1200</v>
      </c>
      <c r="T14" s="64">
        <f>SUM(Table12[[#This Row],[Utilities]:[Misc. Housing costs]])</f>
        <v>31170</v>
      </c>
      <c r="U14" s="63">
        <f>Table12[[#This Row],[Total]]/12</f>
        <v>2597.5</v>
      </c>
    </row>
    <row r="15" spans="1:21">
      <c r="A15" s="19">
        <f t="shared" si="0"/>
        <v>2028</v>
      </c>
      <c r="B15" s="62">
        <f>12*'Data Input'!$E$5</f>
        <v>3600</v>
      </c>
      <c r="C15" s="62">
        <f>12*'Data Input'!$F$5</f>
        <v>3000</v>
      </c>
      <c r="D15" s="62">
        <f>ROUNDDOWN('Student Loans'!B18+'Credit Card Debt'!B18,2)</f>
        <v>0</v>
      </c>
      <c r="E15" s="62"/>
      <c r="F15" s="62">
        <f>('Data Input'!F39+100)*12</f>
        <v>1200</v>
      </c>
      <c r="G15" s="62">
        <f>12*'Data Input'!$J$5</f>
        <v>1200</v>
      </c>
      <c r="H15" s="64">
        <f>12*'Data Input'!$K$5</f>
        <v>720</v>
      </c>
      <c r="I15" s="62">
        <f>12*'Data Input'!$L$5</f>
        <v>2250</v>
      </c>
      <c r="J15" s="62">
        <f>12*'Data Input'!$M$5</f>
        <v>4800</v>
      </c>
      <c r="K15" s="62">
        <f>12*'Data Input'!$N$5</f>
        <v>1200</v>
      </c>
      <c r="L15" s="62">
        <f>12*'Data Input'!$O$5</f>
        <v>1200</v>
      </c>
      <c r="M15" s="62">
        <f>12*'Data Input'!$P$5</f>
        <v>2400</v>
      </c>
      <c r="N15" s="64">
        <f>12*'Data Input'!$Q$5</f>
        <v>2400</v>
      </c>
      <c r="O15" s="62">
        <f>12*'Data Input'!$R$5</f>
        <v>1200</v>
      </c>
      <c r="P15" s="62">
        <f>12*'Data Input'!$S$5</f>
        <v>1200</v>
      </c>
      <c r="Q15" s="62">
        <f>12*'Data Input'!$T$5</f>
        <v>1200</v>
      </c>
      <c r="R15" s="62">
        <f>12*'Data Input'!$U$5</f>
        <v>2400</v>
      </c>
      <c r="S15" s="62">
        <f>12*'Data Input'!$V$5</f>
        <v>1200</v>
      </c>
      <c r="T15" s="64">
        <f>SUM(Table12[[#This Row],[Utilities]:[Misc. Housing costs]])</f>
        <v>31170</v>
      </c>
      <c r="U15" s="63">
        <f>Table12[[#This Row],[Total]]/12</f>
        <v>2597.5</v>
      </c>
    </row>
    <row r="16" spans="1:21">
      <c r="A16" s="19">
        <f t="shared" si="0"/>
        <v>2029</v>
      </c>
      <c r="B16" s="62">
        <f>12*'Data Input'!$E$5</f>
        <v>3600</v>
      </c>
      <c r="C16" s="62">
        <f>12*'Data Input'!$F$5</f>
        <v>3000</v>
      </c>
      <c r="D16" s="62">
        <f>ROUNDDOWN('Student Loans'!B19+'Credit Card Debt'!B19,2)</f>
        <v>0</v>
      </c>
      <c r="E16" s="62"/>
      <c r="F16" s="62">
        <f>('Data Input'!F40+100)*12</f>
        <v>1200</v>
      </c>
      <c r="G16" s="62">
        <f>12*'Data Input'!$J$5</f>
        <v>1200</v>
      </c>
      <c r="H16" s="64">
        <f>12*'Data Input'!$K$5</f>
        <v>720</v>
      </c>
      <c r="I16" s="62">
        <f>12*'Data Input'!$L$5</f>
        <v>2250</v>
      </c>
      <c r="J16" s="62">
        <f>12*'Data Input'!$M$5</f>
        <v>4800</v>
      </c>
      <c r="K16" s="62">
        <f>12*'Data Input'!$N$5</f>
        <v>1200</v>
      </c>
      <c r="L16" s="62">
        <f>12*'Data Input'!$O$5</f>
        <v>1200</v>
      </c>
      <c r="M16" s="62">
        <f>12*'Data Input'!$P$5</f>
        <v>2400</v>
      </c>
      <c r="N16" s="64">
        <f>12*'Data Input'!$Q$5</f>
        <v>2400</v>
      </c>
      <c r="O16" s="62">
        <f>12*'Data Input'!$R$5</f>
        <v>1200</v>
      </c>
      <c r="P16" s="62">
        <f>12*'Data Input'!$S$5</f>
        <v>1200</v>
      </c>
      <c r="Q16" s="62">
        <f>12*'Data Input'!$T$5</f>
        <v>1200</v>
      </c>
      <c r="R16" s="62">
        <f>12*'Data Input'!$U$5</f>
        <v>2400</v>
      </c>
      <c r="S16" s="62">
        <f>12*'Data Input'!$V$5</f>
        <v>1200</v>
      </c>
      <c r="T16" s="64">
        <f>SUM(Table12[[#This Row],[Utilities]:[Misc. Housing costs]])</f>
        <v>31170</v>
      </c>
      <c r="U16" s="63">
        <f>Table12[[#This Row],[Total]]/12</f>
        <v>2597.5</v>
      </c>
    </row>
    <row r="17" spans="1:21">
      <c r="A17" s="19">
        <f t="shared" si="0"/>
        <v>2030</v>
      </c>
      <c r="B17" s="62">
        <f>12*'Data Input'!$E$5</f>
        <v>3600</v>
      </c>
      <c r="C17" s="62">
        <f>12*'Data Input'!$F$5</f>
        <v>3000</v>
      </c>
      <c r="D17" s="62">
        <f>ROUNDDOWN('Student Loans'!B20+'Credit Card Debt'!B20,2)</f>
        <v>0</v>
      </c>
      <c r="E17" s="62"/>
      <c r="F17" s="62">
        <f>('Data Input'!F41+100)*12</f>
        <v>1200</v>
      </c>
      <c r="G17" s="62">
        <f>12*'Data Input'!$J$5</f>
        <v>1200</v>
      </c>
      <c r="H17" s="64">
        <f>12*'Data Input'!$K$5</f>
        <v>720</v>
      </c>
      <c r="I17" s="62">
        <f>12*'Data Input'!$L$5</f>
        <v>2250</v>
      </c>
      <c r="J17" s="62">
        <f>12*'Data Input'!$M$5</f>
        <v>4800</v>
      </c>
      <c r="K17" s="62">
        <f>12*'Data Input'!$N$5</f>
        <v>1200</v>
      </c>
      <c r="L17" s="62">
        <f>12*'Data Input'!$O$5</f>
        <v>1200</v>
      </c>
      <c r="M17" s="62">
        <f>12*'Data Input'!$P$5</f>
        <v>2400</v>
      </c>
      <c r="N17" s="64">
        <f>12*'Data Input'!$Q$5</f>
        <v>2400</v>
      </c>
      <c r="O17" s="62">
        <f>12*'Data Input'!$R$5</f>
        <v>1200</v>
      </c>
      <c r="P17" s="62">
        <f>12*'Data Input'!$S$5</f>
        <v>1200</v>
      </c>
      <c r="Q17" s="62">
        <f>12*'Data Input'!$T$5</f>
        <v>1200</v>
      </c>
      <c r="R17" s="62">
        <f>12*'Data Input'!$U$5</f>
        <v>2400</v>
      </c>
      <c r="S17" s="62">
        <f>12*'Data Input'!$V$5</f>
        <v>1200</v>
      </c>
      <c r="T17" s="64">
        <f>SUM(Table12[[#This Row],[Utilities]:[Misc. Housing costs]])</f>
        <v>31170</v>
      </c>
      <c r="U17" s="63">
        <f>Table12[[#This Row],[Total]]/12</f>
        <v>2597.5</v>
      </c>
    </row>
    <row r="18" spans="1:21">
      <c r="A18" s="19">
        <f t="shared" si="0"/>
        <v>2031</v>
      </c>
      <c r="B18" s="62">
        <f>12*'Data Input'!$E$5</f>
        <v>3600</v>
      </c>
      <c r="C18" s="62">
        <f>12*'Data Input'!$F$5</f>
        <v>3000</v>
      </c>
      <c r="D18" s="62">
        <f>ROUNDDOWN('Student Loans'!B21+'Credit Card Debt'!B21,2)</f>
        <v>0</v>
      </c>
      <c r="E18" s="62"/>
      <c r="F18" s="62">
        <f>('Data Input'!F42+100)*12</f>
        <v>1200</v>
      </c>
      <c r="G18" s="62">
        <f>12*'Data Input'!$J$5</f>
        <v>1200</v>
      </c>
      <c r="H18" s="64">
        <f>12*'Data Input'!$K$5</f>
        <v>720</v>
      </c>
      <c r="I18" s="62">
        <f>12*'Data Input'!$L$5</f>
        <v>2250</v>
      </c>
      <c r="J18" s="62">
        <f>12*'Data Input'!$M$5</f>
        <v>4800</v>
      </c>
      <c r="K18" s="62">
        <f>12*'Data Input'!$N$5</f>
        <v>1200</v>
      </c>
      <c r="L18" s="62">
        <f>12*'Data Input'!$O$5</f>
        <v>1200</v>
      </c>
      <c r="M18" s="62">
        <f>12*'Data Input'!$P$5</f>
        <v>2400</v>
      </c>
      <c r="N18" s="64">
        <f>12*'Data Input'!$Q$5</f>
        <v>2400</v>
      </c>
      <c r="O18" s="62">
        <f>12*'Data Input'!$R$5</f>
        <v>1200</v>
      </c>
      <c r="P18" s="62">
        <f>12*'Data Input'!$S$5</f>
        <v>1200</v>
      </c>
      <c r="Q18" s="62">
        <f>12*'Data Input'!$T$5</f>
        <v>1200</v>
      </c>
      <c r="R18" s="62">
        <f>12*'Data Input'!$U$5</f>
        <v>2400</v>
      </c>
      <c r="S18" s="62">
        <f>12*'Data Input'!$V$5</f>
        <v>1200</v>
      </c>
      <c r="T18" s="64">
        <f>SUM(Table12[[#This Row],[Utilities]:[Misc. Housing costs]])</f>
        <v>31170</v>
      </c>
      <c r="U18" s="63">
        <f>Table12[[#This Row],[Total]]/12</f>
        <v>2597.5</v>
      </c>
    </row>
    <row r="19" spans="1:21">
      <c r="A19" s="19">
        <f t="shared" si="0"/>
        <v>2032</v>
      </c>
      <c r="B19" s="62">
        <f>12*'Data Input'!$E$5</f>
        <v>3600</v>
      </c>
      <c r="C19" s="62">
        <f>12*'Data Input'!$F$5</f>
        <v>3000</v>
      </c>
      <c r="D19" s="62">
        <f>ROUNDDOWN('Student Loans'!B22+'Credit Card Debt'!B22,2)</f>
        <v>0</v>
      </c>
      <c r="E19" s="62"/>
      <c r="F19" s="62">
        <f>('Data Input'!F43+100)*12</f>
        <v>1200</v>
      </c>
      <c r="G19" s="62">
        <f>12*'Data Input'!$J$5</f>
        <v>1200</v>
      </c>
      <c r="H19" s="64">
        <f>12*'Data Input'!$K$5</f>
        <v>720</v>
      </c>
      <c r="I19" s="62">
        <f>12*'Data Input'!$L$5</f>
        <v>2250</v>
      </c>
      <c r="J19" s="62">
        <f>12*'Data Input'!$M$5</f>
        <v>4800</v>
      </c>
      <c r="K19" s="62">
        <f>12*'Data Input'!$N$5</f>
        <v>1200</v>
      </c>
      <c r="L19" s="62">
        <f>12*'Data Input'!$O$5</f>
        <v>1200</v>
      </c>
      <c r="M19" s="62">
        <f>12*'Data Input'!$P$5</f>
        <v>2400</v>
      </c>
      <c r="N19" s="64">
        <f>12*'Data Input'!$Q$5</f>
        <v>2400</v>
      </c>
      <c r="O19" s="62">
        <f>12*'Data Input'!$R$5</f>
        <v>1200</v>
      </c>
      <c r="P19" s="62">
        <f>12*'Data Input'!$S$5</f>
        <v>1200</v>
      </c>
      <c r="Q19" s="62">
        <f>12*'Data Input'!$T$5</f>
        <v>1200</v>
      </c>
      <c r="R19" s="62">
        <f>12*'Data Input'!$U$5</f>
        <v>2400</v>
      </c>
      <c r="S19" s="62">
        <f>12*'Data Input'!$V$5</f>
        <v>1200</v>
      </c>
      <c r="T19" s="64">
        <f>SUM(Table12[[#This Row],[Utilities]:[Misc. Housing costs]])</f>
        <v>31170</v>
      </c>
      <c r="U19" s="63">
        <f>Table12[[#This Row],[Total]]/12</f>
        <v>2597.5</v>
      </c>
    </row>
    <row r="20" spans="1:21">
      <c r="A20" s="19">
        <f t="shared" si="0"/>
        <v>2033</v>
      </c>
      <c r="B20" s="62">
        <f>12*'Data Input'!$E$5</f>
        <v>3600</v>
      </c>
      <c r="C20" s="62">
        <f>12*'Data Input'!$F$5</f>
        <v>3000</v>
      </c>
      <c r="D20" s="62">
        <f>ROUNDDOWN('Student Loans'!B23+'Credit Card Debt'!B23,2)</f>
        <v>0</v>
      </c>
      <c r="E20" s="62"/>
      <c r="F20" s="62">
        <f>('Data Input'!F44+100)*12</f>
        <v>1200</v>
      </c>
      <c r="G20" s="62">
        <f>12*'Data Input'!$J$5</f>
        <v>1200</v>
      </c>
      <c r="H20" s="64">
        <f>12*'Data Input'!$K$5</f>
        <v>720</v>
      </c>
      <c r="I20" s="62">
        <f>12*'Data Input'!$L$5</f>
        <v>2250</v>
      </c>
      <c r="J20" s="62">
        <f>12*'Data Input'!$M$5</f>
        <v>4800</v>
      </c>
      <c r="K20" s="62">
        <f>12*'Data Input'!$N$5</f>
        <v>1200</v>
      </c>
      <c r="L20" s="62">
        <f>12*'Data Input'!$O$5</f>
        <v>1200</v>
      </c>
      <c r="M20" s="62">
        <f>12*'Data Input'!$P$5</f>
        <v>2400</v>
      </c>
      <c r="N20" s="64">
        <f>12*'Data Input'!$Q$5</f>
        <v>2400</v>
      </c>
      <c r="O20" s="62">
        <f>12*'Data Input'!$R$5</f>
        <v>1200</v>
      </c>
      <c r="P20" s="62">
        <f>12*'Data Input'!$S$5</f>
        <v>1200</v>
      </c>
      <c r="Q20" s="62">
        <f>12*'Data Input'!$T$5</f>
        <v>1200</v>
      </c>
      <c r="R20" s="62">
        <f>12*'Data Input'!$U$5</f>
        <v>2400</v>
      </c>
      <c r="S20" s="62">
        <f>12*'Data Input'!$V$5</f>
        <v>1200</v>
      </c>
      <c r="T20" s="64">
        <f>SUM(Table12[[#This Row],[Utilities]:[Misc. Housing costs]])</f>
        <v>31170</v>
      </c>
      <c r="U20" s="63">
        <f>Table12[[#This Row],[Total]]/12</f>
        <v>2597.5</v>
      </c>
    </row>
    <row r="21" spans="1:21">
      <c r="A21" s="19">
        <f t="shared" si="0"/>
        <v>2034</v>
      </c>
      <c r="B21" s="62">
        <f>12*'Data Input'!$E$5</f>
        <v>3600</v>
      </c>
      <c r="C21" s="62">
        <f>12*'Data Input'!$F$5</f>
        <v>3000</v>
      </c>
      <c r="D21" s="62">
        <f>ROUNDDOWN('Student Loans'!B24+'Credit Card Debt'!B24,2)</f>
        <v>0</v>
      </c>
      <c r="E21" s="62"/>
      <c r="F21" s="62">
        <f>('Data Input'!F45+100)*12</f>
        <v>1200</v>
      </c>
      <c r="G21" s="62">
        <f>12*'Data Input'!$J$5</f>
        <v>1200</v>
      </c>
      <c r="H21" s="64">
        <f>12*'Data Input'!$K$5</f>
        <v>720</v>
      </c>
      <c r="I21" s="62">
        <f>12*'Data Input'!$L$5</f>
        <v>2250</v>
      </c>
      <c r="J21" s="62">
        <f>12*'Data Input'!$M$5</f>
        <v>4800</v>
      </c>
      <c r="K21" s="62">
        <f>12*'Data Input'!$N$5</f>
        <v>1200</v>
      </c>
      <c r="L21" s="62">
        <f>12*'Data Input'!$O$5</f>
        <v>1200</v>
      </c>
      <c r="M21" s="62">
        <f>12*'Data Input'!$P$5</f>
        <v>2400</v>
      </c>
      <c r="N21" s="64">
        <f>12*'Data Input'!$Q$5</f>
        <v>2400</v>
      </c>
      <c r="O21" s="62">
        <f>12*'Data Input'!$R$5</f>
        <v>1200</v>
      </c>
      <c r="P21" s="62">
        <f>12*'Data Input'!$S$5</f>
        <v>1200</v>
      </c>
      <c r="Q21" s="62">
        <f>12*'Data Input'!$T$5</f>
        <v>1200</v>
      </c>
      <c r="R21" s="62">
        <f>12*'Data Input'!$U$5</f>
        <v>2400</v>
      </c>
      <c r="S21" s="62">
        <f>12*'Data Input'!$V$5</f>
        <v>1200</v>
      </c>
      <c r="T21" s="64">
        <f>SUM(Table12[[#This Row],[Utilities]:[Misc. Housing costs]])</f>
        <v>31170</v>
      </c>
      <c r="U21" s="63">
        <f>Table12[[#This Row],[Total]]/12</f>
        <v>2597.5</v>
      </c>
    </row>
    <row r="22" spans="1:21">
      <c r="A22" s="19">
        <f t="shared" si="0"/>
        <v>2035</v>
      </c>
      <c r="B22" s="62">
        <f>12*'Data Input'!$E$5</f>
        <v>3600</v>
      </c>
      <c r="C22" s="62">
        <f>12*'Data Input'!$F$5</f>
        <v>3000</v>
      </c>
      <c r="D22" s="62">
        <f>ROUNDDOWN('Student Loans'!B25+'Credit Card Debt'!B25,2)</f>
        <v>0</v>
      </c>
      <c r="E22" s="62"/>
      <c r="F22" s="62">
        <f>('Data Input'!F46+100)*12</f>
        <v>1200</v>
      </c>
      <c r="G22" s="62">
        <f>12*'Data Input'!$J$5</f>
        <v>1200</v>
      </c>
      <c r="H22" s="64">
        <f>12*'Data Input'!$K$5</f>
        <v>720</v>
      </c>
      <c r="I22" s="62">
        <f>12*'Data Input'!$L$5</f>
        <v>2250</v>
      </c>
      <c r="J22" s="62">
        <f>12*'Data Input'!$M$5</f>
        <v>4800</v>
      </c>
      <c r="K22" s="62">
        <f>12*'Data Input'!$N$5</f>
        <v>1200</v>
      </c>
      <c r="L22" s="62">
        <f>12*'Data Input'!$O$5</f>
        <v>1200</v>
      </c>
      <c r="M22" s="62">
        <f>12*'Data Input'!$P$5</f>
        <v>2400</v>
      </c>
      <c r="N22" s="64">
        <f>12*'Data Input'!$Q$5</f>
        <v>2400</v>
      </c>
      <c r="O22" s="62">
        <f>12*'Data Input'!$R$5</f>
        <v>1200</v>
      </c>
      <c r="P22" s="62">
        <f>12*'Data Input'!$S$5</f>
        <v>1200</v>
      </c>
      <c r="Q22" s="62">
        <f>12*'Data Input'!$T$5</f>
        <v>1200</v>
      </c>
      <c r="R22" s="62">
        <f>12*'Data Input'!$U$5</f>
        <v>2400</v>
      </c>
      <c r="S22" s="62">
        <f>12*'Data Input'!$V$5</f>
        <v>1200</v>
      </c>
      <c r="T22" s="64">
        <f>SUM(Table12[[#This Row],[Utilities]:[Misc. Housing costs]])</f>
        <v>31170</v>
      </c>
      <c r="U22" s="63">
        <f>Table12[[#This Row],[Total]]/12</f>
        <v>2597.5</v>
      </c>
    </row>
    <row r="23" spans="1:21">
      <c r="A23" s="19">
        <f t="shared" si="0"/>
        <v>2036</v>
      </c>
      <c r="B23" s="62">
        <f>12*'Data Input'!$E$5</f>
        <v>3600</v>
      </c>
      <c r="C23" s="62">
        <f>12*'Data Input'!$F$5</f>
        <v>3000</v>
      </c>
      <c r="D23" s="62">
        <f>ROUNDDOWN('Student Loans'!B26+'Credit Card Debt'!B26,2)</f>
        <v>0</v>
      </c>
      <c r="E23" s="62"/>
      <c r="F23" s="62">
        <f>('Data Input'!F47+100)*12</f>
        <v>1200</v>
      </c>
      <c r="G23" s="62">
        <f>12*'Data Input'!$J$5</f>
        <v>1200</v>
      </c>
      <c r="H23" s="64">
        <f>12*'Data Input'!$K$5</f>
        <v>720</v>
      </c>
      <c r="I23" s="62">
        <f>12*'Data Input'!$L$5</f>
        <v>2250</v>
      </c>
      <c r="J23" s="62">
        <f>12*'Data Input'!$M$5</f>
        <v>4800</v>
      </c>
      <c r="K23" s="62">
        <f>12*'Data Input'!$N$5</f>
        <v>1200</v>
      </c>
      <c r="L23" s="62">
        <f>12*'Data Input'!$O$5</f>
        <v>1200</v>
      </c>
      <c r="M23" s="62">
        <f>12*'Data Input'!$P$5</f>
        <v>2400</v>
      </c>
      <c r="N23" s="64">
        <f>12*'Data Input'!$Q$5</f>
        <v>2400</v>
      </c>
      <c r="O23" s="62">
        <f>12*'Data Input'!$R$5</f>
        <v>1200</v>
      </c>
      <c r="P23" s="62">
        <f>12*'Data Input'!$S$5</f>
        <v>1200</v>
      </c>
      <c r="Q23" s="62">
        <f>12*'Data Input'!$T$5</f>
        <v>1200</v>
      </c>
      <c r="R23" s="62">
        <f>12*'Data Input'!$U$5</f>
        <v>2400</v>
      </c>
      <c r="S23" s="62">
        <f>12*'Data Input'!$V$5</f>
        <v>1200</v>
      </c>
      <c r="T23" s="64">
        <f>SUM(Table12[[#This Row],[Utilities]:[Misc. Housing costs]])</f>
        <v>31170</v>
      </c>
      <c r="U23" s="63">
        <f>Table12[[#This Row],[Total]]/12</f>
        <v>2597.5</v>
      </c>
    </row>
    <row r="24" spans="1:21">
      <c r="A24" s="19">
        <f t="shared" si="0"/>
        <v>2037</v>
      </c>
      <c r="B24" s="62">
        <f>12*'Data Input'!$E$5</f>
        <v>3600</v>
      </c>
      <c r="C24" s="62">
        <f>12*'Data Input'!$F$5</f>
        <v>3000</v>
      </c>
      <c r="D24" s="62">
        <f>ROUNDDOWN('Student Loans'!B27+'Credit Card Debt'!B27,2)</f>
        <v>0</v>
      </c>
      <c r="E24" s="62"/>
      <c r="F24" s="62">
        <f>('Data Input'!F48+100)*12</f>
        <v>1200</v>
      </c>
      <c r="G24" s="62">
        <f>12*'Data Input'!$J$5</f>
        <v>1200</v>
      </c>
      <c r="H24" s="64">
        <f>12*'Data Input'!$K$5</f>
        <v>720</v>
      </c>
      <c r="I24" s="62">
        <f>12*'Data Input'!$L$5</f>
        <v>2250</v>
      </c>
      <c r="J24" s="62">
        <f>12*'Data Input'!$M$5</f>
        <v>4800</v>
      </c>
      <c r="K24" s="62">
        <f>12*'Data Input'!$N$5</f>
        <v>1200</v>
      </c>
      <c r="L24" s="62">
        <f>12*'Data Input'!$O$5</f>
        <v>1200</v>
      </c>
      <c r="M24" s="62">
        <f>12*'Data Input'!$P$5</f>
        <v>2400</v>
      </c>
      <c r="N24" s="64">
        <f>12*'Data Input'!$Q$5</f>
        <v>2400</v>
      </c>
      <c r="O24" s="62">
        <f>12*'Data Input'!$R$5</f>
        <v>1200</v>
      </c>
      <c r="P24" s="62">
        <f>12*'Data Input'!$S$5</f>
        <v>1200</v>
      </c>
      <c r="Q24" s="62">
        <f>12*'Data Input'!$T$5</f>
        <v>1200</v>
      </c>
      <c r="R24" s="62">
        <f>12*'Data Input'!$U$5</f>
        <v>2400</v>
      </c>
      <c r="S24" s="62">
        <f>12*'Data Input'!$V$5</f>
        <v>1200</v>
      </c>
      <c r="T24" s="64">
        <f>SUM(Table12[[#This Row],[Utilities]:[Misc. Housing costs]])</f>
        <v>31170</v>
      </c>
      <c r="U24" s="63">
        <f>Table12[[#This Row],[Total]]/12</f>
        <v>2597.5</v>
      </c>
    </row>
    <row r="25" spans="1:21">
      <c r="A25" s="19">
        <f t="shared" si="0"/>
        <v>2038</v>
      </c>
      <c r="B25" s="62">
        <f>12*'Data Input'!$E$5</f>
        <v>3600</v>
      </c>
      <c r="C25" s="62">
        <f>12*'Data Input'!$F$5</f>
        <v>3000</v>
      </c>
      <c r="D25" s="62">
        <f>ROUNDDOWN('Student Loans'!B28+'Credit Card Debt'!B28,2)</f>
        <v>0</v>
      </c>
      <c r="E25" s="62"/>
      <c r="F25" s="62">
        <f>('Data Input'!F49+100)*12</f>
        <v>1200</v>
      </c>
      <c r="G25" s="62">
        <f>12*'Data Input'!$J$5</f>
        <v>1200</v>
      </c>
      <c r="H25" s="64">
        <f>12*'Data Input'!$K$5</f>
        <v>720</v>
      </c>
      <c r="I25" s="62">
        <f>12*'Data Input'!$L$5</f>
        <v>2250</v>
      </c>
      <c r="J25" s="62">
        <f>12*'Data Input'!$M$5</f>
        <v>4800</v>
      </c>
      <c r="K25" s="62">
        <f>12*'Data Input'!$N$5</f>
        <v>1200</v>
      </c>
      <c r="L25" s="62">
        <f>12*'Data Input'!$O$5</f>
        <v>1200</v>
      </c>
      <c r="M25" s="62">
        <f>12*'Data Input'!$P$5</f>
        <v>2400</v>
      </c>
      <c r="N25" s="64">
        <f>12*'Data Input'!$Q$5</f>
        <v>2400</v>
      </c>
      <c r="O25" s="62">
        <f>12*'Data Input'!$R$5</f>
        <v>1200</v>
      </c>
      <c r="P25" s="62">
        <f>12*'Data Input'!$S$5</f>
        <v>1200</v>
      </c>
      <c r="Q25" s="62">
        <f>12*'Data Input'!$T$5</f>
        <v>1200</v>
      </c>
      <c r="R25" s="62">
        <f>12*'Data Input'!$U$5</f>
        <v>2400</v>
      </c>
      <c r="S25" s="62">
        <f>12*'Data Input'!$V$5</f>
        <v>1200</v>
      </c>
      <c r="T25" s="64">
        <f>SUM(Table12[[#This Row],[Utilities]:[Misc. Housing costs]])</f>
        <v>31170</v>
      </c>
      <c r="U25" s="63">
        <f>Table12[[#This Row],[Total]]/12</f>
        <v>2597.5</v>
      </c>
    </row>
    <row r="26" spans="1:21">
      <c r="A26" s="19">
        <f t="shared" si="0"/>
        <v>2039</v>
      </c>
      <c r="B26" s="62">
        <f>12*'Data Input'!$E$5</f>
        <v>3600</v>
      </c>
      <c r="C26" s="62">
        <f>12*'Data Input'!$F$5</f>
        <v>3000</v>
      </c>
      <c r="D26" s="62">
        <f>ROUNDDOWN('Student Loans'!B29+'Credit Card Debt'!B29,2)</f>
        <v>0</v>
      </c>
      <c r="E26" s="62"/>
      <c r="F26" s="62">
        <f>('Data Input'!F50+100)*12</f>
        <v>1200</v>
      </c>
      <c r="G26" s="62">
        <f>12*'Data Input'!$J$5</f>
        <v>1200</v>
      </c>
      <c r="H26" s="64">
        <f>12*'Data Input'!$K$5</f>
        <v>720</v>
      </c>
      <c r="I26" s="62">
        <f>12*'Data Input'!$L$5</f>
        <v>2250</v>
      </c>
      <c r="J26" s="62">
        <f>12*'Data Input'!$M$5</f>
        <v>4800</v>
      </c>
      <c r="K26" s="62">
        <f>12*'Data Input'!$N$5</f>
        <v>1200</v>
      </c>
      <c r="L26" s="62">
        <f>12*'Data Input'!$O$5</f>
        <v>1200</v>
      </c>
      <c r="M26" s="62">
        <f>12*'Data Input'!$P$5</f>
        <v>2400</v>
      </c>
      <c r="N26" s="64">
        <f>12*'Data Input'!$Q$5</f>
        <v>2400</v>
      </c>
      <c r="O26" s="62">
        <f>12*'Data Input'!$R$5</f>
        <v>1200</v>
      </c>
      <c r="P26" s="62">
        <f>12*'Data Input'!$S$5</f>
        <v>1200</v>
      </c>
      <c r="Q26" s="62">
        <f>12*'Data Input'!$T$5</f>
        <v>1200</v>
      </c>
      <c r="R26" s="62">
        <f>12*'Data Input'!$U$5</f>
        <v>2400</v>
      </c>
      <c r="S26" s="62">
        <f>12*'Data Input'!$V$5</f>
        <v>1200</v>
      </c>
      <c r="T26" s="64">
        <f>SUM(Table12[[#This Row],[Utilities]:[Misc. Housing costs]])</f>
        <v>31170</v>
      </c>
      <c r="U26" s="63">
        <f>Table12[[#This Row],[Total]]/12</f>
        <v>2597.5</v>
      </c>
    </row>
    <row r="27" spans="1:21">
      <c r="A27" s="19">
        <f t="shared" si="0"/>
        <v>2040</v>
      </c>
      <c r="B27" s="62">
        <f>12*'Data Input'!$E$5</f>
        <v>3600</v>
      </c>
      <c r="C27" s="62">
        <f>12*'Data Input'!$F$5</f>
        <v>3000</v>
      </c>
      <c r="D27" s="62">
        <f>ROUNDDOWN('Student Loans'!B30+'Credit Card Debt'!B30,2)</f>
        <v>0</v>
      </c>
      <c r="E27" s="62"/>
      <c r="F27" s="62">
        <f>('Data Input'!F51+100)*12</f>
        <v>1200</v>
      </c>
      <c r="G27" s="62">
        <f>12*'Data Input'!$J$5</f>
        <v>1200</v>
      </c>
      <c r="H27" s="64">
        <f>12*'Data Input'!$K$5</f>
        <v>720</v>
      </c>
      <c r="I27" s="62">
        <f>12*'Data Input'!$L$5</f>
        <v>2250</v>
      </c>
      <c r="J27" s="62">
        <f>12*'Data Input'!$M$5</f>
        <v>4800</v>
      </c>
      <c r="K27" s="62">
        <f>12*'Data Input'!$N$5</f>
        <v>1200</v>
      </c>
      <c r="L27" s="62">
        <f>12*'Data Input'!$O$5</f>
        <v>1200</v>
      </c>
      <c r="M27" s="62">
        <f>12*'Data Input'!$P$5</f>
        <v>2400</v>
      </c>
      <c r="N27" s="64">
        <f>12*'Data Input'!$Q$5</f>
        <v>2400</v>
      </c>
      <c r="O27" s="62">
        <f>12*'Data Input'!$R$5</f>
        <v>1200</v>
      </c>
      <c r="P27" s="62">
        <f>12*'Data Input'!$S$5</f>
        <v>1200</v>
      </c>
      <c r="Q27" s="62">
        <f>12*'Data Input'!$T$5</f>
        <v>1200</v>
      </c>
      <c r="R27" s="62">
        <f>12*'Data Input'!$U$5</f>
        <v>2400</v>
      </c>
      <c r="S27" s="62">
        <f>12*'Data Input'!$V$5</f>
        <v>1200</v>
      </c>
      <c r="T27" s="64">
        <f>SUM(Table12[[#This Row],[Utilities]:[Misc. Housing costs]])</f>
        <v>31170</v>
      </c>
      <c r="U27" s="63">
        <f>Table12[[#This Row],[Total]]/12</f>
        <v>2597.5</v>
      </c>
    </row>
    <row r="28" spans="1:21">
      <c r="A28" s="19">
        <f t="shared" si="0"/>
        <v>2041</v>
      </c>
      <c r="B28" s="62">
        <f>12*'Data Input'!$E$5</f>
        <v>3600</v>
      </c>
      <c r="C28" s="62">
        <f>12*'Data Input'!$F$5</f>
        <v>3000</v>
      </c>
      <c r="D28" s="62">
        <f>ROUNDDOWN('Student Loans'!B31+'Credit Card Debt'!B31,2)</f>
        <v>0</v>
      </c>
      <c r="E28" s="62"/>
      <c r="F28" s="62">
        <f>('Data Input'!F52+100)*12</f>
        <v>1200</v>
      </c>
      <c r="G28" s="62">
        <f>12*'Data Input'!$J$5</f>
        <v>1200</v>
      </c>
      <c r="H28" s="64">
        <f>12*'Data Input'!$K$5</f>
        <v>720</v>
      </c>
      <c r="I28" s="62">
        <f>12*'Data Input'!$L$5</f>
        <v>2250</v>
      </c>
      <c r="J28" s="62">
        <f>12*'Data Input'!$M$5</f>
        <v>4800</v>
      </c>
      <c r="K28" s="62">
        <f>12*'Data Input'!$N$5</f>
        <v>1200</v>
      </c>
      <c r="L28" s="62">
        <f>12*'Data Input'!$O$5</f>
        <v>1200</v>
      </c>
      <c r="M28" s="62">
        <f>12*'Data Input'!$P$5</f>
        <v>2400</v>
      </c>
      <c r="N28" s="64">
        <f>12*'Data Input'!$Q$5</f>
        <v>2400</v>
      </c>
      <c r="O28" s="62">
        <f>12*'Data Input'!$R$5</f>
        <v>1200</v>
      </c>
      <c r="P28" s="62">
        <f>12*'Data Input'!$S$5</f>
        <v>1200</v>
      </c>
      <c r="Q28" s="62">
        <f>12*'Data Input'!$T$5</f>
        <v>1200</v>
      </c>
      <c r="R28" s="62">
        <f>12*'Data Input'!$U$5</f>
        <v>2400</v>
      </c>
      <c r="S28" s="62">
        <f>12*'Data Input'!$V$5</f>
        <v>1200</v>
      </c>
      <c r="T28" s="64">
        <f>SUM(Table12[[#This Row],[Utilities]:[Misc. Housing costs]])</f>
        <v>31170</v>
      </c>
      <c r="U28" s="63">
        <f>Table12[[#This Row],[Total]]/12</f>
        <v>2597.5</v>
      </c>
    </row>
    <row r="29" spans="1:21">
      <c r="A29" s="19">
        <f t="shared" si="0"/>
        <v>2042</v>
      </c>
      <c r="B29" s="62">
        <f>12*'Data Input'!$E$5</f>
        <v>3600</v>
      </c>
      <c r="C29" s="62">
        <f>12*'Data Input'!$F$5</f>
        <v>3000</v>
      </c>
      <c r="D29" s="62">
        <f>ROUNDDOWN('Student Loans'!B32+'Credit Card Debt'!B32,2)</f>
        <v>0</v>
      </c>
      <c r="E29" s="62"/>
      <c r="F29" s="62">
        <f>('Data Input'!F53+100)*12</f>
        <v>1200</v>
      </c>
      <c r="G29" s="62">
        <f>12*'Data Input'!$J$5</f>
        <v>1200</v>
      </c>
      <c r="H29" s="64">
        <f>12*'Data Input'!$K$5</f>
        <v>720</v>
      </c>
      <c r="I29" s="62">
        <f>12*'Data Input'!$L$5</f>
        <v>2250</v>
      </c>
      <c r="J29" s="62">
        <f>12*'Data Input'!$M$5</f>
        <v>4800</v>
      </c>
      <c r="K29" s="62">
        <f>12*'Data Input'!$N$5</f>
        <v>1200</v>
      </c>
      <c r="L29" s="62">
        <f>12*'Data Input'!$O$5</f>
        <v>1200</v>
      </c>
      <c r="M29" s="62">
        <f>12*'Data Input'!$P$5</f>
        <v>2400</v>
      </c>
      <c r="N29" s="64">
        <f>12*'Data Input'!$Q$5</f>
        <v>2400</v>
      </c>
      <c r="O29" s="62">
        <f>12*'Data Input'!$R$5</f>
        <v>1200</v>
      </c>
      <c r="P29" s="62">
        <f>12*'Data Input'!$S$5</f>
        <v>1200</v>
      </c>
      <c r="Q29" s="62">
        <f>12*'Data Input'!$T$5</f>
        <v>1200</v>
      </c>
      <c r="R29" s="62">
        <f>12*'Data Input'!$U$5</f>
        <v>2400</v>
      </c>
      <c r="S29" s="62">
        <f>12*'Data Input'!$V$5</f>
        <v>1200</v>
      </c>
      <c r="T29" s="64">
        <f>SUM(Table12[[#This Row],[Utilities]:[Misc. Housing costs]])</f>
        <v>31170</v>
      </c>
      <c r="U29" s="63">
        <f>Table12[[#This Row],[Total]]/12</f>
        <v>2597.5</v>
      </c>
    </row>
    <row r="30" spans="1:21">
      <c r="A30" s="19">
        <f t="shared" si="0"/>
        <v>2043</v>
      </c>
      <c r="B30" s="62">
        <f>12*'Data Input'!$E$5</f>
        <v>3600</v>
      </c>
      <c r="C30" s="62">
        <f>12*'Data Input'!$F$5</f>
        <v>3000</v>
      </c>
      <c r="D30" s="62">
        <f>ROUNDDOWN('Student Loans'!B33+'Credit Card Debt'!B33,2)</f>
        <v>0</v>
      </c>
      <c r="E30" s="62"/>
      <c r="F30" s="62">
        <f>('Data Input'!F54+100)*12</f>
        <v>1200</v>
      </c>
      <c r="G30" s="62">
        <f>12*'Data Input'!$J$5</f>
        <v>1200</v>
      </c>
      <c r="H30" s="64">
        <f>12*'Data Input'!$K$5</f>
        <v>720</v>
      </c>
      <c r="I30" s="62">
        <f>12*'Data Input'!$L$5</f>
        <v>2250</v>
      </c>
      <c r="J30" s="62">
        <f>12*'Data Input'!$M$5</f>
        <v>4800</v>
      </c>
      <c r="K30" s="62">
        <f>12*'Data Input'!$N$5</f>
        <v>1200</v>
      </c>
      <c r="L30" s="62">
        <f>12*'Data Input'!$O$5</f>
        <v>1200</v>
      </c>
      <c r="M30" s="62">
        <f>12*'Data Input'!$P$5</f>
        <v>2400</v>
      </c>
      <c r="N30" s="64">
        <f>12*'Data Input'!$Q$5</f>
        <v>2400</v>
      </c>
      <c r="O30" s="62">
        <f>12*'Data Input'!$R$5</f>
        <v>1200</v>
      </c>
      <c r="P30" s="62">
        <f>12*'Data Input'!$S$5</f>
        <v>1200</v>
      </c>
      <c r="Q30" s="62">
        <f>12*'Data Input'!$T$5</f>
        <v>1200</v>
      </c>
      <c r="R30" s="62">
        <f>12*'Data Input'!$U$5</f>
        <v>2400</v>
      </c>
      <c r="S30" s="62">
        <f>12*'Data Input'!$V$5</f>
        <v>1200</v>
      </c>
      <c r="T30" s="64">
        <f>SUM(Table12[[#This Row],[Utilities]:[Misc. Housing costs]])</f>
        <v>31170</v>
      </c>
      <c r="U30" s="63">
        <f>Table12[[#This Row],[Total]]/12</f>
        <v>2597.5</v>
      </c>
    </row>
    <row r="31" spans="1:21">
      <c r="A31" s="19">
        <f t="shared" si="0"/>
        <v>2044</v>
      </c>
      <c r="B31" s="62">
        <f>12*'Data Input'!$E$5</f>
        <v>3600</v>
      </c>
      <c r="C31" s="62">
        <f>12*'Data Input'!$F$5</f>
        <v>3000</v>
      </c>
      <c r="D31" s="62">
        <f>ROUNDDOWN('Student Loans'!B34+'Credit Card Debt'!B34,2)</f>
        <v>0</v>
      </c>
      <c r="E31" s="62"/>
      <c r="F31" s="62">
        <f>('Data Input'!F55+100)*12</f>
        <v>1200</v>
      </c>
      <c r="G31" s="62">
        <f>12*'Data Input'!$J$5</f>
        <v>1200</v>
      </c>
      <c r="H31" s="64">
        <f>12*'Data Input'!$K$5</f>
        <v>720</v>
      </c>
      <c r="I31" s="62">
        <f>12*'Data Input'!$L$5</f>
        <v>2250</v>
      </c>
      <c r="J31" s="62">
        <f>12*'Data Input'!$M$5</f>
        <v>4800</v>
      </c>
      <c r="K31" s="62">
        <f>12*'Data Input'!$N$5</f>
        <v>1200</v>
      </c>
      <c r="L31" s="62">
        <f>12*'Data Input'!$O$5</f>
        <v>1200</v>
      </c>
      <c r="M31" s="62">
        <f>12*'Data Input'!$P$5</f>
        <v>2400</v>
      </c>
      <c r="N31" s="64">
        <f>12*'Data Input'!$Q$5</f>
        <v>2400</v>
      </c>
      <c r="O31" s="62">
        <f>12*'Data Input'!$R$5</f>
        <v>1200</v>
      </c>
      <c r="P31" s="62">
        <f>12*'Data Input'!$S$5</f>
        <v>1200</v>
      </c>
      <c r="Q31" s="62">
        <f>12*'Data Input'!$T$5</f>
        <v>1200</v>
      </c>
      <c r="R31" s="62">
        <f>12*'Data Input'!$U$5</f>
        <v>2400</v>
      </c>
      <c r="S31" s="62">
        <f>12*'Data Input'!$V$5</f>
        <v>1200</v>
      </c>
      <c r="T31" s="64">
        <f>SUM(Table12[[#This Row],[Utilities]:[Misc. Housing costs]])</f>
        <v>31170</v>
      </c>
      <c r="U31" s="63">
        <f>Table12[[#This Row],[Total]]/12</f>
        <v>2597.5</v>
      </c>
    </row>
    <row r="32" spans="1:21">
      <c r="A32" s="19">
        <f t="shared" si="0"/>
        <v>2045</v>
      </c>
      <c r="B32" s="62">
        <f>12*'Data Input'!$E$5</f>
        <v>3600</v>
      </c>
      <c r="C32" s="62">
        <f>12*'Data Input'!$F$5</f>
        <v>3000</v>
      </c>
      <c r="D32" s="62">
        <f>ROUNDDOWN('Student Loans'!B35+'Credit Card Debt'!B35,2)</f>
        <v>0</v>
      </c>
      <c r="E32" s="62"/>
      <c r="F32" s="62">
        <f>('Data Input'!F56+100)*12</f>
        <v>1200</v>
      </c>
      <c r="G32" s="62">
        <f>12*'Data Input'!$J$5</f>
        <v>1200</v>
      </c>
      <c r="H32" s="64">
        <f>12*'Data Input'!$K$5</f>
        <v>720</v>
      </c>
      <c r="I32" s="62">
        <f>12*'Data Input'!$L$5</f>
        <v>2250</v>
      </c>
      <c r="J32" s="62">
        <f>12*'Data Input'!$M$5</f>
        <v>4800</v>
      </c>
      <c r="K32" s="62">
        <f>12*'Data Input'!$N$5</f>
        <v>1200</v>
      </c>
      <c r="L32" s="62">
        <f>12*'Data Input'!$O$5</f>
        <v>1200</v>
      </c>
      <c r="M32" s="62">
        <f>12*'Data Input'!$P$5</f>
        <v>2400</v>
      </c>
      <c r="N32" s="64">
        <f>12*'Data Input'!$Q$5</f>
        <v>2400</v>
      </c>
      <c r="O32" s="62">
        <f>12*'Data Input'!$R$5</f>
        <v>1200</v>
      </c>
      <c r="P32" s="62">
        <f>12*'Data Input'!$S$5</f>
        <v>1200</v>
      </c>
      <c r="Q32" s="62">
        <f>12*'Data Input'!$T$5</f>
        <v>1200</v>
      </c>
      <c r="R32" s="62">
        <f>12*'Data Input'!$U$5</f>
        <v>2400</v>
      </c>
      <c r="S32" s="62">
        <f>12*'Data Input'!$V$5</f>
        <v>1200</v>
      </c>
      <c r="T32" s="64">
        <f>SUM(Table12[[#This Row],[Utilities]:[Misc. Housing costs]])</f>
        <v>31170</v>
      </c>
      <c r="U32" s="63">
        <f>Table12[[#This Row],[Total]]/12</f>
        <v>2597.5</v>
      </c>
    </row>
    <row r="33" spans="1:21">
      <c r="A33" s="19">
        <f t="shared" si="0"/>
        <v>2046</v>
      </c>
      <c r="B33" s="62">
        <f>12*'Data Input'!$E$5</f>
        <v>3600</v>
      </c>
      <c r="C33" s="62">
        <f>12*'Data Input'!$F$5</f>
        <v>3000</v>
      </c>
      <c r="D33" s="62">
        <f>ROUNDDOWN('Student Loans'!B36+'Credit Card Debt'!B36,2)</f>
        <v>0</v>
      </c>
      <c r="E33" s="62"/>
      <c r="F33" s="62">
        <f>('Data Input'!F57+100)*12</f>
        <v>1200</v>
      </c>
      <c r="G33" s="62">
        <f>12*'Data Input'!$J$5</f>
        <v>1200</v>
      </c>
      <c r="H33" s="64">
        <f>12*'Data Input'!$K$5</f>
        <v>720</v>
      </c>
      <c r="I33" s="62">
        <f>12*'Data Input'!$L$5</f>
        <v>2250</v>
      </c>
      <c r="J33" s="62">
        <f>12*'Data Input'!$M$5</f>
        <v>4800</v>
      </c>
      <c r="K33" s="62">
        <f>12*'Data Input'!$N$5</f>
        <v>1200</v>
      </c>
      <c r="L33" s="62">
        <f>12*'Data Input'!$O$5</f>
        <v>1200</v>
      </c>
      <c r="M33" s="62">
        <f>12*'Data Input'!$P$5</f>
        <v>2400</v>
      </c>
      <c r="N33" s="64">
        <f>12*'Data Input'!$Q$5</f>
        <v>2400</v>
      </c>
      <c r="O33" s="62">
        <f>12*'Data Input'!$R$5</f>
        <v>1200</v>
      </c>
      <c r="P33" s="62">
        <f>12*'Data Input'!$S$5</f>
        <v>1200</v>
      </c>
      <c r="Q33" s="62">
        <f>12*'Data Input'!$T$5</f>
        <v>1200</v>
      </c>
      <c r="R33" s="62">
        <f>12*'Data Input'!$U$5</f>
        <v>2400</v>
      </c>
      <c r="S33" s="62">
        <f>12*'Data Input'!$V$5</f>
        <v>1200</v>
      </c>
      <c r="T33" s="64">
        <f>SUM(Table12[[#This Row],[Utilities]:[Misc. Housing costs]])</f>
        <v>31170</v>
      </c>
      <c r="U33" s="63">
        <f>Table12[[#This Row],[Total]]/12</f>
        <v>2597.5</v>
      </c>
    </row>
    <row r="34" spans="1:21">
      <c r="A34" s="19">
        <f t="shared" si="0"/>
        <v>2047</v>
      </c>
      <c r="B34" s="62">
        <f>12*'Data Input'!$E$5</f>
        <v>3600</v>
      </c>
      <c r="C34" s="62">
        <f>12*'Data Input'!$F$5</f>
        <v>3000</v>
      </c>
      <c r="D34" s="62">
        <f>ROUNDDOWN('Student Loans'!B37+'Credit Card Debt'!B37,2)</f>
        <v>0</v>
      </c>
      <c r="E34" s="62"/>
      <c r="F34" s="62">
        <f>('Data Input'!F58+100)*12</f>
        <v>1200</v>
      </c>
      <c r="G34" s="62">
        <f>12*'Data Input'!$J$5</f>
        <v>1200</v>
      </c>
      <c r="H34" s="64">
        <f>12*'Data Input'!$K$5</f>
        <v>720</v>
      </c>
      <c r="I34" s="62">
        <f>12*'Data Input'!$L$5</f>
        <v>2250</v>
      </c>
      <c r="J34" s="62">
        <f>12*'Data Input'!$M$5</f>
        <v>4800</v>
      </c>
      <c r="K34" s="62">
        <f>12*'Data Input'!$N$5</f>
        <v>1200</v>
      </c>
      <c r="L34" s="62">
        <f>12*'Data Input'!$O$5</f>
        <v>1200</v>
      </c>
      <c r="M34" s="62">
        <f>12*'Data Input'!$P$5</f>
        <v>2400</v>
      </c>
      <c r="N34" s="64">
        <f>12*'Data Input'!$Q$5</f>
        <v>2400</v>
      </c>
      <c r="O34" s="62">
        <f>12*'Data Input'!$R$5</f>
        <v>1200</v>
      </c>
      <c r="P34" s="62">
        <f>12*'Data Input'!$S$5</f>
        <v>1200</v>
      </c>
      <c r="Q34" s="62">
        <f>12*'Data Input'!$T$5</f>
        <v>1200</v>
      </c>
      <c r="R34" s="62">
        <f>12*'Data Input'!$U$5</f>
        <v>2400</v>
      </c>
      <c r="S34" s="62">
        <f>12*'Data Input'!$V$5</f>
        <v>1200</v>
      </c>
      <c r="T34" s="64">
        <f>SUM(Table12[[#This Row],[Utilities]:[Misc. Housing costs]])</f>
        <v>31170</v>
      </c>
      <c r="U34" s="63">
        <f>Table12[[#This Row],[Total]]/12</f>
        <v>2597.5</v>
      </c>
    </row>
    <row r="35" spans="1:21">
      <c r="A35" s="19">
        <f t="shared" si="0"/>
        <v>2048</v>
      </c>
      <c r="B35" s="62">
        <f>12*'Data Input'!$E$5</f>
        <v>3600</v>
      </c>
      <c r="C35" s="62">
        <f>12*'Data Input'!$F$5</f>
        <v>3000</v>
      </c>
      <c r="D35" s="62">
        <f>ROUNDDOWN('Student Loans'!B38+'Credit Card Debt'!B38,2)</f>
        <v>0</v>
      </c>
      <c r="E35" s="62"/>
      <c r="F35" s="62">
        <f>('Data Input'!F59+100)*12</f>
        <v>1200</v>
      </c>
      <c r="G35" s="62">
        <f>12*'Data Input'!$J$5</f>
        <v>1200</v>
      </c>
      <c r="H35" s="64">
        <f>12*'Data Input'!$K$5</f>
        <v>720</v>
      </c>
      <c r="I35" s="62">
        <f>12*'Data Input'!$L$5</f>
        <v>2250</v>
      </c>
      <c r="J35" s="62">
        <f>12*'Data Input'!$M$5</f>
        <v>4800</v>
      </c>
      <c r="K35" s="62">
        <f>12*'Data Input'!$N$5</f>
        <v>1200</v>
      </c>
      <c r="L35" s="62">
        <f>12*'Data Input'!$O$5</f>
        <v>1200</v>
      </c>
      <c r="M35" s="62">
        <f>12*'Data Input'!$P$5</f>
        <v>2400</v>
      </c>
      <c r="N35" s="64">
        <f>12*'Data Input'!$Q$5</f>
        <v>2400</v>
      </c>
      <c r="O35" s="62">
        <f>12*'Data Input'!$R$5</f>
        <v>1200</v>
      </c>
      <c r="P35" s="62">
        <f>12*'Data Input'!$S$5</f>
        <v>1200</v>
      </c>
      <c r="Q35" s="62">
        <f>12*'Data Input'!$T$5</f>
        <v>1200</v>
      </c>
      <c r="R35" s="62">
        <f>12*'Data Input'!$U$5</f>
        <v>2400</v>
      </c>
      <c r="S35" s="62">
        <f>12*'Data Input'!$V$5</f>
        <v>1200</v>
      </c>
      <c r="T35" s="64">
        <f>SUM(Table12[[#This Row],[Utilities]:[Misc. Housing costs]])</f>
        <v>31170</v>
      </c>
      <c r="U35" s="63">
        <f>Table12[[#This Row],[Total]]/12</f>
        <v>2597.5</v>
      </c>
    </row>
    <row r="36" spans="1:21">
      <c r="A36" s="19">
        <f t="shared" si="0"/>
        <v>2049</v>
      </c>
      <c r="B36" s="62">
        <f>12*'Data Input'!$E$5</f>
        <v>3600</v>
      </c>
      <c r="C36" s="62">
        <f>12*'Data Input'!$F$5</f>
        <v>3000</v>
      </c>
      <c r="D36" s="62">
        <f>ROUNDDOWN('Student Loans'!B39+'Credit Card Debt'!B39,2)</f>
        <v>0</v>
      </c>
      <c r="E36" s="62"/>
      <c r="F36" s="62">
        <f>('Data Input'!F60+100)*12</f>
        <v>1200</v>
      </c>
      <c r="G36" s="62">
        <f>12*'Data Input'!$J$5</f>
        <v>1200</v>
      </c>
      <c r="H36" s="64">
        <f>12*'Data Input'!$K$5</f>
        <v>720</v>
      </c>
      <c r="I36" s="62">
        <f>12*'Data Input'!$L$5</f>
        <v>2250</v>
      </c>
      <c r="J36" s="62">
        <f>12*'Data Input'!$M$5</f>
        <v>4800</v>
      </c>
      <c r="K36" s="62">
        <f>12*'Data Input'!$N$5</f>
        <v>1200</v>
      </c>
      <c r="L36" s="62">
        <f>12*'Data Input'!$O$5</f>
        <v>1200</v>
      </c>
      <c r="M36" s="62">
        <f>12*'Data Input'!$P$5</f>
        <v>2400</v>
      </c>
      <c r="N36" s="64">
        <f>12*'Data Input'!$Q$5</f>
        <v>2400</v>
      </c>
      <c r="O36" s="62">
        <f>12*'Data Input'!$R$5</f>
        <v>1200</v>
      </c>
      <c r="P36" s="62">
        <f>12*'Data Input'!$S$5</f>
        <v>1200</v>
      </c>
      <c r="Q36" s="62">
        <f>12*'Data Input'!$T$5</f>
        <v>1200</v>
      </c>
      <c r="R36" s="62">
        <f>12*'Data Input'!$U$5</f>
        <v>2400</v>
      </c>
      <c r="S36" s="62">
        <f>12*'Data Input'!$V$5</f>
        <v>1200</v>
      </c>
      <c r="T36" s="64">
        <f>SUM(Table12[[#This Row],[Utilities]:[Misc. Housing costs]])</f>
        <v>31170</v>
      </c>
      <c r="U36" s="63">
        <f>Table12[[#This Row],[Total]]/12</f>
        <v>2597.5</v>
      </c>
    </row>
    <row r="37" spans="1:21">
      <c r="A37" s="19">
        <f t="shared" si="0"/>
        <v>2050</v>
      </c>
      <c r="B37" s="62">
        <f>12*'Data Input'!$E$5</f>
        <v>3600</v>
      </c>
      <c r="C37" s="62">
        <f>12*'Data Input'!$F$5</f>
        <v>3000</v>
      </c>
      <c r="D37" s="62">
        <f>ROUNDDOWN('Student Loans'!B40+'Credit Card Debt'!B40,2)</f>
        <v>0</v>
      </c>
      <c r="E37" s="62"/>
      <c r="F37" s="62">
        <f>('Data Input'!F61+100)*12</f>
        <v>1200</v>
      </c>
      <c r="G37" s="62">
        <f>12*'Data Input'!$J$5</f>
        <v>1200</v>
      </c>
      <c r="H37" s="64">
        <f>12*'Data Input'!$K$5</f>
        <v>720</v>
      </c>
      <c r="I37" s="62">
        <f>12*'Data Input'!$L$5</f>
        <v>2250</v>
      </c>
      <c r="J37" s="62">
        <f>12*'Data Input'!$M$5</f>
        <v>4800</v>
      </c>
      <c r="K37" s="62">
        <f>12*'Data Input'!$N$5</f>
        <v>1200</v>
      </c>
      <c r="L37" s="62">
        <f>12*'Data Input'!$O$5</f>
        <v>1200</v>
      </c>
      <c r="M37" s="62">
        <f>12*'Data Input'!$P$5</f>
        <v>2400</v>
      </c>
      <c r="N37" s="64">
        <f>12*'Data Input'!$Q$5</f>
        <v>2400</v>
      </c>
      <c r="O37" s="62">
        <f>12*'Data Input'!$R$5</f>
        <v>1200</v>
      </c>
      <c r="P37" s="62">
        <f>12*'Data Input'!$S$5</f>
        <v>1200</v>
      </c>
      <c r="Q37" s="62">
        <f>12*'Data Input'!$T$5</f>
        <v>1200</v>
      </c>
      <c r="R37" s="62">
        <f>12*'Data Input'!$U$5</f>
        <v>2400</v>
      </c>
      <c r="S37" s="62">
        <f>12*'Data Input'!$V$5</f>
        <v>1200</v>
      </c>
      <c r="T37" s="64">
        <f>SUM(Table12[[#This Row],[Utilities]:[Misc. Housing costs]])</f>
        <v>31170</v>
      </c>
      <c r="U37" s="63">
        <f>Table12[[#This Row],[Total]]/12</f>
        <v>2597.5</v>
      </c>
    </row>
    <row r="38" spans="1:21">
      <c r="A38" s="19">
        <f t="shared" si="0"/>
        <v>2051</v>
      </c>
      <c r="B38" s="62">
        <f>12*'Data Input'!$E$5</f>
        <v>3600</v>
      </c>
      <c r="C38" s="62">
        <f>12*'Data Input'!$F$5</f>
        <v>3000</v>
      </c>
      <c r="D38" s="62">
        <f>ROUNDDOWN('Student Loans'!B41+'Credit Card Debt'!B41,2)</f>
        <v>0</v>
      </c>
      <c r="E38" s="62"/>
      <c r="F38" s="62">
        <f>('Data Input'!F62+100)*12</f>
        <v>1200</v>
      </c>
      <c r="G38" s="62">
        <f>12*'Data Input'!$J$5</f>
        <v>1200</v>
      </c>
      <c r="H38" s="64">
        <f>12*'Data Input'!$K$5</f>
        <v>720</v>
      </c>
      <c r="I38" s="62">
        <f>12*'Data Input'!$L$5</f>
        <v>2250</v>
      </c>
      <c r="J38" s="62">
        <f>12*'Data Input'!$M$5</f>
        <v>4800</v>
      </c>
      <c r="K38" s="62">
        <f>12*'Data Input'!$N$5</f>
        <v>1200</v>
      </c>
      <c r="L38" s="62">
        <f>12*'Data Input'!$O$5</f>
        <v>1200</v>
      </c>
      <c r="M38" s="62">
        <f>12*'Data Input'!$P$5</f>
        <v>2400</v>
      </c>
      <c r="N38" s="64">
        <f>12*'Data Input'!$Q$5</f>
        <v>2400</v>
      </c>
      <c r="O38" s="62">
        <f>12*'Data Input'!$R$5</f>
        <v>1200</v>
      </c>
      <c r="P38" s="62">
        <f>12*'Data Input'!$S$5</f>
        <v>1200</v>
      </c>
      <c r="Q38" s="62">
        <f>12*'Data Input'!$T$5</f>
        <v>1200</v>
      </c>
      <c r="R38" s="62">
        <f>12*'Data Input'!$U$5</f>
        <v>2400</v>
      </c>
      <c r="S38" s="62">
        <f>12*'Data Input'!$V$5</f>
        <v>1200</v>
      </c>
      <c r="T38" s="64">
        <f>SUM(Table12[[#This Row],[Utilities]:[Misc. Housing costs]])</f>
        <v>31170</v>
      </c>
      <c r="U38" s="63">
        <f>Table12[[#This Row],[Total]]/12</f>
        <v>2597.5</v>
      </c>
    </row>
    <row r="39" spans="1:21">
      <c r="A39" s="19">
        <f t="shared" si="0"/>
        <v>2052</v>
      </c>
      <c r="B39" s="62">
        <f>12*'Data Input'!$E$5</f>
        <v>3600</v>
      </c>
      <c r="C39" s="62">
        <f>12*'Data Input'!$F$5</f>
        <v>3000</v>
      </c>
      <c r="D39" s="62">
        <f>ROUNDDOWN('Student Loans'!B42+'Credit Card Debt'!B42,2)</f>
        <v>0</v>
      </c>
      <c r="E39" s="62"/>
      <c r="F39" s="62">
        <f>('Data Input'!F63+100)*12</f>
        <v>1200</v>
      </c>
      <c r="G39" s="62">
        <f>12*'Data Input'!$J$5</f>
        <v>1200</v>
      </c>
      <c r="H39" s="64">
        <f>12*'Data Input'!$K$5</f>
        <v>720</v>
      </c>
      <c r="I39" s="62">
        <f>12*'Data Input'!$L$5</f>
        <v>2250</v>
      </c>
      <c r="J39" s="62">
        <f>12*'Data Input'!$M$5</f>
        <v>4800</v>
      </c>
      <c r="K39" s="62">
        <f>12*'Data Input'!$N$5</f>
        <v>1200</v>
      </c>
      <c r="L39" s="62">
        <f>12*'Data Input'!$O$5</f>
        <v>1200</v>
      </c>
      <c r="M39" s="62">
        <f>12*'Data Input'!$P$5</f>
        <v>2400</v>
      </c>
      <c r="N39" s="64">
        <f>12*'Data Input'!$Q$5</f>
        <v>2400</v>
      </c>
      <c r="O39" s="62">
        <f>12*'Data Input'!$R$5</f>
        <v>1200</v>
      </c>
      <c r="P39" s="62">
        <f>12*'Data Input'!$S$5</f>
        <v>1200</v>
      </c>
      <c r="Q39" s="62">
        <f>12*'Data Input'!$T$5</f>
        <v>1200</v>
      </c>
      <c r="R39" s="62">
        <f>12*'Data Input'!$U$5</f>
        <v>2400</v>
      </c>
      <c r="S39" s="62">
        <f>12*'Data Input'!$V$5</f>
        <v>1200</v>
      </c>
      <c r="T39" s="64">
        <f>SUM(Table12[[#This Row],[Utilities]:[Misc. Housing costs]])</f>
        <v>31170</v>
      </c>
      <c r="U39" s="63">
        <f>Table12[[#This Row],[Total]]/12</f>
        <v>2597.5</v>
      </c>
    </row>
    <row r="40" spans="1:21">
      <c r="A40" s="19">
        <f t="shared" si="0"/>
        <v>2053</v>
      </c>
      <c r="B40" s="62">
        <f>12*'Data Input'!$E$5</f>
        <v>3600</v>
      </c>
      <c r="C40" s="62">
        <f>12*'Data Input'!$F$5</f>
        <v>3000</v>
      </c>
      <c r="D40" s="62">
        <f>ROUNDDOWN('Student Loans'!B43+'Credit Card Debt'!B43,2)</f>
        <v>0</v>
      </c>
      <c r="E40" s="62"/>
      <c r="F40" s="62">
        <f>('Data Input'!F64+100)*12</f>
        <v>1200</v>
      </c>
      <c r="G40" s="62">
        <f>12*'Data Input'!$J$5</f>
        <v>1200</v>
      </c>
      <c r="H40" s="64">
        <f>12*'Data Input'!$K$5</f>
        <v>720</v>
      </c>
      <c r="I40" s="62">
        <f>12*'Data Input'!$L$5</f>
        <v>2250</v>
      </c>
      <c r="J40" s="62">
        <f>12*'Data Input'!$M$5</f>
        <v>4800</v>
      </c>
      <c r="K40" s="62">
        <f>12*'Data Input'!$N$5</f>
        <v>1200</v>
      </c>
      <c r="L40" s="62">
        <f>12*'Data Input'!$O$5</f>
        <v>1200</v>
      </c>
      <c r="M40" s="62">
        <f>12*'Data Input'!$P$5</f>
        <v>2400</v>
      </c>
      <c r="N40" s="64">
        <f>12*'Data Input'!$Q$5</f>
        <v>2400</v>
      </c>
      <c r="O40" s="62">
        <f>12*'Data Input'!$R$5</f>
        <v>1200</v>
      </c>
      <c r="P40" s="62">
        <f>12*'Data Input'!$S$5</f>
        <v>1200</v>
      </c>
      <c r="Q40" s="62">
        <f>12*'Data Input'!$T$5</f>
        <v>1200</v>
      </c>
      <c r="R40" s="62">
        <f>12*'Data Input'!$U$5</f>
        <v>2400</v>
      </c>
      <c r="S40" s="62">
        <f>12*'Data Input'!$V$5</f>
        <v>1200</v>
      </c>
      <c r="T40" s="64">
        <f>SUM(Table12[[#This Row],[Utilities]:[Misc. Housing costs]])</f>
        <v>31170</v>
      </c>
      <c r="U40" s="63">
        <f>Table12[[#This Row],[Total]]/12</f>
        <v>2597.5</v>
      </c>
    </row>
    <row r="41" spans="1:21">
      <c r="A41" s="19">
        <f t="shared" si="0"/>
        <v>2054</v>
      </c>
      <c r="B41" s="62">
        <f>12*'Data Input'!$E$5</f>
        <v>3600</v>
      </c>
      <c r="C41" s="62">
        <f>12*'Data Input'!$F$5</f>
        <v>3000</v>
      </c>
      <c r="D41" s="62">
        <f>ROUNDDOWN('Student Loans'!B44+'Credit Card Debt'!B44,2)</f>
        <v>0</v>
      </c>
      <c r="E41" s="62"/>
      <c r="F41" s="62">
        <f>('Data Input'!F65+100)*12</f>
        <v>1200</v>
      </c>
      <c r="G41" s="62">
        <f>12*'Data Input'!$J$5</f>
        <v>1200</v>
      </c>
      <c r="H41" s="64">
        <f>12*'Data Input'!$K$5</f>
        <v>720</v>
      </c>
      <c r="I41" s="62">
        <f>12*'Data Input'!$L$5</f>
        <v>2250</v>
      </c>
      <c r="J41" s="62">
        <f>12*'Data Input'!$M$5</f>
        <v>4800</v>
      </c>
      <c r="K41" s="62">
        <f>12*'Data Input'!$N$5</f>
        <v>1200</v>
      </c>
      <c r="L41" s="62">
        <f>12*'Data Input'!$O$5</f>
        <v>1200</v>
      </c>
      <c r="M41" s="62">
        <f>12*'Data Input'!$P$5</f>
        <v>2400</v>
      </c>
      <c r="N41" s="64">
        <f>12*'Data Input'!$Q$5</f>
        <v>2400</v>
      </c>
      <c r="O41" s="62">
        <f>12*'Data Input'!$R$5</f>
        <v>1200</v>
      </c>
      <c r="P41" s="62">
        <f>12*'Data Input'!$S$5</f>
        <v>1200</v>
      </c>
      <c r="Q41" s="62">
        <f>12*'Data Input'!$T$5</f>
        <v>1200</v>
      </c>
      <c r="R41" s="62">
        <f>12*'Data Input'!$U$5</f>
        <v>2400</v>
      </c>
      <c r="S41" s="62">
        <f>12*'Data Input'!$V$5</f>
        <v>1200</v>
      </c>
      <c r="T41" s="64">
        <f>SUM(Table12[[#This Row],[Utilities]:[Misc. Housing costs]])</f>
        <v>31170</v>
      </c>
      <c r="U41" s="63">
        <f>Table12[[#This Row],[Total]]/12</f>
        <v>2597.5</v>
      </c>
    </row>
    <row r="42" spans="1:21">
      <c r="A42" s="19">
        <f t="shared" si="0"/>
        <v>2055</v>
      </c>
      <c r="B42" s="62">
        <f>12*'Data Input'!$E$5</f>
        <v>3600</v>
      </c>
      <c r="C42" s="62">
        <f>12*'Data Input'!$F$5</f>
        <v>3000</v>
      </c>
      <c r="D42" s="62">
        <f>ROUNDDOWN('Student Loans'!B45+'Credit Card Debt'!B45,2)</f>
        <v>0</v>
      </c>
      <c r="E42" s="62"/>
      <c r="F42" s="62">
        <f>('Data Input'!F66+100)*12</f>
        <v>1200</v>
      </c>
      <c r="G42" s="62">
        <f>12*'Data Input'!$J$5</f>
        <v>1200</v>
      </c>
      <c r="H42" s="64">
        <f>12*'Data Input'!$K$5</f>
        <v>720</v>
      </c>
      <c r="I42" s="62">
        <f>12*'Data Input'!$L$5</f>
        <v>2250</v>
      </c>
      <c r="J42" s="62">
        <f>12*'Data Input'!$M$5</f>
        <v>4800</v>
      </c>
      <c r="K42" s="62">
        <f>12*'Data Input'!$N$5</f>
        <v>1200</v>
      </c>
      <c r="L42" s="62">
        <f>12*'Data Input'!$O$5</f>
        <v>1200</v>
      </c>
      <c r="M42" s="62">
        <f>12*'Data Input'!$P$5</f>
        <v>2400</v>
      </c>
      <c r="N42" s="64">
        <f>12*'Data Input'!$Q$5</f>
        <v>2400</v>
      </c>
      <c r="O42" s="62">
        <f>12*'Data Input'!$R$5</f>
        <v>1200</v>
      </c>
      <c r="P42" s="62">
        <f>12*'Data Input'!$S$5</f>
        <v>1200</v>
      </c>
      <c r="Q42" s="62">
        <f>12*'Data Input'!$T$5</f>
        <v>1200</v>
      </c>
      <c r="R42" s="62">
        <f>12*'Data Input'!$U$5</f>
        <v>2400</v>
      </c>
      <c r="S42" s="62">
        <f>12*'Data Input'!$V$5</f>
        <v>1200</v>
      </c>
      <c r="T42" s="64">
        <f>SUM(Table12[[#This Row],[Utilities]:[Misc. Housing costs]])</f>
        <v>31170</v>
      </c>
      <c r="U42" s="63">
        <f>Table12[[#This Row],[Total]]/12</f>
        <v>2597.5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70" zoomScaleNormal="70" workbookViewId="0">
      <selection activeCell="F55" sqref="F55"/>
    </sheetView>
  </sheetViews>
  <sheetFormatPr defaultRowHeight="15"/>
  <cols>
    <col min="1" max="1" width="7.5703125" customWidth="1"/>
    <col min="2" max="2" width="16" customWidth="1"/>
    <col min="3" max="3" width="14.85546875" customWidth="1"/>
    <col min="4" max="4" width="11.7109375" customWidth="1"/>
    <col min="5" max="5" width="20" customWidth="1"/>
    <col min="6" max="6" width="52.5703125" customWidth="1"/>
    <col min="7" max="7" width="14.85546875" style="16" customWidth="1"/>
    <col min="8" max="8" width="14.28515625" customWidth="1"/>
    <col min="9" max="9" width="17.5703125" customWidth="1"/>
  </cols>
  <sheetData>
    <row r="1" spans="2:12">
      <c r="E1" s="35"/>
      <c r="F1" s="35"/>
      <c r="G1" s="35"/>
      <c r="H1" s="35"/>
      <c r="I1" s="35"/>
      <c r="J1" s="16"/>
      <c r="K1" s="16"/>
      <c r="L1" s="16"/>
    </row>
    <row r="2" spans="2:12" ht="30">
      <c r="B2" s="106" t="s">
        <v>64</v>
      </c>
      <c r="C2" s="106"/>
      <c r="E2" s="34" t="s">
        <v>46</v>
      </c>
      <c r="F2" s="34" t="s">
        <v>18</v>
      </c>
      <c r="G2" s="29" t="s">
        <v>69</v>
      </c>
      <c r="H2" s="34" t="s">
        <v>67</v>
      </c>
      <c r="I2" s="34" t="s">
        <v>68</v>
      </c>
      <c r="J2" s="34" t="s">
        <v>18</v>
      </c>
      <c r="K2" s="16"/>
      <c r="L2" s="41"/>
    </row>
    <row r="3" spans="2:12" ht="30">
      <c r="B3" s="30" t="s">
        <v>63</v>
      </c>
      <c r="C3" s="87">
        <v>6300</v>
      </c>
      <c r="E3" s="34" t="s">
        <v>96</v>
      </c>
      <c r="F3" s="37">
        <v>0.1</v>
      </c>
      <c r="G3" s="38">
        <v>0</v>
      </c>
      <c r="H3" s="38">
        <v>18550</v>
      </c>
      <c r="I3" s="38">
        <v>0</v>
      </c>
      <c r="J3" s="39">
        <v>0.1</v>
      </c>
      <c r="K3" s="16"/>
      <c r="L3" s="16"/>
    </row>
    <row r="4" spans="2:12" ht="30">
      <c r="B4" s="30" t="s">
        <v>65</v>
      </c>
      <c r="C4" s="87">
        <v>4050</v>
      </c>
      <c r="E4" s="34" t="s">
        <v>97</v>
      </c>
      <c r="F4" s="34" t="s">
        <v>98</v>
      </c>
      <c r="G4" s="38">
        <v>1855</v>
      </c>
      <c r="H4" s="38">
        <v>75300</v>
      </c>
      <c r="I4" s="38">
        <v>18551</v>
      </c>
      <c r="J4" s="39">
        <v>0.15</v>
      </c>
      <c r="K4" s="16"/>
      <c r="L4" s="16"/>
    </row>
    <row r="5" spans="2:12" ht="30">
      <c r="B5" s="47" t="s">
        <v>133</v>
      </c>
      <c r="C5" s="87">
        <v>1050</v>
      </c>
      <c r="E5" s="34" t="s">
        <v>99</v>
      </c>
      <c r="F5" s="34" t="s">
        <v>100</v>
      </c>
      <c r="G5" s="38">
        <v>10367.5</v>
      </c>
      <c r="H5" s="38">
        <v>151900</v>
      </c>
      <c r="I5" s="38">
        <v>75301</v>
      </c>
      <c r="J5" s="39">
        <v>0.25</v>
      </c>
      <c r="K5" s="16"/>
      <c r="L5" s="16"/>
    </row>
    <row r="6" spans="2:12" ht="30">
      <c r="B6" s="30" t="s">
        <v>132</v>
      </c>
      <c r="C6" s="87">
        <f>C3*2</f>
        <v>12600</v>
      </c>
      <c r="E6" s="34" t="s">
        <v>101</v>
      </c>
      <c r="F6" s="34" t="s">
        <v>102</v>
      </c>
      <c r="G6" s="38">
        <v>29517.5</v>
      </c>
      <c r="H6" s="38">
        <v>231450</v>
      </c>
      <c r="I6" s="38">
        <v>151901</v>
      </c>
      <c r="J6" s="39">
        <v>0.28000000000000003</v>
      </c>
      <c r="K6" s="16"/>
      <c r="L6" s="16"/>
    </row>
    <row r="7" spans="2:12">
      <c r="B7" s="48"/>
      <c r="C7" s="48"/>
      <c r="E7" s="34" t="s">
        <v>103</v>
      </c>
      <c r="F7" s="34" t="s">
        <v>104</v>
      </c>
      <c r="G7" s="38">
        <v>51791.5</v>
      </c>
      <c r="H7" s="38">
        <v>413350</v>
      </c>
      <c r="I7" s="38">
        <v>231451</v>
      </c>
      <c r="J7" s="39">
        <v>0.33</v>
      </c>
      <c r="K7" s="16"/>
      <c r="L7" s="16"/>
    </row>
    <row r="8" spans="2:12">
      <c r="E8" s="34" t="s">
        <v>105</v>
      </c>
      <c r="F8" s="34" t="s">
        <v>106</v>
      </c>
      <c r="G8" s="38">
        <v>111818.5</v>
      </c>
      <c r="H8" s="38">
        <v>466950</v>
      </c>
      <c r="I8" s="38">
        <v>413351</v>
      </c>
      <c r="J8" s="39">
        <v>0.35</v>
      </c>
      <c r="K8" s="16"/>
      <c r="L8" s="16"/>
    </row>
    <row r="9" spans="2:12">
      <c r="B9" s="36"/>
      <c r="C9" s="36"/>
      <c r="E9" s="34" t="s">
        <v>107</v>
      </c>
      <c r="F9" s="34" t="s">
        <v>108</v>
      </c>
      <c r="G9" s="38">
        <v>130578.5</v>
      </c>
      <c r="H9" s="38">
        <v>1000000</v>
      </c>
      <c r="I9" s="38">
        <v>466951</v>
      </c>
      <c r="J9" s="40">
        <v>0.39600000000000002</v>
      </c>
      <c r="K9" s="16"/>
      <c r="L9" s="16"/>
    </row>
    <row r="10" spans="2:12">
      <c r="B10" s="36"/>
      <c r="C10" s="36"/>
      <c r="E10" s="35"/>
      <c r="F10" s="35"/>
      <c r="G10" s="35"/>
      <c r="H10" s="35"/>
      <c r="I10" s="35"/>
      <c r="J10" s="16"/>
      <c r="K10" s="16"/>
      <c r="L10" s="16"/>
    </row>
    <row r="11" spans="2:12" s="8" customFormat="1" ht="30">
      <c r="B11" s="106" t="s">
        <v>89</v>
      </c>
      <c r="C11" s="106"/>
      <c r="D11" s="36"/>
      <c r="E11" s="30" t="str">
        <f>E2</f>
        <v>Income</v>
      </c>
      <c r="F11" s="30" t="str">
        <f t="shared" ref="F11:J11" si="0">F2</f>
        <v>Tax Rate</v>
      </c>
      <c r="G11" s="30" t="str">
        <f>G2</f>
        <v>Taxes paid before bracket</v>
      </c>
      <c r="H11" s="30" t="str">
        <f t="shared" si="0"/>
        <v>Top of Bracket</v>
      </c>
      <c r="I11" s="30" t="str">
        <f t="shared" si="0"/>
        <v>Bottom of Bracket</v>
      </c>
      <c r="J11" s="30" t="str">
        <f t="shared" si="0"/>
        <v>Tax Rate</v>
      </c>
    </row>
    <row r="12" spans="2:12" ht="30">
      <c r="B12" s="30" t="s">
        <v>63</v>
      </c>
      <c r="C12" s="87">
        <v>4044</v>
      </c>
      <c r="D12" s="36"/>
      <c r="E12" s="30" t="s">
        <v>70</v>
      </c>
      <c r="F12" s="30" t="s">
        <v>79</v>
      </c>
      <c r="G12" s="38">
        <v>0</v>
      </c>
      <c r="H12" s="38">
        <v>15700</v>
      </c>
      <c r="I12" s="38">
        <v>0</v>
      </c>
      <c r="J12" s="39">
        <v>0.01</v>
      </c>
      <c r="K12" s="16"/>
      <c r="L12" s="16"/>
    </row>
    <row r="13" spans="2:12" ht="30">
      <c r="B13" s="30" t="s">
        <v>65</v>
      </c>
      <c r="C13" s="87">
        <v>109</v>
      </c>
      <c r="D13" s="36"/>
      <c r="E13" s="30" t="s">
        <v>71</v>
      </c>
      <c r="F13" s="30" t="s">
        <v>80</v>
      </c>
      <c r="G13" s="38">
        <v>157</v>
      </c>
      <c r="H13" s="38">
        <f>I14</f>
        <v>37220</v>
      </c>
      <c r="I13" s="38">
        <v>15700</v>
      </c>
      <c r="J13" s="39">
        <v>0.02</v>
      </c>
      <c r="K13" s="16"/>
      <c r="L13" s="16"/>
    </row>
    <row r="14" spans="2:12" ht="30">
      <c r="B14" s="30"/>
      <c r="C14" s="30"/>
      <c r="D14" s="36"/>
      <c r="E14" s="30" t="s">
        <v>72</v>
      </c>
      <c r="F14" s="30" t="s">
        <v>81</v>
      </c>
      <c r="G14" s="38">
        <v>587.4</v>
      </c>
      <c r="H14" s="38">
        <f t="shared" ref="H14:H20" si="1">I15</f>
        <v>58744</v>
      </c>
      <c r="I14" s="38">
        <v>37220</v>
      </c>
      <c r="J14" s="39">
        <v>0.04</v>
      </c>
    </row>
    <row r="15" spans="2:12" ht="30">
      <c r="B15" s="30" t="s">
        <v>21</v>
      </c>
      <c r="C15" s="87">
        <f>C12*2</f>
        <v>8088</v>
      </c>
      <c r="D15" s="36"/>
      <c r="E15" s="30" t="s">
        <v>73</v>
      </c>
      <c r="F15" s="30" t="s">
        <v>82</v>
      </c>
      <c r="G15" s="38">
        <v>1448.36</v>
      </c>
      <c r="H15" s="38">
        <f t="shared" si="1"/>
        <v>81546</v>
      </c>
      <c r="I15" s="38">
        <v>58744</v>
      </c>
      <c r="J15" s="39">
        <v>0.06</v>
      </c>
    </row>
    <row r="16" spans="2:12" ht="30">
      <c r="B16" s="30"/>
      <c r="C16" s="30"/>
      <c r="D16" s="36"/>
      <c r="E16" s="30" t="s">
        <v>74</v>
      </c>
      <c r="F16" s="30" t="s">
        <v>83</v>
      </c>
      <c r="G16" s="38">
        <v>2816.48</v>
      </c>
      <c r="H16" s="38">
        <f t="shared" si="1"/>
        <v>103060</v>
      </c>
      <c r="I16" s="38">
        <v>81546</v>
      </c>
      <c r="J16" s="39">
        <v>0.08</v>
      </c>
    </row>
    <row r="17" spans="1:10" ht="30">
      <c r="D17" s="36"/>
      <c r="E17" s="30" t="s">
        <v>75</v>
      </c>
      <c r="F17" s="30" t="s">
        <v>84</v>
      </c>
      <c r="G17" s="38">
        <v>4537.6000000000004</v>
      </c>
      <c r="H17" s="38">
        <f t="shared" si="1"/>
        <v>526444</v>
      </c>
      <c r="I17" s="38">
        <v>103060</v>
      </c>
      <c r="J17" s="40">
        <v>9.2999999999999999E-2</v>
      </c>
    </row>
    <row r="18" spans="1:10" ht="30">
      <c r="B18" s="36"/>
      <c r="C18" s="36"/>
      <c r="D18" s="36"/>
      <c r="E18" s="30" t="s">
        <v>76</v>
      </c>
      <c r="F18" s="30" t="s">
        <v>85</v>
      </c>
      <c r="G18" s="38">
        <v>43912.31</v>
      </c>
      <c r="H18" s="38">
        <f t="shared" si="1"/>
        <v>631732</v>
      </c>
      <c r="I18" s="38">
        <v>526444</v>
      </c>
      <c r="J18" s="40">
        <v>0.10299999999999999</v>
      </c>
    </row>
    <row r="19" spans="1:10" ht="30">
      <c r="B19" s="36"/>
      <c r="C19" s="36"/>
      <c r="D19" s="36"/>
      <c r="E19" s="30" t="s">
        <v>77</v>
      </c>
      <c r="F19" s="30" t="s">
        <v>86</v>
      </c>
      <c r="G19" s="38">
        <v>54756.98</v>
      </c>
      <c r="H19" s="38">
        <f t="shared" si="1"/>
        <v>1000000</v>
      </c>
      <c r="I19" s="38">
        <v>631732</v>
      </c>
      <c r="J19" s="40">
        <v>0.113</v>
      </c>
    </row>
    <row r="20" spans="1:10" ht="15" customHeight="1">
      <c r="B20" s="36"/>
      <c r="C20" s="36"/>
      <c r="D20" s="36"/>
      <c r="E20" s="30" t="s">
        <v>78</v>
      </c>
      <c r="F20" s="30" t="s">
        <v>87</v>
      </c>
      <c r="G20" s="38">
        <v>96371.26</v>
      </c>
      <c r="H20" s="38">
        <f t="shared" si="1"/>
        <v>1052886</v>
      </c>
      <c r="I20" s="38">
        <v>1000000</v>
      </c>
      <c r="J20" s="40">
        <v>0.123</v>
      </c>
    </row>
    <row r="21" spans="1:10" ht="30">
      <c r="D21" s="36"/>
      <c r="E21" s="30"/>
      <c r="F21" s="30" t="s">
        <v>88</v>
      </c>
      <c r="G21" s="38">
        <v>102876.24</v>
      </c>
      <c r="H21" s="38">
        <v>10000000</v>
      </c>
      <c r="I21" s="38">
        <v>1052886</v>
      </c>
      <c r="J21" s="40">
        <v>0.13300000000000001</v>
      </c>
    </row>
    <row r="22" spans="1:10">
      <c r="D22" s="36"/>
      <c r="E22" s="36"/>
      <c r="F22" s="36"/>
      <c r="G22" s="36"/>
    </row>
    <row r="23" spans="1:10">
      <c r="D23" s="36"/>
      <c r="E23" s="36"/>
      <c r="F23" s="36"/>
      <c r="G23" s="36"/>
    </row>
    <row r="24" spans="1:10" ht="30">
      <c r="A24" s="27" t="s">
        <v>20</v>
      </c>
      <c r="B24" s="30" t="s">
        <v>93</v>
      </c>
      <c r="C24" s="30" t="s">
        <v>92</v>
      </c>
      <c r="D24" s="30" t="s">
        <v>94</v>
      </c>
      <c r="E24" s="27" t="s">
        <v>95</v>
      </c>
      <c r="F24" s="36"/>
      <c r="G24" s="36"/>
    </row>
    <row r="25" spans="1:10">
      <c r="A25" s="27">
        <f>'Data Input'!C2</f>
        <v>2016</v>
      </c>
      <c r="B25" s="28">
        <f>'Main Info'!G2</f>
        <v>62300</v>
      </c>
      <c r="C25" s="42">
        <f>IF(AND(B25&gt;$I$3,B25&lt;$H$3),$G$3+(B25-$I$3)*$J$3,0)+IF(AND(B25&gt;$I$4,B25&lt;$H$4),$G$4+(B25-$I$4)*$J$4,0)+IF(AND(B25&gt;$I$5,B25&lt;$H$5),$G$5+(B25-$I$5)*$J$5,0)+IF(AND(B25&gt;$I$6,B25&lt;$H$6),$G$6+(B25-$I$6)*$J$6,0)+IF(AND(B25&gt;$I$7,B25&lt;$H$7),$G$7+(B25-$I$7)*$J$7,0)+IF(AND(B25&gt;$I$8,B25&lt;$H$8),$G$8+(B25-$I$8)*$J$8,0)+IF(AND(B25&gt;$I$9,B25&lt;$H$9),$G$9+(B25-$I$9)*$J$9,0)</f>
        <v>8417.3499999999985</v>
      </c>
      <c r="D25" s="28">
        <f>'Main Info'!F2</f>
        <v>74694</v>
      </c>
      <c r="E25" s="28">
        <f>IF(AND(D25&gt;$I$12,D25&lt;$H$12),$G$12+(D25-$I$12)*$J$12,0)+IF(AND(D25&gt;$I$13,D25&lt;$H$13),$G$13+(D25-$I$13)*$J$13,0)+IF(AND(D25&gt;$I$14,D25&lt;$H$14),$G$14+(D25-$I$14)*$J$14,0)+IF(AND(D25&gt;$I$15,D25&lt;$H$15),$G$15+(D25-$I$15)*$J$15,0)+IF(AND(D25&gt;$I$16,D25&lt;$H$16),$G$16+(D25-$I$16)*$J$16,0)+IF(AND(D25&gt;$I$17,D25&lt;$H$17),$G$17+(D25-$I$17)*$J$17,0)+IF(AND(D25&gt;$I$18,D25&lt;$H$18),$G$18+(D25-$I$18)*$J$18,0)+IF(AND(D25&gt;$I$19,D25&lt;$H$19),$G$19+(D25-$I$19)*$J$19,0)+IF(AND(D25&gt;$I$20,D25&lt;$H$20),$G$20+(D25-$I$20)*$J$20,0)+IF(AND(D25&gt;$I$21,D25&lt;$H$21),$G$21+(D25-$I$21)*$J$21,0)</f>
        <v>2405.3599999999997</v>
      </c>
    </row>
    <row r="26" spans="1:10">
      <c r="A26" s="27">
        <f>A25+1</f>
        <v>2017</v>
      </c>
      <c r="B26" s="28">
        <f>'Main Info'!G3</f>
        <v>65500</v>
      </c>
      <c r="C26" s="42">
        <f t="shared" ref="C26:C54" si="2">IF(AND(B26&gt;$I$3,B26&lt;$H$3),$G$3+(B26-$I$3)*$J$3,0)+IF(AND(B26&gt;$I$4,B26&lt;$H$4),$G$4+(B26-$I$4)*$J$4,0)+IF(AND(B26&gt;$I$5,B26&lt;$H$5),$G$5+(B26-$I$5)*$J$5,0)+IF(AND(B26&gt;$I$6,B26&lt;$H$6),$G$6+(B26-$I$6)*$J$6,0)+IF(AND(B26&gt;$I$7,B26&lt;$H$7),$G$7+(B26-$I$7)*$J$7,0)+IF(AND(B26&gt;$I$8,B26&lt;$H$8),$G$8+(B26-$I$8)*$J$8,0)+IF(AND(B26&gt;$I$9,B26&lt;$H$9),$G$9+(B26-$I$9)*$J$9,0)</f>
        <v>8897.3499999999985</v>
      </c>
      <c r="D26" s="28">
        <f>'Main Info'!F3</f>
        <v>77894</v>
      </c>
      <c r="E26" s="28">
        <f t="shared" ref="E26:E54" si="3">IF(AND(D26&gt;$I$12,D26&lt;$H$12),$G$12+(D26-$I$12)*$J$12,0)+IF(AND(D26&gt;$I$13,D26&lt;$H$13),$G$13+(D26-$I$13)*$J$13,0)+IF(AND(D26&gt;$I$14,D26&lt;$H$14),$G$14+(D26-$I$14)*$J$14,0)+IF(AND(D26&gt;$I$14,D26&lt;$H$14),$G$14+(D26-$I$14)*$J$14,0)+IF(AND(D26&gt;$I$15,D26&lt;$H$15),$G$15+(D26-$I$15)*$J$15,0)+IF(AND(D26&gt;$I$16,D26&lt;$H$16),$G$16+(D26-$I$16)*$J$16,0)+IF(AND(D26&gt;$I$17,D26&lt;$H$17),$G$17+(D26-$I$17)*$J$17,0)+IF(AND(D26&gt;$I$18,D26&lt;$H$18),$G$18+(D26-$I$18)*$J$18,0)+IF(AND(D26&gt;$I$19,D26&lt;$H$19),$G$19+(D26-$I$19)*$J$19,0)+IF(AND(D26&gt;$I$20,D26&lt;$H$20),$G$20+(D26-$I$20)*$J$20,0)+IF(AND(D26&gt;$I$21,D26&lt;$H$21),$G$21+(D26-$I$21)*$J$21,0)</f>
        <v>2597.3599999999997</v>
      </c>
    </row>
    <row r="27" spans="1:10">
      <c r="A27" s="27">
        <f t="shared" ref="A27:A65" si="4">A26+1</f>
        <v>2018</v>
      </c>
      <c r="B27" s="28">
        <f>'Main Info'!G4</f>
        <v>56901.662188241986</v>
      </c>
      <c r="C27" s="42">
        <f t="shared" si="2"/>
        <v>7607.5993282362979</v>
      </c>
      <c r="D27" s="28">
        <f>'Main Info'!F4</f>
        <v>66709.981051321258</v>
      </c>
      <c r="E27" s="28">
        <f t="shared" si="3"/>
        <v>1926.3188630792754</v>
      </c>
    </row>
    <row r="28" spans="1:10">
      <c r="A28" s="27">
        <f t="shared" si="4"/>
        <v>2019</v>
      </c>
      <c r="B28" s="28">
        <f>'Main Info'!G5</f>
        <v>60442.952372331332</v>
      </c>
      <c r="C28" s="42">
        <f t="shared" si="2"/>
        <v>8138.7928558496997</v>
      </c>
      <c r="D28" s="28">
        <f>'Main Info'!F5</f>
        <v>70477.311034395039</v>
      </c>
      <c r="E28" s="28">
        <f t="shared" si="3"/>
        <v>2152.3586620637025</v>
      </c>
    </row>
    <row r="29" spans="1:10">
      <c r="A29" s="27">
        <f t="shared" si="4"/>
        <v>2020</v>
      </c>
      <c r="B29" s="28">
        <f>'Main Info'!G6</f>
        <v>64126.107607558493</v>
      </c>
      <c r="C29" s="42">
        <f t="shared" si="2"/>
        <v>8691.266141133774</v>
      </c>
      <c r="D29" s="28">
        <f>'Main Info'!F6</f>
        <v>74395.5612846367</v>
      </c>
      <c r="E29" s="28">
        <f t="shared" si="3"/>
        <v>2387.453677078202</v>
      </c>
    </row>
    <row r="30" spans="1:10">
      <c r="A30" s="27">
        <f t="shared" si="4"/>
        <v>2021</v>
      </c>
      <c r="B30" s="28">
        <f>'Main Info'!G7</f>
        <v>67956.811191997651</v>
      </c>
      <c r="C30" s="42">
        <f t="shared" si="2"/>
        <v>9265.8716787996473</v>
      </c>
      <c r="D30" s="28">
        <f>'Main Info'!F7</f>
        <v>78470.777863827287</v>
      </c>
      <c r="E30" s="28">
        <f t="shared" si="3"/>
        <v>2631.9666718296371</v>
      </c>
    </row>
    <row r="31" spans="1:10">
      <c r="A31" s="27">
        <f t="shared" si="4"/>
        <v>2022</v>
      </c>
      <c r="B31" s="28">
        <f>'Main Info'!G8</f>
        <v>71917.709128873132</v>
      </c>
      <c r="C31" s="42">
        <f t="shared" si="2"/>
        <v>9860.0063693309694</v>
      </c>
      <c r="D31" s="28">
        <f>'Main Info'!F8</f>
        <v>82709.249053122971</v>
      </c>
      <c r="E31" s="28">
        <f t="shared" si="3"/>
        <v>2909.5399242498374</v>
      </c>
    </row>
    <row r="32" spans="1:10">
      <c r="A32" s="27">
        <f t="shared" si="4"/>
        <v>2023</v>
      </c>
      <c r="B32" s="28">
        <f>'Main Info'!G9</f>
        <v>75973.313852610809</v>
      </c>
      <c r="C32" s="42">
        <f t="shared" si="2"/>
        <v>10535.578463152702</v>
      </c>
      <c r="D32" s="28">
        <f>'Main Info'!F9</f>
        <v>87117.515057185665</v>
      </c>
      <c r="E32" s="28">
        <f t="shared" si="3"/>
        <v>3262.2012045748534</v>
      </c>
    </row>
    <row r="33" spans="1:5">
      <c r="A33" s="27">
        <f t="shared" si="4"/>
        <v>2024</v>
      </c>
      <c r="B33" s="28">
        <f>'Main Info'!G10</f>
        <v>80191.38784933617</v>
      </c>
      <c r="C33" s="42">
        <f t="shared" si="2"/>
        <v>11590.096962334042</v>
      </c>
      <c r="D33" s="28">
        <f>'Main Info'!F10</f>
        <v>91702.378097104534</v>
      </c>
      <c r="E33" s="28">
        <f t="shared" si="3"/>
        <v>3628.9902477683627</v>
      </c>
    </row>
    <row r="34" spans="1:5">
      <c r="A34" s="27">
        <f t="shared" si="4"/>
        <v>2025</v>
      </c>
      <c r="B34" s="28">
        <f>'Main Info'!G11</f>
        <v>84578.439875070559</v>
      </c>
      <c r="C34" s="42">
        <f t="shared" si="2"/>
        <v>12686.85996876764</v>
      </c>
      <c r="D34" s="28">
        <f>'Main Info'!F11</f>
        <v>96470.912907685386</v>
      </c>
      <c r="E34" s="28">
        <f t="shared" si="3"/>
        <v>4010.473032614831</v>
      </c>
    </row>
    <row r="35" spans="1:5">
      <c r="A35" s="27">
        <f t="shared" si="4"/>
        <v>2026</v>
      </c>
      <c r="B35" s="28">
        <f>'Main Info'!G12</f>
        <v>89141.239442884631</v>
      </c>
      <c r="C35" s="42">
        <f t="shared" si="2"/>
        <v>13827.559860721158</v>
      </c>
      <c r="D35" s="28">
        <f>'Main Info'!F12</f>
        <v>101430.47765530938</v>
      </c>
      <c r="E35" s="28">
        <f t="shared" si="3"/>
        <v>4407.2382124247506</v>
      </c>
    </row>
    <row r="36" spans="1:5">
      <c r="A36" s="27">
        <f t="shared" si="4"/>
        <v>2027</v>
      </c>
      <c r="B36" s="28">
        <f>'Main Info'!G13</f>
        <v>93840.953840942631</v>
      </c>
      <c r="C36" s="42">
        <f t="shared" si="2"/>
        <v>15002.488460235658</v>
      </c>
      <c r="D36" s="28">
        <f>'Main Info'!F13</f>
        <v>106588.72529321128</v>
      </c>
      <c r="E36" s="28">
        <f t="shared" si="3"/>
        <v>4865.7714522686492</v>
      </c>
    </row>
    <row r="37" spans="1:5">
      <c r="A37" s="27">
        <f t="shared" si="4"/>
        <v>2028</v>
      </c>
      <c r="B37" s="28">
        <f>'Main Info'!G14</f>
        <v>98706.90914213442</v>
      </c>
      <c r="C37" s="42">
        <f t="shared" si="2"/>
        <v>16218.977285533605</v>
      </c>
      <c r="D37" s="28">
        <f>'Main Info'!F14</f>
        <v>111953.61537170278</v>
      </c>
      <c r="E37" s="28">
        <f t="shared" si="3"/>
        <v>5364.706229568359</v>
      </c>
    </row>
    <row r="38" spans="1:5">
      <c r="A38" s="27">
        <f t="shared" si="4"/>
        <v>2029</v>
      </c>
      <c r="B38" s="28">
        <f>'Main Info'!G15</f>
        <v>103767.79767366262</v>
      </c>
      <c r="C38" s="42">
        <f t="shared" si="2"/>
        <v>17484.199418415654</v>
      </c>
      <c r="D38" s="28">
        <f>'Main Info'!F15</f>
        <v>117533.42632156849</v>
      </c>
      <c r="E38" s="28">
        <f t="shared" si="3"/>
        <v>5883.6286479058699</v>
      </c>
    </row>
    <row r="39" spans="1:5">
      <c r="A39" s="27">
        <f t="shared" si="4"/>
        <v>2030</v>
      </c>
      <c r="B39" s="28">
        <f>'Main Info'!G16</f>
        <v>109031.428784241</v>
      </c>
      <c r="C39" s="42">
        <f t="shared" si="2"/>
        <v>18800.107196060249</v>
      </c>
      <c r="D39" s="28">
        <f>'Main Info'!F16</f>
        <v>123336.76822959316</v>
      </c>
      <c r="E39" s="28">
        <f t="shared" si="3"/>
        <v>6423.3394453521641</v>
      </c>
    </row>
    <row r="40" spans="1:5">
      <c r="A40" s="27">
        <f t="shared" si="4"/>
        <v>2031</v>
      </c>
      <c r="B40" s="28">
        <f>'Main Info'!G17</f>
        <v>114505.92468622481</v>
      </c>
      <c r="C40" s="42">
        <f t="shared" si="2"/>
        <v>20168.731171556203</v>
      </c>
      <c r="D40" s="28">
        <f>'Main Info'!F17</f>
        <v>129372.59612593695</v>
      </c>
      <c r="E40" s="28">
        <f t="shared" si="3"/>
        <v>6984.6714397121368</v>
      </c>
    </row>
    <row r="41" spans="1:5">
      <c r="A41" s="27">
        <f t="shared" si="4"/>
        <v>2032</v>
      </c>
      <c r="B41" s="28">
        <f>'Main Info'!G18</f>
        <v>120199.73299010741</v>
      </c>
      <c r="C41" s="42">
        <f t="shared" si="2"/>
        <v>21592.183247526853</v>
      </c>
      <c r="D41" s="28">
        <f>'Main Info'!F18</f>
        <v>135650.22380386706</v>
      </c>
      <c r="E41" s="28">
        <f t="shared" si="3"/>
        <v>7568.4908137596376</v>
      </c>
    </row>
    <row r="42" spans="1:5">
      <c r="A42" s="27">
        <f t="shared" si="4"/>
        <v>2033</v>
      </c>
      <c r="B42" s="28">
        <f>'Main Info'!G19</f>
        <v>126121.63974120929</v>
      </c>
      <c r="C42" s="42">
        <f t="shared" si="2"/>
        <v>23072.659935302323</v>
      </c>
      <c r="D42" s="28">
        <f>'Main Info'!F19</f>
        <v>142179.33819317451</v>
      </c>
      <c r="E42" s="28">
        <f t="shared" si="3"/>
        <v>8175.6984519652297</v>
      </c>
    </row>
    <row r="43" spans="1:5">
      <c r="A43" s="27">
        <f t="shared" si="4"/>
        <v>2034</v>
      </c>
      <c r="B43" s="28">
        <f>'Main Info'!G20</f>
        <v>132280.782978681</v>
      </c>
      <c r="C43" s="42">
        <f t="shared" si="2"/>
        <v>24612.445744670251</v>
      </c>
      <c r="D43" s="28">
        <f>'Main Info'!F20</f>
        <v>148970.01430946085</v>
      </c>
      <c r="E43" s="28">
        <f t="shared" si="3"/>
        <v>8807.2313307798595</v>
      </c>
    </row>
    <row r="44" spans="1:5">
      <c r="A44" s="27">
        <f t="shared" si="4"/>
        <v>2035</v>
      </c>
      <c r="B44" s="28">
        <f>'Main Info'!G21</f>
        <v>138686.66683774622</v>
      </c>
      <c r="C44" s="42">
        <f t="shared" si="2"/>
        <v>26213.916709436555</v>
      </c>
      <c r="D44" s="28">
        <f>'Main Info'!F21</f>
        <v>156032.73080236628</v>
      </c>
      <c r="E44" s="28">
        <f t="shared" si="3"/>
        <v>9464.0639646200652</v>
      </c>
    </row>
    <row r="45" spans="1:5">
      <c r="A45" s="27">
        <f t="shared" si="4"/>
        <v>2036</v>
      </c>
      <c r="B45" s="28">
        <f>'Main Info'!G22</f>
        <v>145349.17621695105</v>
      </c>
      <c r="C45" s="42">
        <f t="shared" si="2"/>
        <v>27879.544054237762</v>
      </c>
      <c r="D45" s="28">
        <f>'Main Info'!F22</f>
        <v>163378.38612673763</v>
      </c>
      <c r="E45" s="28">
        <f t="shared" si="3"/>
        <v>10147.209909786601</v>
      </c>
    </row>
    <row r="46" spans="1:5">
      <c r="A46" s="27">
        <f t="shared" si="4"/>
        <v>2037</v>
      </c>
      <c r="B46" s="28">
        <f>'Main Info'!G23</f>
        <v>152278.59203305683</v>
      </c>
      <c r="C46" s="42">
        <f t="shared" si="2"/>
        <v>29623.225769255914</v>
      </c>
      <c r="D46" s="28">
        <f>'Main Info'!F23</f>
        <v>171018.31536169443</v>
      </c>
      <c r="E46" s="28">
        <f t="shared" si="3"/>
        <v>10857.723328637581</v>
      </c>
    </row>
    <row r="47" spans="1:5">
      <c r="A47" s="27">
        <f t="shared" si="4"/>
        <v>2038</v>
      </c>
      <c r="B47" s="28">
        <f>'Main Info'!G24</f>
        <v>159485.60708712108</v>
      </c>
      <c r="C47" s="42">
        <f t="shared" si="2"/>
        <v>31641.189984393903</v>
      </c>
      <c r="D47" s="28">
        <f>'Main Info'!F24</f>
        <v>178964.30770355134</v>
      </c>
      <c r="E47" s="28">
        <f t="shared" si="3"/>
        <v>11596.700616430275</v>
      </c>
    </row>
    <row r="48" spans="1:5">
      <c r="A48" s="27">
        <f t="shared" si="4"/>
        <v>2039</v>
      </c>
      <c r="B48" s="28">
        <f>'Main Info'!G25</f>
        <v>166981.34256625469</v>
      </c>
      <c r="C48" s="42">
        <f t="shared" si="2"/>
        <v>33739.995918551314</v>
      </c>
      <c r="D48" s="28">
        <f>'Main Info'!F25</f>
        <v>187228.62465959723</v>
      </c>
      <c r="E48" s="28">
        <f t="shared" si="3"/>
        <v>12365.282093342543</v>
      </c>
    </row>
    <row r="49" spans="1:5">
      <c r="A49" s="27">
        <f t="shared" si="4"/>
        <v>2040</v>
      </c>
      <c r="B49" s="28">
        <f>'Main Info'!G26</f>
        <v>174777.36520652432</v>
      </c>
      <c r="C49" s="42">
        <f t="shared" si="2"/>
        <v>35922.882257826808</v>
      </c>
      <c r="D49" s="28">
        <f>'Main Info'!F26</f>
        <v>195824.01897080961</v>
      </c>
      <c r="E49" s="28">
        <f t="shared" si="3"/>
        <v>13164.653764285295</v>
      </c>
    </row>
    <row r="50" spans="1:5">
      <c r="A50" s="27">
        <f t="shared" si="4"/>
        <v>2041</v>
      </c>
      <c r="B50" s="28">
        <f>'Main Info'!G27</f>
        <v>182885.70514348958</v>
      </c>
      <c r="C50" s="42">
        <f t="shared" si="2"/>
        <v>38193.217440177083</v>
      </c>
      <c r="D50" s="28">
        <f>'Main Info'!F27</f>
        <v>204763.75429271176</v>
      </c>
      <c r="E50" s="28">
        <f t="shared" si="3"/>
        <v>13996.049149222194</v>
      </c>
    </row>
    <row r="51" spans="1:5">
      <c r="A51" s="27">
        <f t="shared" si="4"/>
        <v>2042</v>
      </c>
      <c r="B51" s="28">
        <f>'Main Info'!G28</f>
        <v>191318.874477926</v>
      </c>
      <c r="C51" s="42">
        <f t="shared" si="2"/>
        <v>40554.504853819279</v>
      </c>
      <c r="D51" s="28">
        <f>'Main Info'!F28</f>
        <v>214061.62566474749</v>
      </c>
      <c r="E51" s="28">
        <f t="shared" si="3"/>
        <v>14860.751186821517</v>
      </c>
    </row>
    <row r="52" spans="1:5">
      <c r="A52" s="27">
        <f t="shared" si="4"/>
        <v>2043</v>
      </c>
      <c r="B52" s="28">
        <f>'Main Info'!G29</f>
        <v>200089.88658538918</v>
      </c>
      <c r="C52" s="42">
        <f t="shared" si="2"/>
        <v>43010.388243908972</v>
      </c>
      <c r="D52" s="28">
        <f>'Main Info'!F29</f>
        <v>223731.98079976754</v>
      </c>
      <c r="E52" s="28">
        <f t="shared" si="3"/>
        <v>15760.094214378381</v>
      </c>
    </row>
    <row r="53" spans="1:5">
      <c r="A53" s="27">
        <f t="shared" si="4"/>
        <v>2044</v>
      </c>
      <c r="B53" s="28">
        <f>'Main Info'!G30</f>
        <v>209212.27619942211</v>
      </c>
      <c r="C53" s="42">
        <f t="shared" si="2"/>
        <v>45564.657335838194</v>
      </c>
      <c r="D53" s="28">
        <f>'Main Info'!F30</f>
        <v>233789.74222648522</v>
      </c>
      <c r="E53" s="28">
        <f t="shared" si="3"/>
        <v>16695.466027063128</v>
      </c>
    </row>
    <row r="54" spans="1:5">
      <c r="A54" s="27">
        <f t="shared" si="4"/>
        <v>2045</v>
      </c>
      <c r="B54" s="28">
        <f>'Main Info'!G31</f>
        <v>218853.62864163527</v>
      </c>
      <c r="C54" s="42">
        <f t="shared" si="2"/>
        <v>48264.236019657881</v>
      </c>
      <c r="D54" s="28">
        <f>'Main Info'!F31</f>
        <v>244186.11615596482</v>
      </c>
      <c r="E54" s="28">
        <f t="shared" si="3"/>
        <v>17662.32880250473</v>
      </c>
    </row>
    <row r="55" spans="1:5">
      <c r="A55" s="92">
        <f t="shared" si="4"/>
        <v>2046</v>
      </c>
      <c r="B55" s="28">
        <f>'Main Info'!G32</f>
        <v>227979.33520067536</v>
      </c>
      <c r="C55" s="42">
        <f t="shared" ref="C55:C65" si="5">IF(AND(B55&gt;$I$3,B55&lt;$H$3),$G$3+(B55-$I$3)*$J$3,0)+IF(AND(B55&gt;$I$4,B55&lt;$H$4),$G$4+(B55-$I$4)*$J$4,0)+IF(AND(B55&gt;$I$5,B55&lt;$H$5),$G$5+(B55-$I$5)*$J$5,0)+IF(AND(B55&gt;$I$6,B55&lt;$H$6),$G$6+(B55-$I$6)*$J$6,0)+IF(AND(B55&gt;$I$7,B55&lt;$H$7),$G$7+(B55-$I$7)*$J$7,0)+IF(AND(B55&gt;$I$8,B55&lt;$H$8),$G$8+(B55-$I$8)*$J$8,0)+IF(AND(B55&gt;$I$9,B55&lt;$H$9),$G$9+(B55-$I$9)*$J$9,0)</f>
        <v>50819.433856189105</v>
      </c>
      <c r="D55" s="28">
        <f>'Main Info'!F32</f>
        <v>254165.80080220336</v>
      </c>
      <c r="E55" s="28">
        <f t="shared" ref="E55:E65" si="6">IF(AND(D55&gt;$I$12,D55&lt;$H$12),$G$12+(D55-$I$12)*$J$12,0)+IF(AND(D55&gt;$I$13,D55&lt;$H$13),$G$13+(D55-$I$13)*$J$13,0)+IF(AND(D55&gt;$I$14,D55&lt;$H$14),$G$14+(D55-$I$14)*$J$14,0)+IF(AND(D55&gt;$I$14,D55&lt;$H$14),$G$14+(D55-$I$14)*$J$14,0)+IF(AND(D55&gt;$I$15,D55&lt;$H$15),$G$15+(D55-$I$15)*$J$15,0)+IF(AND(D55&gt;$I$16,D55&lt;$H$16),$G$16+(D55-$I$16)*$J$16,0)+IF(AND(D55&gt;$I$17,D55&lt;$H$17),$G$17+(D55-$I$17)*$J$17,0)+IF(AND(D55&gt;$I$18,D55&lt;$H$18),$G$18+(D55-$I$18)*$J$18,0)+IF(AND(D55&gt;$I$19,D55&lt;$H$19),$G$19+(D55-$I$19)*$J$19,0)+IF(AND(D55&gt;$I$20,D55&lt;$H$20),$G$20+(D55-$I$20)*$J$20,0)+IF(AND(D55&gt;$I$21,D55&lt;$H$21),$G$21+(D55-$I$21)*$J$21,0)</f>
        <v>18590.439474604915</v>
      </c>
    </row>
    <row r="56" spans="1:5">
      <c r="A56" s="92">
        <f t="shared" si="4"/>
        <v>2047</v>
      </c>
      <c r="B56" s="28">
        <f>'Main Info'!G33</f>
        <v>237467.35182729736</v>
      </c>
      <c r="C56" s="42">
        <f t="shared" si="5"/>
        <v>53776.896103008126</v>
      </c>
      <c r="D56" s="28">
        <f>'Main Info'!F33</f>
        <v>264544.67283429153</v>
      </c>
      <c r="E56" s="28">
        <f t="shared" si="6"/>
        <v>19555.674573589113</v>
      </c>
    </row>
    <row r="57" spans="1:5">
      <c r="A57" s="92">
        <f t="shared" si="4"/>
        <v>2048</v>
      </c>
      <c r="B57" s="28">
        <f>'Main Info'!G34</f>
        <v>247332.16186355529</v>
      </c>
      <c r="C57" s="42">
        <f t="shared" si="5"/>
        <v>57032.283414973244</v>
      </c>
      <c r="D57" s="28">
        <f>'Main Info'!F34</f>
        <v>275338.69974766322</v>
      </c>
      <c r="E57" s="28">
        <f t="shared" si="6"/>
        <v>20559.519076532681</v>
      </c>
    </row>
    <row r="58" spans="1:5">
      <c r="A58" s="92">
        <f t="shared" si="4"/>
        <v>2049</v>
      </c>
      <c r="B58" s="28">
        <f>'Main Info'!G35</f>
        <v>257588.82795498305</v>
      </c>
      <c r="C58" s="42">
        <f t="shared" si="5"/>
        <v>60416.983225144402</v>
      </c>
      <c r="D58" s="28">
        <f>'Main Info'!F35</f>
        <v>286564.48773756973</v>
      </c>
      <c r="E58" s="28">
        <f t="shared" si="6"/>
        <v>21603.517359593985</v>
      </c>
    </row>
    <row r="59" spans="1:5">
      <c r="A59" s="92">
        <f t="shared" si="4"/>
        <v>2050</v>
      </c>
      <c r="B59" s="28">
        <f>'Main Info'!G36</f>
        <v>268253.01522263326</v>
      </c>
      <c r="C59" s="42">
        <f t="shared" si="5"/>
        <v>63936.165023468973</v>
      </c>
      <c r="D59" s="28">
        <f>'Main Info'!F36</f>
        <v>298239.30724707257</v>
      </c>
      <c r="E59" s="28">
        <f t="shared" si="6"/>
        <v>22689.275573977749</v>
      </c>
    </row>
    <row r="60" spans="1:5">
      <c r="A60" s="92">
        <f t="shared" si="4"/>
        <v>2051</v>
      </c>
      <c r="B60" s="28">
        <f>'Main Info'!G37</f>
        <v>279341.01536199672</v>
      </c>
      <c r="C60" s="42">
        <f t="shared" si="5"/>
        <v>67595.205069458912</v>
      </c>
      <c r="D60" s="28">
        <f>'Main Info'!F37</f>
        <v>310381.11953695549</v>
      </c>
      <c r="E60" s="28">
        <f t="shared" si="6"/>
        <v>23818.464116936862</v>
      </c>
    </row>
    <row r="61" spans="1:5">
      <c r="A61" s="92">
        <f t="shared" si="4"/>
        <v>2052</v>
      </c>
      <c r="B61" s="28">
        <f>'Main Info'!G38</f>
        <v>290869.77170587849</v>
      </c>
      <c r="C61" s="42">
        <f t="shared" si="5"/>
        <v>71399.694662939903</v>
      </c>
      <c r="D61" s="28">
        <f>'Main Info'!F38</f>
        <v>323008.60431843367</v>
      </c>
      <c r="E61" s="28">
        <f t="shared" si="6"/>
        <v>24992.820201614333</v>
      </c>
    </row>
    <row r="62" spans="1:5">
      <c r="A62" s="92">
        <f t="shared" si="4"/>
        <v>2053</v>
      </c>
      <c r="B62" s="28">
        <f>'Main Info'!G39</f>
        <v>302856.90528978931</v>
      </c>
      <c r="C62" s="42">
        <f t="shared" si="5"/>
        <v>75355.448745630478</v>
      </c>
      <c r="D62" s="28">
        <f>'Main Info'!F39</f>
        <v>336141.18849117111</v>
      </c>
      <c r="E62" s="28">
        <f t="shared" si="6"/>
        <v>26214.150529678911</v>
      </c>
    </row>
    <row r="63" spans="1:5">
      <c r="A63" s="92">
        <f t="shared" si="4"/>
        <v>2054</v>
      </c>
      <c r="B63" s="28">
        <f>'Main Info'!G40</f>
        <v>315320.74195995188</v>
      </c>
      <c r="C63" s="42">
        <f t="shared" si="5"/>
        <v>79468.514846784121</v>
      </c>
      <c r="D63" s="28">
        <f>'Main Info'!F40</f>
        <v>349799.07603081793</v>
      </c>
      <c r="E63" s="28">
        <f t="shared" si="6"/>
        <v>27484.334070866069</v>
      </c>
    </row>
    <row r="64" spans="1:5">
      <c r="A64" s="107">
        <f t="shared" si="4"/>
        <v>2055</v>
      </c>
      <c r="B64" s="108">
        <f>'Main Info'!G41</f>
        <v>328203.95411834988</v>
      </c>
      <c r="C64" s="109">
        <f t="shared" si="5"/>
        <v>83719.974859055466</v>
      </c>
      <c r="D64" s="108">
        <f>'Main Info'!F41</f>
        <v>364003.27907205059</v>
      </c>
      <c r="E64" s="108">
        <f t="shared" si="6"/>
        <v>28805.324953700707</v>
      </c>
    </row>
    <row r="65" spans="1:5">
      <c r="A65" s="110"/>
      <c r="B65" s="111"/>
      <c r="C65" s="112"/>
      <c r="D65" s="111"/>
      <c r="E65" s="111"/>
    </row>
    <row r="66" spans="1:5">
      <c r="A66" s="16"/>
    </row>
    <row r="67" spans="1:5">
      <c r="A67" s="16"/>
    </row>
    <row r="68" spans="1:5">
      <c r="A68" s="16"/>
    </row>
  </sheetData>
  <mergeCells count="2">
    <mergeCell ref="B2:C2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D13" sqref="D13"/>
    </sheetView>
  </sheetViews>
  <sheetFormatPr defaultRowHeight="15"/>
  <cols>
    <col min="3" max="3" width="91.5703125" bestFit="1" customWidth="1"/>
  </cols>
  <sheetData>
    <row r="1" spans="2:4">
      <c r="B1" t="s">
        <v>134</v>
      </c>
      <c r="C1" t="s">
        <v>135</v>
      </c>
      <c r="D1" t="s">
        <v>141</v>
      </c>
    </row>
    <row r="2" spans="2:4">
      <c r="B2">
        <v>1</v>
      </c>
      <c r="C2" t="s">
        <v>136</v>
      </c>
      <c r="D2" t="s">
        <v>142</v>
      </c>
    </row>
    <row r="3" spans="2:4">
      <c r="B3">
        <f>B2+1</f>
        <v>2</v>
      </c>
      <c r="C3" t="s">
        <v>137</v>
      </c>
      <c r="D3" t="s">
        <v>142</v>
      </c>
    </row>
    <row r="4" spans="2:4">
      <c r="B4" s="16">
        <f t="shared" ref="B4:B15" si="0">B3+1</f>
        <v>3</v>
      </c>
      <c r="C4" t="s">
        <v>138</v>
      </c>
      <c r="D4" t="s">
        <v>142</v>
      </c>
    </row>
    <row r="5" spans="2:4">
      <c r="B5" s="16">
        <f t="shared" si="0"/>
        <v>4</v>
      </c>
      <c r="C5" t="s">
        <v>139</v>
      </c>
      <c r="D5" t="s">
        <v>142</v>
      </c>
    </row>
    <row r="6" spans="2:4">
      <c r="B6" s="16">
        <f t="shared" si="0"/>
        <v>5</v>
      </c>
      <c r="C6" t="s">
        <v>140</v>
      </c>
      <c r="D6" t="s">
        <v>142</v>
      </c>
    </row>
    <row r="7" spans="2:4">
      <c r="B7" s="16">
        <f t="shared" si="0"/>
        <v>6</v>
      </c>
      <c r="C7" t="s">
        <v>144</v>
      </c>
      <c r="D7" t="s">
        <v>143</v>
      </c>
    </row>
    <row r="8" spans="2:4">
      <c r="B8" s="16">
        <f t="shared" si="0"/>
        <v>7</v>
      </c>
      <c r="C8" t="s">
        <v>145</v>
      </c>
      <c r="D8" s="16" t="s">
        <v>143</v>
      </c>
    </row>
    <row r="9" spans="2:4">
      <c r="B9" s="16">
        <f t="shared" si="0"/>
        <v>8</v>
      </c>
      <c r="C9" t="s">
        <v>147</v>
      </c>
      <c r="D9" s="16" t="s">
        <v>143</v>
      </c>
    </row>
    <row r="10" spans="2:4">
      <c r="B10" s="16">
        <f t="shared" si="0"/>
        <v>9</v>
      </c>
      <c r="C10" t="s">
        <v>146</v>
      </c>
      <c r="D10" s="16" t="s">
        <v>143</v>
      </c>
    </row>
    <row r="11" spans="2:4">
      <c r="B11" s="16">
        <f t="shared" si="0"/>
        <v>10</v>
      </c>
      <c r="C11" t="s">
        <v>148</v>
      </c>
      <c r="D11" s="16" t="s">
        <v>143</v>
      </c>
    </row>
    <row r="12" spans="2:4">
      <c r="B12" s="16">
        <f t="shared" si="0"/>
        <v>11</v>
      </c>
      <c r="C12" t="s">
        <v>160</v>
      </c>
      <c r="D12" t="s">
        <v>143</v>
      </c>
    </row>
    <row r="13" spans="2:4">
      <c r="B13" s="16">
        <f t="shared" si="0"/>
        <v>12</v>
      </c>
    </row>
    <row r="14" spans="2:4">
      <c r="B14" s="16">
        <f t="shared" si="0"/>
        <v>13</v>
      </c>
    </row>
    <row r="15" spans="2:4">
      <c r="B15" s="16">
        <f t="shared" si="0"/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G2" sqref="G2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88">
        <f>'Data Input'!L8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90"/>
      <c r="C2" s="90"/>
      <c r="F2" s="5" t="s">
        <v>6</v>
      </c>
      <c r="G2" s="89">
        <f>'Data Input'!L9</f>
        <v>0.04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123" t="s">
        <v>153</v>
      </c>
      <c r="B3" s="124">
        <v>360</v>
      </c>
      <c r="C3" s="90"/>
      <c r="F3" s="5" t="s">
        <v>8</v>
      </c>
      <c r="G3" s="90">
        <f>'Data Input'!L10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52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156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Input'!C2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6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C6" sqref="C6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88">
        <f>'Data Input'!O8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90"/>
      <c r="C2" s="90"/>
      <c r="F2" s="5" t="s">
        <v>6</v>
      </c>
      <c r="G2" s="89">
        <f>'Data Input'!O9</f>
        <v>0.03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123" t="s">
        <v>153</v>
      </c>
      <c r="B3" s="124">
        <v>360</v>
      </c>
      <c r="C3" s="90"/>
      <c r="F3" s="5" t="s">
        <v>8</v>
      </c>
      <c r="G3" s="90">
        <f>'Data Input'!O10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52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156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Input'!C2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6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Input</vt:lpstr>
      <vt:lpstr>Main Info</vt:lpstr>
      <vt:lpstr>Mortgage Sheet</vt:lpstr>
      <vt:lpstr>Spending</vt:lpstr>
      <vt:lpstr>Tax Information</vt:lpstr>
      <vt:lpstr>Change Log</vt:lpstr>
      <vt:lpstr>Student Loans</vt:lpstr>
      <vt:lpstr>Credit Card Debt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2014-11-26T22:01:58Z</dcterms:created>
  <dcterms:modified xsi:type="dcterms:W3CDTF">2016-09-09T03:26:35Z</dcterms:modified>
</cp:coreProperties>
</file>