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Student Loans" sheetId="9" r:id="rId6"/>
    <sheet name="Credit Card Debt" sheetId="10" r:id="rId7"/>
    <sheet name="Change Lo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B17" i="8" l="1"/>
  <c r="B18" i="8" s="1"/>
  <c r="B19" i="8" s="1"/>
  <c r="B20" i="8" s="1"/>
  <c r="B21" i="8" s="1"/>
  <c r="B22" i="8" s="1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1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4" i="7"/>
  <c r="E9" i="7"/>
  <c r="F12" i="7"/>
  <c r="E24" i="7" s="1"/>
  <c r="E35" i="7" s="1"/>
  <c r="E12" i="7"/>
  <c r="G2" i="9" l="1"/>
  <c r="G3" i="9"/>
  <c r="E10" i="7"/>
  <c r="E11" i="7"/>
  <c r="A6" i="1" l="1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I5" i="10" s="1"/>
  <c r="F5" i="10" s="1"/>
  <c r="E1" i="9"/>
  <c r="C44" i="9"/>
  <c r="H5" i="9"/>
  <c r="J5" i="9" s="1"/>
  <c r="I5" i="9"/>
  <c r="F5" i="9" s="1"/>
  <c r="B5" i="8"/>
  <c r="B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4" i="8"/>
  <c r="C15" i="6"/>
  <c r="C6" i="6"/>
  <c r="H5" i="10" l="1"/>
  <c r="G5" i="10" s="1"/>
  <c r="K6" i="10" s="1"/>
  <c r="K3" i="10"/>
  <c r="O7" i="7" s="1"/>
  <c r="J5" i="10"/>
  <c r="G5" i="9"/>
  <c r="K6" i="9" s="1"/>
  <c r="K3" i="9"/>
  <c r="L7" i="7" s="1"/>
  <c r="A25" i="6"/>
  <c r="D24" i="7" l="1"/>
  <c r="D35" i="7" s="1"/>
  <c r="I6" i="10"/>
  <c r="F6" i="10" s="1"/>
  <c r="H6" i="10"/>
  <c r="I6" i="9"/>
  <c r="F6" i="9" s="1"/>
  <c r="H6" i="9"/>
  <c r="J6" i="9" s="1"/>
  <c r="E4" i="7"/>
  <c r="E16" i="7"/>
  <c r="B16" i="7"/>
  <c r="B4" i="7"/>
  <c r="H6" i="7"/>
  <c r="B61" i="7"/>
  <c r="A3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O13" i="7"/>
  <c r="O14" i="7" s="1"/>
  <c r="I24" i="7" s="1"/>
  <c r="I35" i="7" l="1"/>
  <c r="B3" i="4"/>
  <c r="A4" i="4"/>
  <c r="B2" i="2"/>
  <c r="E3" i="4" s="1"/>
  <c r="G6" i="10"/>
  <c r="K7" i="10" s="1"/>
  <c r="C6" i="10"/>
  <c r="J6" i="10"/>
  <c r="G6" i="9"/>
  <c r="K7" i="9" s="1"/>
  <c r="C6" i="9"/>
  <c r="C44" i="1"/>
  <c r="C45" i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4" i="4" l="1"/>
  <c r="A5" i="4"/>
  <c r="D2" i="2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61" i="7"/>
  <c r="F61" i="7" s="1"/>
  <c r="F24" i="7" s="1"/>
  <c r="E14" i="7"/>
  <c r="B5" i="4" l="1"/>
  <c r="A6" i="4"/>
  <c r="G7" i="10"/>
  <c r="K8" i="10" s="1"/>
  <c r="J7" i="10"/>
  <c r="G7" i="9"/>
  <c r="K8" i="9" s="1"/>
  <c r="F35" i="7"/>
  <c r="B62" i="7"/>
  <c r="E8" i="7"/>
  <c r="B6" i="4" l="1"/>
  <c r="A7" i="4"/>
  <c r="I8" i="10"/>
  <c r="F8" i="10" s="1"/>
  <c r="H8" i="10"/>
  <c r="J8" i="10" s="1"/>
  <c r="I8" i="9"/>
  <c r="F8" i="9" s="1"/>
  <c r="H8" i="9"/>
  <c r="J8" i="9" s="1"/>
  <c r="E62" i="7"/>
  <c r="F62" i="7" s="1"/>
  <c r="B63" i="7"/>
  <c r="E1" i="2"/>
  <c r="B1" i="2"/>
  <c r="E15" i="7"/>
  <c r="E6" i="7"/>
  <c r="E7" i="7"/>
  <c r="E13" i="7"/>
  <c r="E5" i="7"/>
  <c r="B7" i="4" l="1"/>
  <c r="A8" i="4"/>
  <c r="G8" i="10"/>
  <c r="K9" i="10" s="1"/>
  <c r="G8" i="9"/>
  <c r="K9" i="9" s="1"/>
  <c r="E63" i="7"/>
  <c r="F63" i="7" s="1"/>
  <c r="B64" i="7"/>
  <c r="A3" i="2"/>
  <c r="B8" i="4" l="1"/>
  <c r="A9" i="4"/>
  <c r="I9" i="10"/>
  <c r="F9" i="10" s="1"/>
  <c r="H9" i="10"/>
  <c r="J9" i="10" s="1"/>
  <c r="I9" i="9"/>
  <c r="F9" i="9" s="1"/>
  <c r="H9" i="9"/>
  <c r="J9" i="9" s="1"/>
  <c r="E3" i="2"/>
  <c r="B3" i="2"/>
  <c r="B65" i="7"/>
  <c r="E64" i="7"/>
  <c r="F64" i="7" s="1"/>
  <c r="A4" i="2"/>
  <c r="B9" i="4" l="1"/>
  <c r="A10" i="4"/>
  <c r="E4" i="4"/>
  <c r="G9" i="10"/>
  <c r="K10" i="10" s="1"/>
  <c r="G9" i="9"/>
  <c r="K10" i="9" s="1"/>
  <c r="D3" i="2"/>
  <c r="B4" i="2"/>
  <c r="E4" i="2"/>
  <c r="C3" i="2"/>
  <c r="P3" i="2" s="1"/>
  <c r="B66" i="7"/>
  <c r="E65" i="7"/>
  <c r="F65" i="7" s="1"/>
  <c r="A5" i="2"/>
  <c r="B10" i="4" l="1"/>
  <c r="A11" i="4"/>
  <c r="E5" i="4"/>
  <c r="I10" i="10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67" i="7"/>
  <c r="E66" i="7"/>
  <c r="F66" i="7" s="1"/>
  <c r="A6" i="2"/>
  <c r="B11" i="4" l="1"/>
  <c r="A12" i="4"/>
  <c r="E6" i="4"/>
  <c r="G10" i="10"/>
  <c r="K11" i="10" s="1"/>
  <c r="H11" i="10" s="1"/>
  <c r="J11" i="10" s="1"/>
  <c r="G10" i="9"/>
  <c r="K11" i="9" s="1"/>
  <c r="I11" i="9" s="1"/>
  <c r="F11" i="9" s="1"/>
  <c r="C5" i="2"/>
  <c r="P5" i="2" s="1"/>
  <c r="D5" i="2"/>
  <c r="E6" i="2"/>
  <c r="B6" i="2"/>
  <c r="B68" i="7"/>
  <c r="E67" i="7"/>
  <c r="F67" i="7" s="1"/>
  <c r="A7" i="2"/>
  <c r="B12" i="4" l="1"/>
  <c r="A13" i="4"/>
  <c r="D6" i="2"/>
  <c r="E7" i="4"/>
  <c r="I11" i="10"/>
  <c r="F11" i="10" s="1"/>
  <c r="G11" i="10" s="1"/>
  <c r="K12" i="10" s="1"/>
  <c r="H12" i="10" s="1"/>
  <c r="J12" i="10" s="1"/>
  <c r="H11" i="9"/>
  <c r="J11" i="9" s="1"/>
  <c r="C6" i="2"/>
  <c r="P6" i="2" s="1"/>
  <c r="E7" i="2"/>
  <c r="B7" i="2"/>
  <c r="B69" i="7"/>
  <c r="E68" i="7"/>
  <c r="F68" i="7" s="1"/>
  <c r="A8" i="2"/>
  <c r="L5" i="2"/>
  <c r="M5" i="2"/>
  <c r="B13" i="4" l="1"/>
  <c r="A14" i="4"/>
  <c r="D7" i="2"/>
  <c r="E8" i="4"/>
  <c r="I12" i="10"/>
  <c r="F12" i="10" s="1"/>
  <c r="G12" i="10" s="1"/>
  <c r="K13" i="10" s="1"/>
  <c r="G11" i="9"/>
  <c r="K12" i="9" s="1"/>
  <c r="H12" i="9" s="1"/>
  <c r="J12" i="9" s="1"/>
  <c r="C7" i="2"/>
  <c r="P7" i="2" s="1"/>
  <c r="B8" i="2"/>
  <c r="E8" i="2"/>
  <c r="B70" i="7"/>
  <c r="E69" i="7"/>
  <c r="F69" i="7" s="1"/>
  <c r="A9" i="2"/>
  <c r="L3" i="2"/>
  <c r="L4" i="2"/>
  <c r="B14" i="4" l="1"/>
  <c r="A15" i="4"/>
  <c r="C8" i="2"/>
  <c r="P8" i="2" s="1"/>
  <c r="E9" i="4"/>
  <c r="H13" i="10"/>
  <c r="J13" i="10" s="1"/>
  <c r="I13" i="10"/>
  <c r="F13" i="10" s="1"/>
  <c r="I12" i="9"/>
  <c r="F12" i="9" s="1"/>
  <c r="G12" i="9" s="1"/>
  <c r="K13" i="9" s="1"/>
  <c r="I13" i="9" s="1"/>
  <c r="F13" i="9" s="1"/>
  <c r="B9" i="2"/>
  <c r="E9" i="2"/>
  <c r="D8" i="2"/>
  <c r="B71" i="7"/>
  <c r="E70" i="7"/>
  <c r="F70" i="7" s="1"/>
  <c r="A10" i="2"/>
  <c r="B15" i="4" l="1"/>
  <c r="A16" i="4"/>
  <c r="C9" i="2"/>
  <c r="P9" i="2" s="1"/>
  <c r="E10" i="4"/>
  <c r="G13" i="10"/>
  <c r="K14" i="10" s="1"/>
  <c r="I14" i="10" s="1"/>
  <c r="F14" i="10" s="1"/>
  <c r="H13" i="9"/>
  <c r="J13" i="9" s="1"/>
  <c r="D9" i="2"/>
  <c r="E10" i="2"/>
  <c r="B10" i="2"/>
  <c r="B72" i="7"/>
  <c r="E71" i="7"/>
  <c r="F71" i="7" s="1"/>
  <c r="A11" i="2"/>
  <c r="B16" i="4" l="1"/>
  <c r="A17" i="4"/>
  <c r="D10" i="2"/>
  <c r="E11" i="4"/>
  <c r="H14" i="10"/>
  <c r="J14" i="10" s="1"/>
  <c r="G13" i="9"/>
  <c r="K14" i="9" s="1"/>
  <c r="E11" i="2"/>
  <c r="B11" i="2"/>
  <c r="C10" i="2"/>
  <c r="P10" i="2" s="1"/>
  <c r="B73" i="7"/>
  <c r="E72" i="7"/>
  <c r="F72" i="7" s="1"/>
  <c r="A12" i="2"/>
  <c r="B17" i="4" l="1"/>
  <c r="A18" i="4"/>
  <c r="D11" i="2"/>
  <c r="E12" i="4"/>
  <c r="G14" i="10"/>
  <c r="K15" i="10" s="1"/>
  <c r="I15" i="10" s="1"/>
  <c r="F15" i="10" s="1"/>
  <c r="B12" i="2"/>
  <c r="I14" i="9"/>
  <c r="F14" i="9" s="1"/>
  <c r="H14" i="9"/>
  <c r="J14" i="9" s="1"/>
  <c r="E12" i="2"/>
  <c r="C11" i="2"/>
  <c r="P11" i="2" s="1"/>
  <c r="B74" i="7"/>
  <c r="E73" i="7"/>
  <c r="F73" i="7" s="1"/>
  <c r="A13" i="2"/>
  <c r="B18" i="4" l="1"/>
  <c r="A19" i="4"/>
  <c r="C12" i="2"/>
  <c r="P12" i="2" s="1"/>
  <c r="E13" i="4"/>
  <c r="H15" i="10"/>
  <c r="J15" i="10" s="1"/>
  <c r="B13" i="2"/>
  <c r="G14" i="9"/>
  <c r="K15" i="9" s="1"/>
  <c r="H15" i="9" s="1"/>
  <c r="J15" i="9" s="1"/>
  <c r="D12" i="2"/>
  <c r="E13" i="2"/>
  <c r="B75" i="7"/>
  <c r="E74" i="7"/>
  <c r="F74" i="7" s="1"/>
  <c r="A14" i="2"/>
  <c r="L6" i="2"/>
  <c r="Q5" i="2"/>
  <c r="B19" i="4" l="1"/>
  <c r="A20" i="4"/>
  <c r="C13" i="2"/>
  <c r="P13" i="2" s="1"/>
  <c r="E14" i="4"/>
  <c r="G15" i="10"/>
  <c r="K16" i="10" s="1"/>
  <c r="I16" i="10" s="1"/>
  <c r="F16" i="10" s="1"/>
  <c r="B6" i="10" s="1"/>
  <c r="I15" i="9"/>
  <c r="F15" i="9" s="1"/>
  <c r="G15" i="9" s="1"/>
  <c r="K16" i="9" s="1"/>
  <c r="H16" i="9" s="1"/>
  <c r="J16" i="9" s="1"/>
  <c r="B14" i="2"/>
  <c r="D13" i="2"/>
  <c r="E14" i="2"/>
  <c r="B76" i="7"/>
  <c r="E75" i="7"/>
  <c r="F75" i="7" s="1"/>
  <c r="A15" i="2"/>
  <c r="L7" i="2"/>
  <c r="B20" i="4" l="1"/>
  <c r="A21" i="4"/>
  <c r="D14" i="2"/>
  <c r="E15" i="4"/>
  <c r="H16" i="10"/>
  <c r="J16" i="10" s="1"/>
  <c r="I16" i="9"/>
  <c r="F16" i="9" s="1"/>
  <c r="G16" i="9" s="1"/>
  <c r="K17" i="9" s="1"/>
  <c r="B15" i="2"/>
  <c r="C14" i="2"/>
  <c r="P14" i="2" s="1"/>
  <c r="E15" i="2"/>
  <c r="B77" i="7"/>
  <c r="E76" i="7"/>
  <c r="F76" i="7" s="1"/>
  <c r="A16" i="2"/>
  <c r="L8" i="2"/>
  <c r="B21" i="4" l="1"/>
  <c r="A22" i="4"/>
  <c r="D15" i="2"/>
  <c r="E16" i="4"/>
  <c r="G16" i="10"/>
  <c r="K17" i="10" s="1"/>
  <c r="H17" i="10" s="1"/>
  <c r="J17" i="10" s="1"/>
  <c r="B6" i="9"/>
  <c r="D3" i="4" s="1"/>
  <c r="B16" i="2"/>
  <c r="I17" i="9"/>
  <c r="F17" i="9" s="1"/>
  <c r="H17" i="9"/>
  <c r="J17" i="9" s="1"/>
  <c r="C15" i="2"/>
  <c r="P15" i="2" s="1"/>
  <c r="E16" i="2"/>
  <c r="B78" i="7"/>
  <c r="E77" i="7"/>
  <c r="F77" i="7" s="1"/>
  <c r="A17" i="2"/>
  <c r="L9" i="2"/>
  <c r="B22" i="4" l="1"/>
  <c r="A23" i="4"/>
  <c r="D16" i="2"/>
  <c r="E17" i="4"/>
  <c r="I17" i="10"/>
  <c r="F17" i="10" s="1"/>
  <c r="G17" i="10" s="1"/>
  <c r="K18" i="10" s="1"/>
  <c r="H18" i="10" s="1"/>
  <c r="C7" i="10" s="1"/>
  <c r="H2" i="2"/>
  <c r="B17" i="2"/>
  <c r="G17" i="9"/>
  <c r="K18" i="9" s="1"/>
  <c r="C16" i="2"/>
  <c r="P16" i="2" s="1"/>
  <c r="E17" i="2"/>
  <c r="B79" i="7"/>
  <c r="E78" i="7"/>
  <c r="F78" i="7" s="1"/>
  <c r="A18" i="2"/>
  <c r="L10" i="2"/>
  <c r="B23" i="4" l="1"/>
  <c r="A24" i="4"/>
  <c r="I18" i="10"/>
  <c r="F18" i="10" s="1"/>
  <c r="G18" i="10" s="1"/>
  <c r="K19" i="10" s="1"/>
  <c r="H19" i="10" s="1"/>
  <c r="C17" i="2"/>
  <c r="P17" i="2" s="1"/>
  <c r="E18" i="4"/>
  <c r="J18" i="10"/>
  <c r="B18" i="2"/>
  <c r="I18" i="9"/>
  <c r="F18" i="9" s="1"/>
  <c r="H18" i="9"/>
  <c r="D17" i="2"/>
  <c r="E18" i="2"/>
  <c r="E79" i="7"/>
  <c r="F79" i="7" s="1"/>
  <c r="B80" i="7"/>
  <c r="A19" i="2"/>
  <c r="L11" i="2"/>
  <c r="B24" i="4" l="1"/>
  <c r="A25" i="4"/>
  <c r="I19" i="10"/>
  <c r="F19" i="10" s="1"/>
  <c r="G19" i="10" s="1"/>
  <c r="K20" i="10" s="1"/>
  <c r="I20" i="10" s="1"/>
  <c r="F20" i="10" s="1"/>
  <c r="D18" i="2"/>
  <c r="E19" i="4"/>
  <c r="J19" i="10"/>
  <c r="B19" i="2"/>
  <c r="J18" i="9"/>
  <c r="C7" i="9"/>
  <c r="G18" i="9"/>
  <c r="K19" i="9" s="1"/>
  <c r="C18" i="2"/>
  <c r="P18" i="2" s="1"/>
  <c r="E19" i="2"/>
  <c r="B81" i="7"/>
  <c r="E80" i="7"/>
  <c r="F80" i="7" s="1"/>
  <c r="A20" i="2"/>
  <c r="L12" i="2"/>
  <c r="B25" i="4" l="1"/>
  <c r="A26" i="4"/>
  <c r="H20" i="10"/>
  <c r="J20" i="10" s="1"/>
  <c r="D19" i="2"/>
  <c r="E20" i="4"/>
  <c r="B20" i="2"/>
  <c r="I19" i="9"/>
  <c r="F19" i="9" s="1"/>
  <c r="H19" i="9"/>
  <c r="J19" i="9" s="1"/>
  <c r="C19" i="2"/>
  <c r="P19" i="2" s="1"/>
  <c r="E20" i="2"/>
  <c r="B82" i="7"/>
  <c r="E81" i="7"/>
  <c r="F81" i="7" s="1"/>
  <c r="A21" i="2"/>
  <c r="L13" i="2"/>
  <c r="B26" i="4" l="1"/>
  <c r="A27" i="4"/>
  <c r="G20" i="10"/>
  <c r="K21" i="10" s="1"/>
  <c r="H21" i="10" s="1"/>
  <c r="J21" i="10" s="1"/>
  <c r="C20" i="2"/>
  <c r="P20" i="2" s="1"/>
  <c r="E21" i="4"/>
  <c r="B21" i="2"/>
  <c r="G19" i="9"/>
  <c r="K20" i="9" s="1"/>
  <c r="D20" i="2"/>
  <c r="E21" i="2"/>
  <c r="B83" i="7"/>
  <c r="E82" i="7"/>
  <c r="F82" i="7" s="1"/>
  <c r="A22" i="2"/>
  <c r="L14" i="2"/>
  <c r="B27" i="4" l="1"/>
  <c r="I21" i="10"/>
  <c r="F21" i="10" s="1"/>
  <c r="A28" i="4"/>
  <c r="C21" i="2"/>
  <c r="P21" i="2" s="1"/>
  <c r="E22" i="4"/>
  <c r="B22" i="2"/>
  <c r="G21" i="10"/>
  <c r="K22" i="10" s="1"/>
  <c r="H20" i="9"/>
  <c r="J20" i="9" s="1"/>
  <c r="I20" i="9"/>
  <c r="F20" i="9" s="1"/>
  <c r="D21" i="2"/>
  <c r="E22" i="2"/>
  <c r="B84" i="7"/>
  <c r="E83" i="7"/>
  <c r="F83" i="7" s="1"/>
  <c r="A23" i="2"/>
  <c r="L15" i="2"/>
  <c r="B28" i="4" l="1"/>
  <c r="A29" i="4"/>
  <c r="D22" i="2"/>
  <c r="E23" i="4"/>
  <c r="G20" i="9"/>
  <c r="K21" i="9" s="1"/>
  <c r="I21" i="9" s="1"/>
  <c r="F21" i="9" s="1"/>
  <c r="B23" i="2"/>
  <c r="I22" i="10"/>
  <c r="F22" i="10" s="1"/>
  <c r="H22" i="10"/>
  <c r="J22" i="10" s="1"/>
  <c r="H21" i="9"/>
  <c r="J21" i="9" s="1"/>
  <c r="E23" i="2"/>
  <c r="C22" i="2"/>
  <c r="P22" i="2" s="1"/>
  <c r="B85" i="7"/>
  <c r="E84" i="7"/>
  <c r="F84" i="7" s="1"/>
  <c r="A24" i="2"/>
  <c r="L16" i="2"/>
  <c r="B29" i="4" l="1"/>
  <c r="A30" i="4"/>
  <c r="D23" i="2"/>
  <c r="E24" i="4"/>
  <c r="G22" i="10"/>
  <c r="K23" i="10" s="1"/>
  <c r="I23" i="10" s="1"/>
  <c r="F23" i="10" s="1"/>
  <c r="B24" i="2"/>
  <c r="G21" i="9"/>
  <c r="K22" i="9" s="1"/>
  <c r="I22" i="9" s="1"/>
  <c r="F22" i="9" s="1"/>
  <c r="C23" i="2"/>
  <c r="P23" i="2" s="1"/>
  <c r="E24" i="2"/>
  <c r="E85" i="7"/>
  <c r="F85" i="7" s="1"/>
  <c r="B86" i="7"/>
  <c r="A25" i="2"/>
  <c r="L17" i="2"/>
  <c r="B30" i="4" l="1"/>
  <c r="A31" i="4"/>
  <c r="C24" i="2"/>
  <c r="P24" i="2" s="1"/>
  <c r="E25" i="4"/>
  <c r="H23" i="10"/>
  <c r="J23" i="10" s="1"/>
  <c r="H22" i="9"/>
  <c r="J22" i="9" s="1"/>
  <c r="B25" i="2"/>
  <c r="D24" i="2"/>
  <c r="E25" i="2"/>
  <c r="E86" i="7"/>
  <c r="F86" i="7" s="1"/>
  <c r="B87" i="7"/>
  <c r="A26" i="2"/>
  <c r="L18" i="2"/>
  <c r="B31" i="4" l="1"/>
  <c r="A32" i="4"/>
  <c r="C25" i="2"/>
  <c r="P25" i="2" s="1"/>
  <c r="E26" i="4"/>
  <c r="G23" i="10"/>
  <c r="K24" i="10" s="1"/>
  <c r="G22" i="9"/>
  <c r="K23" i="9" s="1"/>
  <c r="I23" i="9" s="1"/>
  <c r="F23" i="9" s="1"/>
  <c r="B26" i="2"/>
  <c r="D25" i="2"/>
  <c r="E26" i="2"/>
  <c r="E87" i="7"/>
  <c r="F87" i="7" s="1"/>
  <c r="B88" i="7"/>
  <c r="A27" i="2"/>
  <c r="L19" i="2"/>
  <c r="B32" i="4" l="1"/>
  <c r="A33" i="4"/>
  <c r="D26" i="2"/>
  <c r="E27" i="4"/>
  <c r="H23" i="9"/>
  <c r="J23" i="9" s="1"/>
  <c r="H24" i="10"/>
  <c r="J24" i="10" s="1"/>
  <c r="I24" i="10"/>
  <c r="F24" i="10" s="1"/>
  <c r="B27" i="2"/>
  <c r="C26" i="2"/>
  <c r="P26" i="2" s="1"/>
  <c r="E27" i="2"/>
  <c r="E88" i="7"/>
  <c r="F88" i="7" s="1"/>
  <c r="B89" i="7"/>
  <c r="A28" i="2"/>
  <c r="L20" i="2"/>
  <c r="B33" i="4" l="1"/>
  <c r="A34" i="4"/>
  <c r="G23" i="9"/>
  <c r="K24" i="9" s="1"/>
  <c r="I24" i="9" s="1"/>
  <c r="F24" i="9" s="1"/>
  <c r="D27" i="2"/>
  <c r="E28" i="4"/>
  <c r="G24" i="10"/>
  <c r="K25" i="10" s="1"/>
  <c r="H25" i="10" s="1"/>
  <c r="J25" i="10" s="1"/>
  <c r="B28" i="2"/>
  <c r="C27" i="2"/>
  <c r="P27" i="2" s="1"/>
  <c r="E28" i="2"/>
  <c r="B90" i="7"/>
  <c r="E89" i="7"/>
  <c r="F89" i="7" s="1"/>
  <c r="A29" i="2"/>
  <c r="L21" i="2"/>
  <c r="B34" i="4" l="1"/>
  <c r="A35" i="4"/>
  <c r="H24" i="9"/>
  <c r="J24" i="9" s="1"/>
  <c r="C28" i="2"/>
  <c r="P28" i="2" s="1"/>
  <c r="E29" i="4"/>
  <c r="I25" i="10"/>
  <c r="F25" i="10" s="1"/>
  <c r="G25" i="10" s="1"/>
  <c r="K26" i="10" s="1"/>
  <c r="I26" i="10" s="1"/>
  <c r="F26" i="10" s="1"/>
  <c r="B29" i="2"/>
  <c r="D28" i="2"/>
  <c r="E29" i="2"/>
  <c r="E90" i="7"/>
  <c r="F90" i="7" s="1"/>
  <c r="A30" i="2"/>
  <c r="L22" i="2"/>
  <c r="B35" i="4" l="1"/>
  <c r="A36" i="4"/>
  <c r="G24" i="9"/>
  <c r="K25" i="9" s="1"/>
  <c r="I25" i="9" s="1"/>
  <c r="F25" i="9" s="1"/>
  <c r="C29" i="2"/>
  <c r="P29" i="2" s="1"/>
  <c r="E30" i="4"/>
  <c r="H26" i="10"/>
  <c r="J26" i="10" s="1"/>
  <c r="B30" i="2"/>
  <c r="D29" i="2"/>
  <c r="E30" i="2"/>
  <c r="A31" i="2"/>
  <c r="L23" i="2"/>
  <c r="B36" i="4" l="1"/>
  <c r="A37" i="4"/>
  <c r="H25" i="9"/>
  <c r="J25" i="9" s="1"/>
  <c r="D30" i="2"/>
  <c r="E31" i="4"/>
  <c r="G26" i="10"/>
  <c r="K27" i="10" s="1"/>
  <c r="A32" i="2"/>
  <c r="B31" i="2"/>
  <c r="E31" i="2"/>
  <c r="C30" i="2"/>
  <c r="P30" i="2" s="1"/>
  <c r="L24" i="2"/>
  <c r="B37" i="4" l="1"/>
  <c r="A38" i="4"/>
  <c r="G25" i="9"/>
  <c r="K26" i="9" s="1"/>
  <c r="H26" i="9" s="1"/>
  <c r="J26" i="9" s="1"/>
  <c r="D31" i="2"/>
  <c r="E32" i="4"/>
  <c r="H27" i="10"/>
  <c r="J27" i="10" s="1"/>
  <c r="I27" i="10"/>
  <c r="F27" i="10" s="1"/>
  <c r="A33" i="2"/>
  <c r="E32" i="2"/>
  <c r="B32" i="2"/>
  <c r="C31" i="2"/>
  <c r="P31" i="2" s="1"/>
  <c r="L25" i="2"/>
  <c r="B38" i="4" l="1"/>
  <c r="A39" i="4"/>
  <c r="I26" i="9"/>
  <c r="F26" i="9" s="1"/>
  <c r="G26" i="9" s="1"/>
  <c r="K27" i="9" s="1"/>
  <c r="I27" i="9" s="1"/>
  <c r="F27" i="9" s="1"/>
  <c r="D32" i="2"/>
  <c r="M32" i="2" s="1"/>
  <c r="Q32" i="2" s="1"/>
  <c r="E33" i="4"/>
  <c r="G27" i="10"/>
  <c r="K28" i="10" s="1"/>
  <c r="I28" i="10" s="1"/>
  <c r="F28" i="10" s="1"/>
  <c r="C32" i="2"/>
  <c r="P32" i="2" s="1"/>
  <c r="A34" i="2"/>
  <c r="B33" i="2"/>
  <c r="E33" i="2"/>
  <c r="L26" i="2"/>
  <c r="B39" i="4" l="1"/>
  <c r="H27" i="9"/>
  <c r="J27" i="9" s="1"/>
  <c r="A40" i="4"/>
  <c r="H28" i="10"/>
  <c r="J28" i="10" s="1"/>
  <c r="L32" i="2"/>
  <c r="E34" i="4"/>
  <c r="B7" i="10"/>
  <c r="D33" i="2"/>
  <c r="M33" i="2" s="1"/>
  <c r="Q33" i="2" s="1"/>
  <c r="C33" i="2"/>
  <c r="P33" i="2" s="1"/>
  <c r="A35" i="2"/>
  <c r="B34" i="2"/>
  <c r="E34" i="2"/>
  <c r="L27" i="2"/>
  <c r="B40" i="4" l="1"/>
  <c r="G27" i="9"/>
  <c r="K28" i="9" s="1"/>
  <c r="H28" i="9" s="1"/>
  <c r="J28" i="9" s="1"/>
  <c r="A41" i="4"/>
  <c r="G28" i="10"/>
  <c r="K29" i="10" s="1"/>
  <c r="H29" i="10" s="1"/>
  <c r="J29" i="10" s="1"/>
  <c r="E35" i="4"/>
  <c r="I28" i="9"/>
  <c r="F28" i="9" s="1"/>
  <c r="G28" i="9" s="1"/>
  <c r="K29" i="9" s="1"/>
  <c r="L33" i="2"/>
  <c r="A36" i="2"/>
  <c r="E35" i="2"/>
  <c r="B35" i="2"/>
  <c r="D34" i="2"/>
  <c r="L34" i="2" s="1"/>
  <c r="C34" i="2"/>
  <c r="P34" i="2" s="1"/>
  <c r="L28" i="2"/>
  <c r="B41" i="4" l="1"/>
  <c r="A42" i="4"/>
  <c r="I29" i="10"/>
  <c r="F29" i="10" s="1"/>
  <c r="G29" i="10" s="1"/>
  <c r="K30" i="10" s="1"/>
  <c r="J30" i="10" s="1"/>
  <c r="C35" i="2"/>
  <c r="P35" i="2" s="1"/>
  <c r="E36" i="4"/>
  <c r="I29" i="9"/>
  <c r="F29" i="9" s="1"/>
  <c r="H29" i="9"/>
  <c r="J29" i="9" s="1"/>
  <c r="B7" i="9"/>
  <c r="D4" i="4" s="1"/>
  <c r="D35" i="2"/>
  <c r="L35" i="2" s="1"/>
  <c r="M34" i="2"/>
  <c r="Q34" i="2" s="1"/>
  <c r="A37" i="2"/>
  <c r="E36" i="2"/>
  <c r="B36" i="2"/>
  <c r="L29" i="2"/>
  <c r="B42" i="4" l="1"/>
  <c r="E37" i="4"/>
  <c r="I30" i="10"/>
  <c r="F30" i="10" s="1"/>
  <c r="H30" i="10"/>
  <c r="C8" i="10" s="1"/>
  <c r="M35" i="2"/>
  <c r="Q35" i="2" s="1"/>
  <c r="H3" i="2"/>
  <c r="G29" i="9"/>
  <c r="K30" i="9" s="1"/>
  <c r="H30" i="9" s="1"/>
  <c r="C8" i="9" s="1"/>
  <c r="C36" i="2"/>
  <c r="P36" i="2" s="1"/>
  <c r="A38" i="2"/>
  <c r="E37" i="2"/>
  <c r="B37" i="2"/>
  <c r="D36" i="2"/>
  <c r="M36" i="2" s="1"/>
  <c r="Q36" i="2" s="1"/>
  <c r="L2" i="2"/>
  <c r="M2" i="2"/>
  <c r="Q2" i="2" s="1"/>
  <c r="E38" i="4" l="1"/>
  <c r="G30" i="10"/>
  <c r="K31" i="10" s="1"/>
  <c r="I30" i="9"/>
  <c r="F30" i="9" s="1"/>
  <c r="G30" i="9" s="1"/>
  <c r="K31" i="9" s="1"/>
  <c r="J30" i="9"/>
  <c r="L36" i="2"/>
  <c r="C37" i="2"/>
  <c r="P37" i="2" s="1"/>
  <c r="D37" i="2"/>
  <c r="L37" i="2" s="1"/>
  <c r="A39" i="2"/>
  <c r="B38" i="2"/>
  <c r="E38" i="2"/>
  <c r="M3" i="2"/>
  <c r="Q3" i="2" s="1"/>
  <c r="M4" i="2"/>
  <c r="Q4" i="2" s="1"/>
  <c r="C38" i="2" l="1"/>
  <c r="P38" i="2" s="1"/>
  <c r="E39" i="4"/>
  <c r="I31" i="10"/>
  <c r="F31" i="10" s="1"/>
  <c r="H31" i="10"/>
  <c r="J31" i="10" s="1"/>
  <c r="I31" i="9"/>
  <c r="F31" i="9" s="1"/>
  <c r="H31" i="9"/>
  <c r="J31" i="9" s="1"/>
  <c r="M37" i="2"/>
  <c r="Q37" i="2" s="1"/>
  <c r="D38" i="2"/>
  <c r="L38" i="2" s="1"/>
  <c r="E39" i="2"/>
  <c r="B39" i="2"/>
  <c r="A40" i="2"/>
  <c r="M7" i="2"/>
  <c r="C39" i="2" l="1"/>
  <c r="P39" i="2" s="1"/>
  <c r="E40" i="4"/>
  <c r="G31" i="10"/>
  <c r="K32" i="10" s="1"/>
  <c r="H40" i="2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E41" i="4" l="1"/>
  <c r="I32" i="10"/>
  <c r="F32" i="10" s="1"/>
  <c r="H32" i="10"/>
  <c r="J32" i="10" s="1"/>
  <c r="L39" i="2"/>
  <c r="H41" i="2"/>
  <c r="I32" i="9"/>
  <c r="F32" i="9" s="1"/>
  <c r="H32" i="9"/>
  <c r="J32" i="9" s="1"/>
  <c r="C40" i="2"/>
  <c r="P40" i="2" s="1"/>
  <c r="E41" i="2"/>
  <c r="B41" i="2"/>
  <c r="D40" i="2"/>
  <c r="M40" i="2" s="1"/>
  <c r="Q40" i="2" s="1"/>
  <c r="M9" i="2"/>
  <c r="H5" i="1"/>
  <c r="C41" i="2" l="1"/>
  <c r="P41" i="2" s="1"/>
  <c r="E42" i="4"/>
  <c r="G32" i="10"/>
  <c r="K33" i="10" s="1"/>
  <c r="L40" i="2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H33" i="10" l="1"/>
  <c r="J33" i="10" s="1"/>
  <c r="I33" i="10"/>
  <c r="F33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3" i="10" l="1"/>
  <c r="K34" i="10" s="1"/>
  <c r="H34" i="10" s="1"/>
  <c r="J34" i="10" s="1"/>
  <c r="G41" i="2"/>
  <c r="B64" i="6" s="1"/>
  <c r="C64" i="6" s="1"/>
  <c r="K41" i="2" s="1"/>
  <c r="N41" i="2" s="1"/>
  <c r="G33" i="9"/>
  <c r="K34" i="9" s="1"/>
  <c r="S40" i="2"/>
  <c r="R40" i="2"/>
  <c r="O40" i="2"/>
  <c r="M12" i="2"/>
  <c r="Q12" i="2" s="1"/>
  <c r="Q11" i="2"/>
  <c r="I34" i="10" l="1"/>
  <c r="F34" i="10" s="1"/>
  <c r="G34" i="10" s="1"/>
  <c r="K35" i="10" s="1"/>
  <c r="I35" i="10" s="1"/>
  <c r="F35" i="10" s="1"/>
  <c r="T40" i="2"/>
  <c r="S41" i="2"/>
  <c r="R41" i="2"/>
  <c r="O41" i="2"/>
  <c r="I34" i="9"/>
  <c r="F34" i="9" s="1"/>
  <c r="H34" i="9"/>
  <c r="J34" i="9" s="1"/>
  <c r="M13" i="2"/>
  <c r="H35" i="10" l="1"/>
  <c r="J35" i="10" s="1"/>
  <c r="T41" i="2"/>
  <c r="G34" i="9"/>
  <c r="K35" i="9" s="1"/>
  <c r="M14" i="2"/>
  <c r="Q14" i="2" s="1"/>
  <c r="Q13" i="2"/>
  <c r="G35" i="10" l="1"/>
  <c r="K36" i="10" s="1"/>
  <c r="H36" i="10" s="1"/>
  <c r="J36" i="10" s="1"/>
  <c r="I35" i="9"/>
  <c r="F35" i="9" s="1"/>
  <c r="H35" i="9"/>
  <c r="J35" i="9" s="1"/>
  <c r="M15" i="2"/>
  <c r="I36" i="10" l="1"/>
  <c r="F36" i="10" s="1"/>
  <c r="G36" i="10" s="1"/>
  <c r="K37" i="10" s="1"/>
  <c r="H37" i="10" s="1"/>
  <c r="J37" i="10" s="1"/>
  <c r="G35" i="9"/>
  <c r="K36" i="9" s="1"/>
  <c r="M16" i="2"/>
  <c r="Q16" i="2" s="1"/>
  <c r="Q15" i="2"/>
  <c r="I37" i="10" l="1"/>
  <c r="F37" i="10" s="1"/>
  <c r="G37" i="10" s="1"/>
  <c r="K38" i="10" s="1"/>
  <c r="I38" i="10" s="1"/>
  <c r="F38" i="10" s="1"/>
  <c r="H36" i="9"/>
  <c r="J36" i="9" s="1"/>
  <c r="I36" i="9"/>
  <c r="F36" i="9" s="1"/>
  <c r="M17" i="2"/>
  <c r="H38" i="10" l="1"/>
  <c r="J38" i="10" s="1"/>
  <c r="G36" i="9"/>
  <c r="K37" i="9" s="1"/>
  <c r="H37" i="9" s="1"/>
  <c r="J37" i="9" s="1"/>
  <c r="M20" i="2"/>
  <c r="M18" i="2"/>
  <c r="Q17" i="2"/>
  <c r="G38" i="10" l="1"/>
  <c r="K39" i="10" s="1"/>
  <c r="H39" i="10" s="1"/>
  <c r="J39" i="10" s="1"/>
  <c r="I37" i="9"/>
  <c r="F37" i="9" s="1"/>
  <c r="G37" i="9" s="1"/>
  <c r="K38" i="9" s="1"/>
  <c r="M21" i="2"/>
  <c r="M19" i="2"/>
  <c r="Q18" i="2"/>
  <c r="I39" i="10" l="1"/>
  <c r="F39" i="10" s="1"/>
  <c r="G39" i="10" s="1"/>
  <c r="K40" i="10" s="1"/>
  <c r="I40" i="10" s="1"/>
  <c r="F40" i="10" s="1"/>
  <c r="I38" i="9"/>
  <c r="F38" i="9" s="1"/>
  <c r="H38" i="9"/>
  <c r="J38" i="9" s="1"/>
  <c r="M22" i="2"/>
  <c r="Q19" i="2"/>
  <c r="H40" i="10" l="1"/>
  <c r="J40" i="10" s="1"/>
  <c r="B8" i="10"/>
  <c r="G38" i="9"/>
  <c r="K39" i="9" s="1"/>
  <c r="M23" i="2"/>
  <c r="Q20" i="2"/>
  <c r="G40" i="10" l="1"/>
  <c r="K41" i="10" s="1"/>
  <c r="H41" i="10" s="1"/>
  <c r="J41" i="10" s="1"/>
  <c r="I39" i="9"/>
  <c r="F39" i="9" s="1"/>
  <c r="H39" i="9"/>
  <c r="J39" i="9" s="1"/>
  <c r="M24" i="2"/>
  <c r="Q21" i="2"/>
  <c r="Q22" i="2"/>
  <c r="I41" i="10" l="1"/>
  <c r="F41" i="10" s="1"/>
  <c r="G41" i="10" s="1"/>
  <c r="K42" i="10" s="1"/>
  <c r="I42" i="10" s="1"/>
  <c r="F42" i="10" s="1"/>
  <c r="G39" i="9"/>
  <c r="K40" i="9" s="1"/>
  <c r="M25" i="2"/>
  <c r="Q24" i="2"/>
  <c r="Q23" i="2"/>
  <c r="H42" i="10" l="1"/>
  <c r="C9" i="10" s="1"/>
  <c r="G42" i="10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0" i="9"/>
  <c r="K41" i="9" s="1"/>
  <c r="B8" i="9"/>
  <c r="M27" i="2"/>
  <c r="Q27" i="2" s="1"/>
  <c r="G43" i="10" l="1"/>
  <c r="K44" i="10" s="1"/>
  <c r="H44" i="10" s="1"/>
  <c r="J44" i="10" s="1"/>
  <c r="D5" i="4"/>
  <c r="T5" i="4" s="1"/>
  <c r="I41" i="9"/>
  <c r="F41" i="9" s="1"/>
  <c r="H41" i="9"/>
  <c r="J41" i="9" s="1"/>
  <c r="M29" i="2"/>
  <c r="Q29" i="2" s="1"/>
  <c r="M28" i="2"/>
  <c r="Q28" i="2" s="1"/>
  <c r="Q25" i="2"/>
  <c r="U5" i="4" l="1"/>
  <c r="I44" i="10"/>
  <c r="F44" i="10" s="1"/>
  <c r="G44" i="10" s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C45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T3" i="4"/>
  <c r="C6" i="1"/>
  <c r="G6" i="1"/>
  <c r="K7" i="1" s="1"/>
  <c r="J6" i="1"/>
  <c r="U3" i="4" l="1"/>
  <c r="I45" i="9"/>
  <c r="F45" i="9" s="1"/>
  <c r="G45" i="9" s="1"/>
  <c r="K46" i="9" s="1"/>
  <c r="H48" i="10"/>
  <c r="J48" i="10" s="1"/>
  <c r="I48" i="10"/>
  <c r="F48" i="10" s="1"/>
  <c r="I7" i="1"/>
  <c r="H7" i="1"/>
  <c r="G48" i="10" l="1"/>
  <c r="K49" i="10" s="1"/>
  <c r="H49" i="10" s="1"/>
  <c r="J49" i="10" s="1"/>
  <c r="I46" i="9"/>
  <c r="F46" i="9" s="1"/>
  <c r="H46" i="9"/>
  <c r="J46" i="9" s="1"/>
  <c r="F7" i="1"/>
  <c r="G7" i="1" s="1"/>
  <c r="K8" i="1" s="1"/>
  <c r="J7" i="1"/>
  <c r="I49" i="10" l="1"/>
  <c r="F49" i="10" s="1"/>
  <c r="G49" i="10" s="1"/>
  <c r="K50" i="10" s="1"/>
  <c r="I50" i="10" s="1"/>
  <c r="F50" i="10" s="1"/>
  <c r="G46" i="9"/>
  <c r="K47" i="9" s="1"/>
  <c r="I8" i="1"/>
  <c r="H8" i="1"/>
  <c r="H50" i="10" l="1"/>
  <c r="J50" i="10" s="1"/>
  <c r="I47" i="9"/>
  <c r="F47" i="9" s="1"/>
  <c r="H47" i="9"/>
  <c r="J47" i="9" s="1"/>
  <c r="F8" i="1"/>
  <c r="G8" i="1" s="1"/>
  <c r="K9" i="1" s="1"/>
  <c r="J8" i="1"/>
  <c r="G50" i="10" l="1"/>
  <c r="K51" i="10" s="1"/>
  <c r="H51" i="10" s="1"/>
  <c r="J51" i="10" s="1"/>
  <c r="G47" i="9"/>
  <c r="K48" i="9" s="1"/>
  <c r="H9" i="1"/>
  <c r="I9" i="1"/>
  <c r="F9" i="1" s="1"/>
  <c r="I51" i="10" l="1"/>
  <c r="F51" i="10" s="1"/>
  <c r="G51" i="10" s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 s="1"/>
  <c r="F54" i="10" s="1"/>
  <c r="H50" i="9"/>
  <c r="J50" i="9" s="1"/>
  <c r="I50" i="9"/>
  <c r="F50" i="9" s="1"/>
  <c r="F11" i="1"/>
  <c r="G11" i="1" s="1"/>
  <c r="K12" i="1" s="1"/>
  <c r="J11" i="1"/>
  <c r="H54" i="10" l="1"/>
  <c r="C10" i="10" s="1"/>
  <c r="J54" i="10"/>
  <c r="G50" i="9"/>
  <c r="K51" i="9" s="1"/>
  <c r="H12" i="1"/>
  <c r="J12" i="1" s="1"/>
  <c r="I12" i="1"/>
  <c r="F12" i="1" s="1"/>
  <c r="G54" i="10" l="1"/>
  <c r="K55" i="10" s="1"/>
  <c r="I55" i="10" s="1"/>
  <c r="F55" i="10" s="1"/>
  <c r="I51" i="9"/>
  <c r="F51" i="9" s="1"/>
  <c r="H51" i="9"/>
  <c r="J51" i="9" s="1"/>
  <c r="G12" i="1"/>
  <c r="K13" i="1" s="1"/>
  <c r="H13" i="1" s="1"/>
  <c r="H55" i="10" l="1"/>
  <c r="J55" i="10" s="1"/>
  <c r="G51" i="9"/>
  <c r="K52" i="9" s="1"/>
  <c r="I13" i="1"/>
  <c r="F13" i="1" s="1"/>
  <c r="G13" i="1" s="1"/>
  <c r="K14" i="1" s="1"/>
  <c r="I14" i="1" s="1"/>
  <c r="J13" i="1"/>
  <c r="G55" i="10" l="1"/>
  <c r="K56" i="10" s="1"/>
  <c r="H52" i="9"/>
  <c r="J52" i="9" s="1"/>
  <c r="I52" i="9"/>
  <c r="F52" i="9" s="1"/>
  <c r="H14" i="1"/>
  <c r="J14" i="1" s="1"/>
  <c r="F14" i="1"/>
  <c r="H56" i="10" l="1"/>
  <c r="J56" i="10" s="1"/>
  <c r="I56" i="10"/>
  <c r="F56" i="10" s="1"/>
  <c r="G56" i="10" s="1"/>
  <c r="K57" i="10" s="1"/>
  <c r="H57" i="10" s="1"/>
  <c r="J57" i="10" s="1"/>
  <c r="G52" i="9"/>
  <c r="K53" i="9" s="1"/>
  <c r="B9" i="9"/>
  <c r="G14" i="1"/>
  <c r="K15" i="1" s="1"/>
  <c r="I15" i="1" s="1"/>
  <c r="I57" i="10" l="1"/>
  <c r="F57" i="10" s="1"/>
  <c r="G57" i="10" s="1"/>
  <c r="K58" i="10" s="1"/>
  <c r="H58" i="10" s="1"/>
  <c r="J58" i="10" s="1"/>
  <c r="D6" i="4"/>
  <c r="I53" i="9"/>
  <c r="F53" i="9" s="1"/>
  <c r="H53" i="9"/>
  <c r="J53" i="9" s="1"/>
  <c r="H15" i="1"/>
  <c r="J15" i="1" s="1"/>
  <c r="F15" i="1"/>
  <c r="I58" i="10" l="1"/>
  <c r="F58" i="10" s="1"/>
  <c r="G58" i="10" s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 s="1"/>
  <c r="C11" i="10" s="1"/>
  <c r="G60" i="9"/>
  <c r="K61" i="9" s="1"/>
  <c r="G24" i="1"/>
  <c r="K25" i="1" s="1"/>
  <c r="I25" i="1" s="1"/>
  <c r="I66" i="10" l="1"/>
  <c r="F66" i="10" s="1"/>
  <c r="G66" i="10" s="1"/>
  <c r="K67" i="10" s="1"/>
  <c r="J66" i="10"/>
  <c r="I61" i="9"/>
  <c r="F61" i="9" s="1"/>
  <c r="H61" i="9"/>
  <c r="J61" i="9" s="1"/>
  <c r="H25" i="1"/>
  <c r="J25" i="1" s="1"/>
  <c r="F25" i="1"/>
  <c r="H67" i="10" l="1"/>
  <c r="I67" i="10"/>
  <c r="F67" i="10" s="1"/>
  <c r="J67" i="10"/>
  <c r="G61" i="9"/>
  <c r="K62" i="9" s="1"/>
  <c r="G25" i="1"/>
  <c r="K26" i="1" s="1"/>
  <c r="H26" i="1" s="1"/>
  <c r="J26" i="1" s="1"/>
  <c r="G67" i="10" l="1"/>
  <c r="K68" i="10" s="1"/>
  <c r="H68" i="10" s="1"/>
  <c r="H62" i="9"/>
  <c r="J62" i="9" s="1"/>
  <c r="I62" i="9"/>
  <c r="F62" i="9" s="1"/>
  <c r="I26" i="1"/>
  <c r="F26" i="1" s="1"/>
  <c r="G26" i="1" s="1"/>
  <c r="K27" i="1" s="1"/>
  <c r="I27" i="1" s="1"/>
  <c r="J68" i="10" l="1"/>
  <c r="I68" i="10"/>
  <c r="F68" i="10" s="1"/>
  <c r="G68" i="10" s="1"/>
  <c r="K69" i="10" s="1"/>
  <c r="H69" i="10" s="1"/>
  <c r="J69" i="10" s="1"/>
  <c r="G62" i="9"/>
  <c r="K63" i="9" s="1"/>
  <c r="H27" i="1"/>
  <c r="J27" i="1" s="1"/>
  <c r="F27" i="1"/>
  <c r="I69" i="10" l="1"/>
  <c r="F69" i="10" s="1"/>
  <c r="G69" i="10" s="1"/>
  <c r="K70" i="10" s="1"/>
  <c r="H70" i="10" s="1"/>
  <c r="J70" i="10" s="1"/>
  <c r="I63" i="9"/>
  <c r="F63" i="9" s="1"/>
  <c r="H63" i="9"/>
  <c r="J63" i="9" s="1"/>
  <c r="G27" i="1"/>
  <c r="K28" i="1" s="1"/>
  <c r="H28" i="1" s="1"/>
  <c r="I70" i="10" l="1"/>
  <c r="F70" i="10" s="1"/>
  <c r="G70" i="10" s="1"/>
  <c r="K71" i="10" s="1"/>
  <c r="H71" i="10" s="1"/>
  <c r="J71" i="10" s="1"/>
  <c r="I28" i="1"/>
  <c r="F28" i="1" s="1"/>
  <c r="B7" i="1" s="1"/>
  <c r="G63" i="9"/>
  <c r="K64" i="9" s="1"/>
  <c r="J28" i="1"/>
  <c r="I71" i="10" l="1"/>
  <c r="F71" i="10" s="1"/>
  <c r="G71" i="10" s="1"/>
  <c r="K72" i="10" s="1"/>
  <c r="J72" i="10" s="1"/>
  <c r="G28" i="1"/>
  <c r="K29" i="1" s="1"/>
  <c r="I29" i="1" s="1"/>
  <c r="H64" i="9"/>
  <c r="J64" i="9" s="1"/>
  <c r="I64" i="9"/>
  <c r="F64" i="9" s="1"/>
  <c r="H72" i="10" l="1"/>
  <c r="I72" i="10"/>
  <c r="F72" i="10" s="1"/>
  <c r="G72" i="10" s="1"/>
  <c r="K73" i="10" s="1"/>
  <c r="H73" i="10" s="1"/>
  <c r="G64" i="9"/>
  <c r="K65" i="9" s="1"/>
  <c r="B10" i="9"/>
  <c r="D7" i="4" s="1"/>
  <c r="H29" i="1"/>
  <c r="J29" i="1" s="1"/>
  <c r="I73" i="10" l="1"/>
  <c r="F73" i="10" s="1"/>
  <c r="G73" i="10" s="1"/>
  <c r="K74" i="10" s="1"/>
  <c r="H74" i="10" s="1"/>
  <c r="J74" i="10" s="1"/>
  <c r="J73" i="10"/>
  <c r="I65" i="9"/>
  <c r="H65" i="9"/>
  <c r="J65" i="9" s="1"/>
  <c r="F29" i="1"/>
  <c r="G29" i="1" s="1"/>
  <c r="K30" i="1" s="1"/>
  <c r="H30" i="1" s="1"/>
  <c r="C8" i="1" s="1"/>
  <c r="H4" i="2" s="1"/>
  <c r="I74" i="10" l="1"/>
  <c r="F74" i="10" s="1"/>
  <c r="G74" i="10" s="1"/>
  <c r="K75" i="10" s="1"/>
  <c r="I75" i="10" s="1"/>
  <c r="F65" i="9"/>
  <c r="G65" i="9" s="1"/>
  <c r="K66" i="9" s="1"/>
  <c r="I30" i="1"/>
  <c r="F30" i="1" s="1"/>
  <c r="G30" i="1" s="1"/>
  <c r="K31" i="1" s="1"/>
  <c r="I31" i="1" s="1"/>
  <c r="J30" i="1"/>
  <c r="H75" i="10" l="1"/>
  <c r="F75" i="10" s="1"/>
  <c r="G75" i="10" s="1"/>
  <c r="K76" i="10" s="1"/>
  <c r="I76" i="10" s="1"/>
  <c r="F76" i="10" s="1"/>
  <c r="J75" i="10"/>
  <c r="I66" i="9"/>
  <c r="H66" i="9"/>
  <c r="C11" i="9" s="1"/>
  <c r="H31" i="1"/>
  <c r="B11" i="10" l="1"/>
  <c r="J76" i="10"/>
  <c r="H76" i="10"/>
  <c r="G76" i="10" s="1"/>
  <c r="K77" i="10" s="1"/>
  <c r="H77" i="10" s="1"/>
  <c r="F66" i="9"/>
  <c r="G66" i="9" s="1"/>
  <c r="K67" i="9" s="1"/>
  <c r="J66" i="9"/>
  <c r="F31" i="1"/>
  <c r="G31" i="1" s="1"/>
  <c r="K32" i="1" s="1"/>
  <c r="H32" i="1" s="1"/>
  <c r="J31" i="1"/>
  <c r="J77" i="10" l="1"/>
  <c r="I77" i="10"/>
  <c r="F77" i="10" s="1"/>
  <c r="G77" i="10" s="1"/>
  <c r="K78" i="10" s="1"/>
  <c r="H78" i="10" s="1"/>
  <c r="C12" i="10" s="1"/>
  <c r="I67" i="9"/>
  <c r="H67" i="9"/>
  <c r="J67" i="9" s="1"/>
  <c r="J32" i="1"/>
  <c r="I32" i="1"/>
  <c r="F32" i="1" s="1"/>
  <c r="G32" i="1" s="1"/>
  <c r="K33" i="1" s="1"/>
  <c r="I33" i="1" s="1"/>
  <c r="I78" i="10" l="1"/>
  <c r="F78" i="10" s="1"/>
  <c r="G78" i="10" s="1"/>
  <c r="K79" i="10" s="1"/>
  <c r="I79" i="10" s="1"/>
  <c r="J78" i="10"/>
  <c r="F67" i="9"/>
  <c r="G67" i="9" s="1"/>
  <c r="K68" i="9" s="1"/>
  <c r="H33" i="1"/>
  <c r="F33" i="1" s="1"/>
  <c r="H79" i="10" l="1"/>
  <c r="F79" i="10"/>
  <c r="J79" i="10"/>
  <c r="I68" i="9"/>
  <c r="H68" i="9"/>
  <c r="J68" i="9" s="1"/>
  <c r="J33" i="1"/>
  <c r="G33" i="1"/>
  <c r="K34" i="1" s="1"/>
  <c r="I34" i="1" s="1"/>
  <c r="G79" i="10" l="1"/>
  <c r="K80" i="10" s="1"/>
  <c r="I80" i="10" s="1"/>
  <c r="F68" i="9"/>
  <c r="G68" i="9" s="1"/>
  <c r="K69" i="9" s="1"/>
  <c r="H34" i="1"/>
  <c r="J34" i="1" s="1"/>
  <c r="H80" i="10" l="1"/>
  <c r="F80" i="10"/>
  <c r="J80" i="10"/>
  <c r="I69" i="9"/>
  <c r="H69" i="9"/>
  <c r="J69" i="9" s="1"/>
  <c r="F34" i="1"/>
  <c r="G34" i="1" s="1"/>
  <c r="K35" i="1" s="1"/>
  <c r="I35" i="1" s="1"/>
  <c r="G80" i="10" l="1"/>
  <c r="K81" i="10" s="1"/>
  <c r="I81" i="10" s="1"/>
  <c r="F69" i="9"/>
  <c r="G69" i="9" s="1"/>
  <c r="K70" i="9" s="1"/>
  <c r="H35" i="1"/>
  <c r="J35" i="1" s="1"/>
  <c r="H81" i="10" l="1"/>
  <c r="F81" i="10"/>
  <c r="J81" i="10"/>
  <c r="I70" i="9"/>
  <c r="H70" i="9"/>
  <c r="J70" i="9" s="1"/>
  <c r="F35" i="1"/>
  <c r="G35" i="1" s="1"/>
  <c r="K36" i="1" s="1"/>
  <c r="I36" i="1" s="1"/>
  <c r="G81" i="10" l="1"/>
  <c r="K82" i="10" s="1"/>
  <c r="H82" i="10" s="1"/>
  <c r="F70" i="9"/>
  <c r="G70" i="9" s="1"/>
  <c r="K71" i="9" s="1"/>
  <c r="H36" i="1"/>
  <c r="J36" i="1" s="1"/>
  <c r="I82" i="10" l="1"/>
  <c r="F82" i="10" s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H39" i="1"/>
  <c r="I74" i="9" l="1"/>
  <c r="F74" i="9" s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F75" i="9"/>
  <c r="G75" i="9" s="1"/>
  <c r="K76" i="9" s="1"/>
  <c r="G40" i="1"/>
  <c r="K41" i="1" s="1"/>
  <c r="H41" i="1" s="1"/>
  <c r="G89" i="10" l="1"/>
  <c r="K90" i="10" s="1"/>
  <c r="H90" i="10" s="1"/>
  <c r="C13" i="10" s="1"/>
  <c r="H76" i="9"/>
  <c r="J76" i="9" s="1"/>
  <c r="I76" i="9"/>
  <c r="J41" i="1"/>
  <c r="I41" i="1"/>
  <c r="F41" i="1" s="1"/>
  <c r="G41" i="1" s="1"/>
  <c r="K42" i="1" s="1"/>
  <c r="I42" i="1" s="1"/>
  <c r="I90" i="10" l="1"/>
  <c r="F90" i="10" s="1"/>
  <c r="G90" i="10" s="1"/>
  <c r="K91" i="10" s="1"/>
  <c r="F76" i="9"/>
  <c r="G76" i="9" s="1"/>
  <c r="K77" i="9" s="1"/>
  <c r="J90" i="10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I89" i="9"/>
  <c r="H89" i="9"/>
  <c r="J89" i="9" s="1"/>
  <c r="J57" i="1"/>
  <c r="I57" i="1"/>
  <c r="F57" i="1" s="1"/>
  <c r="G57" i="1" s="1"/>
  <c r="K58" i="1" s="1"/>
  <c r="I58" i="1" s="1"/>
  <c r="U9" i="4" l="1"/>
  <c r="F89" i="9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H68" i="1"/>
  <c r="G99" i="9" l="1"/>
  <c r="K100" i="9" s="1"/>
  <c r="I100" i="9" s="1"/>
  <c r="G111" i="10"/>
  <c r="K112" i="10" s="1"/>
  <c r="J68" i="1"/>
  <c r="F68" i="1"/>
  <c r="G68" i="1" s="1"/>
  <c r="K69" i="1" s="1"/>
  <c r="I69" i="1" s="1"/>
  <c r="H100" i="9" l="1"/>
  <c r="J100" i="9" s="1"/>
  <c r="F100" i="9"/>
  <c r="I112" i="10"/>
  <c r="H112" i="10"/>
  <c r="H69" i="1"/>
  <c r="J69" i="1" s="1"/>
  <c r="G100" i="9" l="1"/>
  <c r="K101" i="9" s="1"/>
  <c r="H101" i="9" s="1"/>
  <c r="J101" i="9" s="1"/>
  <c r="B13" i="9"/>
  <c r="D10" i="4" s="1"/>
  <c r="T10" i="4" s="1"/>
  <c r="F112" i="10"/>
  <c r="J112" i="10"/>
  <c r="I101" i="9"/>
  <c r="F69" i="1"/>
  <c r="G69" i="1" s="1"/>
  <c r="K70" i="1" s="1"/>
  <c r="H70" i="1" s="1"/>
  <c r="J70" i="1" s="1"/>
  <c r="U10" i="4" l="1"/>
  <c r="F101" i="9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I109" i="9" s="1"/>
  <c r="G117" i="10"/>
  <c r="K118" i="10" s="1"/>
  <c r="J79" i="1"/>
  <c r="F79" i="1"/>
  <c r="G79" i="1" s="1"/>
  <c r="K80" i="1" s="1"/>
  <c r="H80" i="1" s="1"/>
  <c r="H109" i="9" l="1"/>
  <c r="J109" i="9" s="1"/>
  <c r="F109" i="9"/>
  <c r="H118" i="10"/>
  <c r="J118" i="10"/>
  <c r="I118" i="10"/>
  <c r="J80" i="1"/>
  <c r="I80" i="1"/>
  <c r="F80" i="1" s="1"/>
  <c r="G80" i="1" s="1"/>
  <c r="K81" i="1" s="1"/>
  <c r="G109" i="9" l="1"/>
  <c r="K110" i="9" s="1"/>
  <c r="I110" i="9" s="1"/>
  <c r="F118" i="10"/>
  <c r="G118" i="10" s="1"/>
  <c r="K119" i="10" s="1"/>
  <c r="I81" i="1"/>
  <c r="H81" i="1"/>
  <c r="H110" i="9" l="1"/>
  <c r="J110" i="9" s="1"/>
  <c r="F110" i="9"/>
  <c r="H119" i="10"/>
  <c r="J119" i="10" s="1"/>
  <c r="I119" i="10"/>
  <c r="J81" i="1"/>
  <c r="F81" i="1"/>
  <c r="G81" i="1" s="1"/>
  <c r="K82" i="1" s="1"/>
  <c r="I82" i="1" s="1"/>
  <c r="G110" i="9" l="1"/>
  <c r="K111" i="9" s="1"/>
  <c r="I111" i="9" s="1"/>
  <c r="F119" i="10"/>
  <c r="G119" i="10" s="1"/>
  <c r="K120" i="10" s="1"/>
  <c r="H82" i="1"/>
  <c r="H111" i="9" l="1"/>
  <c r="J111" i="9" s="1"/>
  <c r="F111" i="9"/>
  <c r="H120" i="10"/>
  <c r="I120" i="10"/>
  <c r="J82" i="1"/>
  <c r="F82" i="1"/>
  <c r="G82" i="1" s="1"/>
  <c r="K83" i="1" s="1"/>
  <c r="G111" i="9" l="1"/>
  <c r="K112" i="9" s="1"/>
  <c r="H112" i="9" s="1"/>
  <c r="J112" i="9" s="1"/>
  <c r="F120" i="10"/>
  <c r="G120" i="10" s="1"/>
  <c r="K121" i="10" s="1"/>
  <c r="J120" i="10"/>
  <c r="H83" i="1"/>
  <c r="I83" i="1"/>
  <c r="I112" i="9" l="1"/>
  <c r="F112" i="9" s="1"/>
  <c r="G112" i="9" s="1"/>
  <c r="K113" i="9" s="1"/>
  <c r="H121" i="10"/>
  <c r="J121" i="10" s="1"/>
  <c r="I121" i="10"/>
  <c r="J83" i="1"/>
  <c r="F83" i="1"/>
  <c r="G83" i="1" s="1"/>
  <c r="K84" i="1" s="1"/>
  <c r="H84" i="1" s="1"/>
  <c r="B14" i="9" l="1"/>
  <c r="D11" i="4" s="1"/>
  <c r="T11" i="4" s="1"/>
  <c r="U11" i="4" s="1"/>
  <c r="F121" i="10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23" i="9"/>
  <c r="G123" i="9" s="1"/>
  <c r="K124" i="9" s="1"/>
  <c r="I99" i="1"/>
  <c r="F99" i="1" s="1"/>
  <c r="G99" i="1" s="1"/>
  <c r="K100" i="1" s="1"/>
  <c r="H100" i="1" s="1"/>
  <c r="F132" i="10" l="1"/>
  <c r="G132" i="10" s="1"/>
  <c r="K133" i="10" s="1"/>
  <c r="I133" i="10" s="1"/>
  <c r="H124" i="9"/>
  <c r="J124" i="9" s="1"/>
  <c r="I124" i="9"/>
  <c r="I100" i="1"/>
  <c r="F100" i="1" s="1"/>
  <c r="B13" i="1" s="1"/>
  <c r="J100" i="1"/>
  <c r="H133" i="10" l="1"/>
  <c r="F133" i="10" s="1"/>
  <c r="G133" i="10" s="1"/>
  <c r="K134" i="10" s="1"/>
  <c r="I134" i="10" s="1"/>
  <c r="J133" i="10"/>
  <c r="F124" i="9"/>
  <c r="G124" i="9" s="1"/>
  <c r="K125" i="9" s="1"/>
  <c r="G100" i="1"/>
  <c r="K101" i="1" s="1"/>
  <c r="I101" i="1" s="1"/>
  <c r="J134" i="10" l="1"/>
  <c r="H134" i="10"/>
  <c r="F134" i="10" s="1"/>
  <c r="G134" i="10" s="1"/>
  <c r="K135" i="10" s="1"/>
  <c r="H135" i="10" s="1"/>
  <c r="B15" i="9"/>
  <c r="D12" i="4" s="1"/>
  <c r="T12" i="4" s="1"/>
  <c r="I125" i="9"/>
  <c r="H125" i="9"/>
  <c r="J125" i="9" s="1"/>
  <c r="H101" i="1"/>
  <c r="I135" i="10" l="1"/>
  <c r="F135" i="10" s="1"/>
  <c r="G135" i="10" s="1"/>
  <c r="K136" i="10" s="1"/>
  <c r="H136" i="10" s="1"/>
  <c r="J135" i="10"/>
  <c r="U12" i="4"/>
  <c r="F125" i="9"/>
  <c r="G125" i="9" s="1"/>
  <c r="K126" i="9" s="1"/>
  <c r="J101" i="1"/>
  <c r="F101" i="1"/>
  <c r="G101" i="1" s="1"/>
  <c r="K102" i="1" s="1"/>
  <c r="I102" i="1" s="1"/>
  <c r="I136" i="10" l="1"/>
  <c r="F136" i="10" s="1"/>
  <c r="G136" i="10" s="1"/>
  <c r="K137" i="10" s="1"/>
  <c r="J137" i="10" s="1"/>
  <c r="J136" i="10"/>
  <c r="H126" i="9"/>
  <c r="C16" i="9" s="1"/>
  <c r="I126" i="9"/>
  <c r="F126" i="9" s="1"/>
  <c r="H102" i="1"/>
  <c r="C14" i="1" s="1"/>
  <c r="B16" i="10" l="1"/>
  <c r="H137" i="10"/>
  <c r="I137" i="10"/>
  <c r="F137" i="10" s="1"/>
  <c r="H10" i="2"/>
  <c r="G126" i="9"/>
  <c r="K127" i="9" s="1"/>
  <c r="J126" i="9"/>
  <c r="J102" i="1"/>
  <c r="F102" i="1"/>
  <c r="G102" i="1" s="1"/>
  <c r="K103" i="1" s="1"/>
  <c r="I103" i="1" s="1"/>
  <c r="G137" i="10" l="1"/>
  <c r="K138" i="10" s="1"/>
  <c r="H138" i="10" s="1"/>
  <c r="C17" i="10" s="1"/>
  <c r="I127" i="9"/>
  <c r="H127" i="9"/>
  <c r="J127" i="9" s="1"/>
  <c r="H103" i="1"/>
  <c r="J138" i="10" l="1"/>
  <c r="I138" i="10"/>
  <c r="F138" i="10" s="1"/>
  <c r="G138" i="10" s="1"/>
  <c r="K139" i="10" s="1"/>
  <c r="F127" i="9"/>
  <c r="G127" i="9" s="1"/>
  <c r="K128" i="9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I115" i="1"/>
  <c r="F115" i="1" s="1"/>
  <c r="G115" i="1" s="1"/>
  <c r="K116" i="1" s="1"/>
  <c r="I116" i="1" s="1"/>
  <c r="J115" i="1"/>
  <c r="G136" i="9" l="1"/>
  <c r="K137" i="9" s="1"/>
  <c r="H137" i="9" s="1"/>
  <c r="J137" i="9" s="1"/>
  <c r="J148" i="10"/>
  <c r="H148" i="10"/>
  <c r="I148" i="10"/>
  <c r="B16" i="9"/>
  <c r="D13" i="4" s="1"/>
  <c r="T13" i="4" s="1"/>
  <c r="H116" i="1"/>
  <c r="J116" i="1" s="1"/>
  <c r="I137" i="9" l="1"/>
  <c r="F137" i="9" s="1"/>
  <c r="G137" i="9" s="1"/>
  <c r="K138" i="9" s="1"/>
  <c r="U13" i="4"/>
  <c r="F148" i="10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F139" i="9"/>
  <c r="G139" i="9" s="1"/>
  <c r="K140" i="9" s="1"/>
  <c r="F118" i="1"/>
  <c r="G118" i="1" s="1"/>
  <c r="K119" i="1" s="1"/>
  <c r="H119" i="1" s="1"/>
  <c r="J119" i="1" s="1"/>
  <c r="G150" i="10" l="1"/>
  <c r="K151" i="10" s="1"/>
  <c r="I151" i="10" s="1"/>
  <c r="I140" i="9"/>
  <c r="H140" i="9"/>
  <c r="J140" i="9" s="1"/>
  <c r="I119" i="1"/>
  <c r="F119" i="1" s="1"/>
  <c r="G119" i="1" s="1"/>
  <c r="K120" i="1" s="1"/>
  <c r="I120" i="1" s="1"/>
  <c r="J151" i="10" l="1"/>
  <c r="H151" i="10"/>
  <c r="F151" i="10"/>
  <c r="F140" i="9"/>
  <c r="G140" i="9" s="1"/>
  <c r="K141" i="9" s="1"/>
  <c r="H120" i="1"/>
  <c r="J120" i="1" s="1"/>
  <c r="G151" i="10" l="1"/>
  <c r="K152" i="10" s="1"/>
  <c r="H152" i="10" s="1"/>
  <c r="I141" i="9"/>
  <c r="H141" i="9"/>
  <c r="J141" i="9" s="1"/>
  <c r="F120" i="1"/>
  <c r="G120" i="1" s="1"/>
  <c r="K121" i="1" s="1"/>
  <c r="I121" i="1" s="1"/>
  <c r="I152" i="10" l="1"/>
  <c r="F152" i="10" s="1"/>
  <c r="G152" i="10" s="1"/>
  <c r="K153" i="10" s="1"/>
  <c r="I153" i="10" s="1"/>
  <c r="J152" i="10"/>
  <c r="F141" i="9"/>
  <c r="G141" i="9" s="1"/>
  <c r="K142" i="9" s="1"/>
  <c r="H121" i="1"/>
  <c r="J121" i="1" s="1"/>
  <c r="J153" i="10" l="1"/>
  <c r="H153" i="10"/>
  <c r="F153" i="10"/>
  <c r="I142" i="9"/>
  <c r="H142" i="9"/>
  <c r="J142" i="9" s="1"/>
  <c r="F121" i="1"/>
  <c r="G121" i="1" s="1"/>
  <c r="K122" i="1" s="1"/>
  <c r="H122" i="1" s="1"/>
  <c r="J122" i="1" s="1"/>
  <c r="G153" i="10" l="1"/>
  <c r="K154" i="10" s="1"/>
  <c r="H154" i="10" s="1"/>
  <c r="F142" i="9"/>
  <c r="G142" i="9" s="1"/>
  <c r="K143" i="9" s="1"/>
  <c r="I122" i="1"/>
  <c r="F122" i="1" s="1"/>
  <c r="G122" i="1" s="1"/>
  <c r="K123" i="1" s="1"/>
  <c r="I123" i="1" s="1"/>
  <c r="I154" i="10" l="1"/>
  <c r="F154" i="10" s="1"/>
  <c r="G154" i="10" s="1"/>
  <c r="K155" i="10" s="1"/>
  <c r="J154" i="10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H125" i="1"/>
  <c r="G145" i="9" l="1"/>
  <c r="K146" i="9" s="1"/>
  <c r="I146" i="9" s="1"/>
  <c r="G156" i="10"/>
  <c r="K157" i="10" s="1"/>
  <c r="J125" i="1"/>
  <c r="F125" i="1"/>
  <c r="G125" i="1" s="1"/>
  <c r="K126" i="1" s="1"/>
  <c r="I126" i="1" s="1"/>
  <c r="H146" i="9" l="1"/>
  <c r="J146" i="9" s="1"/>
  <c r="H157" i="10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I149" i="9"/>
  <c r="H149" i="9"/>
  <c r="J149" i="9" s="1"/>
  <c r="H129" i="1"/>
  <c r="U14" i="4" l="1"/>
  <c r="H159" i="10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I154" i="9"/>
  <c r="H154" i="9"/>
  <c r="J154" i="9" s="1"/>
  <c r="I136" i="1"/>
  <c r="F136" i="1" s="1"/>
  <c r="G136" i="1" s="1"/>
  <c r="K137" i="1" s="1"/>
  <c r="H137" i="1" s="1"/>
  <c r="J136" i="1"/>
  <c r="F163" i="10" l="1"/>
  <c r="G163" i="10" s="1"/>
  <c r="K164" i="10" s="1"/>
  <c r="J164" i="10" s="1"/>
  <c r="F154" i="9"/>
  <c r="G154" i="9" s="1"/>
  <c r="K155" i="9" s="1"/>
  <c r="I137" i="1"/>
  <c r="F137" i="1" s="1"/>
  <c r="G137" i="1" s="1"/>
  <c r="K138" i="1" s="1"/>
  <c r="I138" i="1" s="1"/>
  <c r="J137" i="1"/>
  <c r="B16" i="1"/>
  <c r="H164" i="10" l="1"/>
  <c r="I164" i="10"/>
  <c r="F164" i="10" s="1"/>
  <c r="I155" i="9"/>
  <c r="H155" i="9"/>
  <c r="J155" i="9" s="1"/>
  <c r="H138" i="1"/>
  <c r="C17" i="1" s="1"/>
  <c r="G164" i="10" l="1"/>
  <c r="K165" i="10" s="1"/>
  <c r="I165" i="10" s="1"/>
  <c r="H13" i="2"/>
  <c r="F155" i="9"/>
  <c r="G155" i="9" s="1"/>
  <c r="K156" i="9" s="1"/>
  <c r="J138" i="1"/>
  <c r="F138" i="1"/>
  <c r="G138" i="1" s="1"/>
  <c r="K139" i="1" s="1"/>
  <c r="I139" i="1" s="1"/>
  <c r="J165" i="10" l="1"/>
  <c r="H165" i="10"/>
  <c r="F165" i="10"/>
  <c r="H156" i="9"/>
  <c r="J156" i="9" s="1"/>
  <c r="I156" i="9"/>
  <c r="F156" i="9" s="1"/>
  <c r="H139" i="1"/>
  <c r="G165" i="10" l="1"/>
  <c r="K166" i="10" s="1"/>
  <c r="H166" i="10" s="1"/>
  <c r="G156" i="9"/>
  <c r="K157" i="9" s="1"/>
  <c r="H157" i="9" s="1"/>
  <c r="J157" i="9" s="1"/>
  <c r="J139" i="1"/>
  <c r="F139" i="1"/>
  <c r="G139" i="1" s="1"/>
  <c r="K140" i="1" s="1"/>
  <c r="I140" i="1" s="1"/>
  <c r="I157" i="9" l="1"/>
  <c r="F157" i="9" s="1"/>
  <c r="G157" i="9" s="1"/>
  <c r="K158" i="9" s="1"/>
  <c r="J166" i="10"/>
  <c r="I166" i="10"/>
  <c r="F166" i="10" s="1"/>
  <c r="H140" i="1"/>
  <c r="J140" i="1" s="1"/>
  <c r="G166" i="10" l="1"/>
  <c r="K167" i="10" s="1"/>
  <c r="H158" i="9"/>
  <c r="J158" i="9" s="1"/>
  <c r="I158" i="9"/>
  <c r="F158" i="9" s="1"/>
  <c r="F140" i="1"/>
  <c r="G140" i="1" s="1"/>
  <c r="K141" i="1" s="1"/>
  <c r="I141" i="1" s="1"/>
  <c r="G158" i="9" l="1"/>
  <c r="K159" i="9" s="1"/>
  <c r="H159" i="9" s="1"/>
  <c r="J159" i="9" s="1"/>
  <c r="H167" i="10"/>
  <c r="J167" i="10"/>
  <c r="I167" i="10"/>
  <c r="I159" i="9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F142" i="1"/>
  <c r="G142" i="1" s="1"/>
  <c r="K143" i="1" s="1"/>
  <c r="H143" i="1" s="1"/>
  <c r="U15" i="4" l="1"/>
  <c r="F168" i="10"/>
  <c r="G168" i="10" s="1"/>
  <c r="K169" i="10" s="1"/>
  <c r="G160" i="9"/>
  <c r="K161" i="9" s="1"/>
  <c r="H161" i="9" s="1"/>
  <c r="J161" i="9" s="1"/>
  <c r="I143" i="1"/>
  <c r="F143" i="1" s="1"/>
  <c r="G143" i="1" s="1"/>
  <c r="K144" i="1" s="1"/>
  <c r="I144" i="1" s="1"/>
  <c r="J143" i="1"/>
  <c r="I161" i="9" l="1"/>
  <c r="F161" i="9" s="1"/>
  <c r="G161" i="9" s="1"/>
  <c r="K162" i="9" s="1"/>
  <c r="H169" i="10"/>
  <c r="J169" i="10"/>
  <c r="I169" i="10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H172" i="10" s="1"/>
  <c r="I164" i="9"/>
  <c r="H164" i="9"/>
  <c r="J164" i="9" s="1"/>
  <c r="H148" i="1"/>
  <c r="J147" i="1"/>
  <c r="I172" i="10" l="1"/>
  <c r="F172" i="10" s="1"/>
  <c r="J172" i="10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U16" i="4" l="1"/>
  <c r="H179" i="10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I185" i="9"/>
  <c r="H185" i="9"/>
  <c r="J176" i="1"/>
  <c r="I176" i="1"/>
  <c r="F176" i="1" s="1"/>
  <c r="G176" i="1" s="1"/>
  <c r="K177" i="1" s="1"/>
  <c r="I177" i="1" s="1"/>
  <c r="U17" i="4" l="1"/>
  <c r="I189" i="10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J187" i="9"/>
  <c r="H187" i="9"/>
  <c r="I187" i="9"/>
  <c r="I179" i="1"/>
  <c r="F179" i="1" s="1"/>
  <c r="G179" i="1" s="1"/>
  <c r="K180" i="1" s="1"/>
  <c r="I180" i="1" s="1"/>
  <c r="F190" i="10" l="1"/>
  <c r="G190" i="10" s="1"/>
  <c r="K191" i="10" s="1"/>
  <c r="H191" i="10" s="1"/>
  <c r="F187" i="9"/>
  <c r="G187" i="9" s="1"/>
  <c r="K188" i="9" s="1"/>
  <c r="H180" i="1"/>
  <c r="J180" i="1" s="1"/>
  <c r="I191" i="10" l="1"/>
  <c r="F191" i="10" s="1"/>
  <c r="G191" i="10" s="1"/>
  <c r="K192" i="10" s="1"/>
  <c r="J191" i="10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J188" i="1"/>
  <c r="I188" i="1"/>
  <c r="F188" i="1" s="1"/>
  <c r="G188" i="1" s="1"/>
  <c r="K189" i="1" s="1"/>
  <c r="I189" i="1" s="1"/>
  <c r="B21" i="10" l="1"/>
  <c r="I195" i="9"/>
  <c r="F195" i="9" s="1"/>
  <c r="G195" i="9" s="1"/>
  <c r="K196" i="9" s="1"/>
  <c r="J196" i="9" s="1"/>
  <c r="J195" i="9"/>
  <c r="J197" i="10"/>
  <c r="I197" i="10"/>
  <c r="H197" i="10"/>
  <c r="H189" i="1"/>
  <c r="J189" i="1" s="1"/>
  <c r="H196" i="9" l="1"/>
  <c r="I196" i="9"/>
  <c r="F196" i="9" s="1"/>
  <c r="B21" i="9" s="1"/>
  <c r="D18" i="4" s="1"/>
  <c r="T18" i="4" s="1"/>
  <c r="F197" i="10"/>
  <c r="F189" i="1"/>
  <c r="G189" i="1" s="1"/>
  <c r="K190" i="1" s="1"/>
  <c r="I190" i="1" s="1"/>
  <c r="U18" i="4" l="1"/>
  <c r="G196" i="9"/>
  <c r="K197" i="9" s="1"/>
  <c r="J197" i="9" s="1"/>
  <c r="G197" i="10"/>
  <c r="K198" i="10" s="1"/>
  <c r="H190" i="1"/>
  <c r="J190" i="1" s="1"/>
  <c r="H197" i="9" l="1"/>
  <c r="I197" i="9"/>
  <c r="F197" i="9" s="1"/>
  <c r="J198" i="10"/>
  <c r="H198" i="10"/>
  <c r="C22" i="10" s="1"/>
  <c r="I198" i="10"/>
  <c r="F198" i="10" s="1"/>
  <c r="F190" i="1"/>
  <c r="G190" i="1" s="1"/>
  <c r="K191" i="1" s="1"/>
  <c r="I191" i="1" s="1"/>
  <c r="G197" i="9" l="1"/>
  <c r="K198" i="9" s="1"/>
  <c r="H198" i="9" s="1"/>
  <c r="C22" i="9" s="1"/>
  <c r="G198" i="10"/>
  <c r="K199" i="10" s="1"/>
  <c r="H191" i="1"/>
  <c r="J191" i="1" s="1"/>
  <c r="I198" i="9" l="1"/>
  <c r="F198" i="9" s="1"/>
  <c r="G198" i="9" s="1"/>
  <c r="K199" i="9" s="1"/>
  <c r="J199" i="9" s="1"/>
  <c r="J198" i="9"/>
  <c r="H199" i="10"/>
  <c r="J199" i="10"/>
  <c r="I199" i="10"/>
  <c r="F191" i="1"/>
  <c r="G191" i="1" s="1"/>
  <c r="K192" i="1" s="1"/>
  <c r="I192" i="1" s="1"/>
  <c r="H199" i="9" l="1"/>
  <c r="I199" i="9"/>
  <c r="F199" i="9" s="1"/>
  <c r="G199" i="9" s="1"/>
  <c r="K200" i="9" s="1"/>
  <c r="F199" i="10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J208" i="10"/>
  <c r="I208" i="10"/>
  <c r="H208" i="10"/>
  <c r="H204" i="1"/>
  <c r="J204" i="1" s="1"/>
  <c r="G209" i="9" l="1"/>
  <c r="K210" i="9" s="1"/>
  <c r="I210" i="9" s="1"/>
  <c r="F210" i="9" s="1"/>
  <c r="F208" i="10"/>
  <c r="F204" i="1"/>
  <c r="G204" i="1" s="1"/>
  <c r="K205" i="1" s="1"/>
  <c r="H205" i="1" s="1"/>
  <c r="J205" i="1" s="1"/>
  <c r="J210" i="9" l="1"/>
  <c r="H210" i="9"/>
  <c r="C23" i="9" s="1"/>
  <c r="G208" i="10"/>
  <c r="K209" i="10" s="1"/>
  <c r="B22" i="10"/>
  <c r="D19" i="4" s="1"/>
  <c r="T19" i="4" s="1"/>
  <c r="I205" i="1"/>
  <c r="F205" i="1" s="1"/>
  <c r="G205" i="1" s="1"/>
  <c r="K206" i="1" s="1"/>
  <c r="I206" i="1" s="1"/>
  <c r="U19" i="4" l="1"/>
  <c r="G210" i="9"/>
  <c r="K211" i="9" s="1"/>
  <c r="H211" i="9" s="1"/>
  <c r="I209" i="10"/>
  <c r="H209" i="10"/>
  <c r="J209" i="10"/>
  <c r="H206" i="1"/>
  <c r="J206" i="1" s="1"/>
  <c r="J211" i="9" l="1"/>
  <c r="I211" i="9"/>
  <c r="F211" i="9" s="1"/>
  <c r="G211" i="9" s="1"/>
  <c r="K212" i="9" s="1"/>
  <c r="F209" i="10"/>
  <c r="F206" i="1"/>
  <c r="G206" i="1" s="1"/>
  <c r="K207" i="1" s="1"/>
  <c r="I207" i="1" s="1"/>
  <c r="I212" i="9" l="1"/>
  <c r="F212" i="9" s="1"/>
  <c r="H212" i="9"/>
  <c r="J212" i="9"/>
  <c r="G209" i="10"/>
  <c r="K210" i="10" s="1"/>
  <c r="H207" i="1"/>
  <c r="J207" i="1" s="1"/>
  <c r="G212" i="9" l="1"/>
  <c r="K213" i="9" s="1"/>
  <c r="I213" i="9" s="1"/>
  <c r="F213" i="9" s="1"/>
  <c r="I210" i="10"/>
  <c r="F210" i="10" s="1"/>
  <c r="J210" i="10"/>
  <c r="H210" i="10"/>
  <c r="C23" i="10" s="1"/>
  <c r="F207" i="1"/>
  <c r="G207" i="1" s="1"/>
  <c r="K208" i="1" s="1"/>
  <c r="H208" i="1" s="1"/>
  <c r="J213" i="9" l="1"/>
  <c r="H213" i="9"/>
  <c r="G213" i="9" s="1"/>
  <c r="K214" i="9" s="1"/>
  <c r="I214" i="9" s="1"/>
  <c r="F214" i="9" s="1"/>
  <c r="G210" i="10"/>
  <c r="K211" i="10" s="1"/>
  <c r="I208" i="1"/>
  <c r="F208" i="1" s="1"/>
  <c r="B22" i="1" s="1"/>
  <c r="J208" i="1"/>
  <c r="J214" i="9" l="1"/>
  <c r="H214" i="9"/>
  <c r="G214" i="9" s="1"/>
  <c r="K215" i="9" s="1"/>
  <c r="H211" i="10"/>
  <c r="J211" i="10"/>
  <c r="I211" i="10"/>
  <c r="G208" i="1"/>
  <c r="K209" i="1" s="1"/>
  <c r="H209" i="1" s="1"/>
  <c r="J215" i="9" l="1"/>
  <c r="H215" i="9"/>
  <c r="I215" i="9"/>
  <c r="F215" i="9" s="1"/>
  <c r="F211" i="10"/>
  <c r="I209" i="1"/>
  <c r="F209" i="1" s="1"/>
  <c r="G209" i="1" s="1"/>
  <c r="K210" i="1" s="1"/>
  <c r="H210" i="1" s="1"/>
  <c r="C23" i="1" s="1"/>
  <c r="J209" i="1"/>
  <c r="G215" i="9" l="1"/>
  <c r="K216" i="9" s="1"/>
  <c r="J216" i="9" s="1"/>
  <c r="G211" i="10"/>
  <c r="K212" i="10" s="1"/>
  <c r="H19" i="2"/>
  <c r="I210" i="1"/>
  <c r="F210" i="1" s="1"/>
  <c r="G210" i="1" s="1"/>
  <c r="K211" i="1" s="1"/>
  <c r="H211" i="1" s="1"/>
  <c r="J210" i="1"/>
  <c r="I216" i="9" l="1"/>
  <c r="F216" i="9" s="1"/>
  <c r="H216" i="9"/>
  <c r="J212" i="10"/>
  <c r="I212" i="10"/>
  <c r="H212" i="10"/>
  <c r="I211" i="1"/>
  <c r="F211" i="1" s="1"/>
  <c r="G211" i="1" s="1"/>
  <c r="K212" i="1" s="1"/>
  <c r="H212" i="1" s="1"/>
  <c r="J211" i="1"/>
  <c r="G216" i="9" l="1"/>
  <c r="K217" i="9" s="1"/>
  <c r="I217" i="9" s="1"/>
  <c r="F217" i="9" s="1"/>
  <c r="F212" i="10"/>
  <c r="J212" i="1"/>
  <c r="I212" i="1"/>
  <c r="F212" i="1" s="1"/>
  <c r="G212" i="1" s="1"/>
  <c r="K213" i="1" s="1"/>
  <c r="H213" i="1" s="1"/>
  <c r="J217" i="9" l="1"/>
  <c r="H217" i="9"/>
  <c r="G217" i="9" s="1"/>
  <c r="K218" i="9" s="1"/>
  <c r="G212" i="10"/>
  <c r="K213" i="10" s="1"/>
  <c r="J213" i="1"/>
  <c r="I213" i="1"/>
  <c r="F213" i="1" s="1"/>
  <c r="G213" i="1" s="1"/>
  <c r="K214" i="1" s="1"/>
  <c r="I214" i="1" s="1"/>
  <c r="H218" i="9" l="1"/>
  <c r="J218" i="9"/>
  <c r="I218" i="9"/>
  <c r="F218" i="9" s="1"/>
  <c r="J213" i="10"/>
  <c r="I213" i="10"/>
  <c r="H213" i="10"/>
  <c r="H214" i="1"/>
  <c r="F214" i="1" s="1"/>
  <c r="G214" i="1" s="1"/>
  <c r="K215" i="1" s="1"/>
  <c r="H215" i="1" s="1"/>
  <c r="G218" i="9" l="1"/>
  <c r="K219" i="9" s="1"/>
  <c r="I219" i="9" s="1"/>
  <c r="F219" i="9" s="1"/>
  <c r="F213" i="10"/>
  <c r="J214" i="1"/>
  <c r="J215" i="1" s="1"/>
  <c r="I215" i="1"/>
  <c r="F215" i="1" s="1"/>
  <c r="G215" i="1" s="1"/>
  <c r="K216" i="1" s="1"/>
  <c r="H216" i="1" s="1"/>
  <c r="H219" i="9" l="1"/>
  <c r="G219" i="9" s="1"/>
  <c r="K220" i="9" s="1"/>
  <c r="J219" i="9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J217" i="10"/>
  <c r="H217" i="10"/>
  <c r="I217" i="10"/>
  <c r="I220" i="1"/>
  <c r="H220" i="1"/>
  <c r="I223" i="9" l="1"/>
  <c r="F223" i="9" s="1"/>
  <c r="H223" i="9"/>
  <c r="F217" i="10"/>
  <c r="G217" i="10" s="1"/>
  <c r="K218" i="10" s="1"/>
  <c r="J220" i="1"/>
  <c r="F220" i="1"/>
  <c r="B23" i="1" s="1"/>
  <c r="G223" i="9" l="1"/>
  <c r="K224" i="9" s="1"/>
  <c r="J224" i="9" s="1"/>
  <c r="J218" i="10"/>
  <c r="I218" i="10"/>
  <c r="H218" i="10"/>
  <c r="G220" i="1"/>
  <c r="K221" i="1" s="1"/>
  <c r="H221" i="1" s="1"/>
  <c r="I224" i="9" l="1"/>
  <c r="F224" i="9" s="1"/>
  <c r="H224" i="9"/>
  <c r="F218" i="10"/>
  <c r="G218" i="10" s="1"/>
  <c r="K219" i="10" s="1"/>
  <c r="J221" i="1"/>
  <c r="I221" i="1"/>
  <c r="F221" i="1" s="1"/>
  <c r="G221" i="1" s="1"/>
  <c r="K222" i="1" s="1"/>
  <c r="I222" i="1" s="1"/>
  <c r="G224" i="9" l="1"/>
  <c r="K225" i="9" s="1"/>
  <c r="J225" i="9" s="1"/>
  <c r="H219" i="10"/>
  <c r="J219" i="10"/>
  <c r="I219" i="10"/>
  <c r="H222" i="1"/>
  <c r="C24" i="1" s="1"/>
  <c r="H225" i="9" l="1"/>
  <c r="I225" i="9"/>
  <c r="F225" i="9" s="1"/>
  <c r="F219" i="10"/>
  <c r="G219" i="10" s="1"/>
  <c r="K220" i="10" s="1"/>
  <c r="H20" i="2"/>
  <c r="J222" i="1"/>
  <c r="F222" i="1"/>
  <c r="G222" i="1" s="1"/>
  <c r="K223" i="1" s="1"/>
  <c r="G225" i="9" l="1"/>
  <c r="K226" i="9" s="1"/>
  <c r="J226" i="9" s="1"/>
  <c r="H220" i="10"/>
  <c r="J220" i="10"/>
  <c r="I220" i="10"/>
  <c r="I223" i="1"/>
  <c r="H223" i="1"/>
  <c r="H226" i="9" l="1"/>
  <c r="I226" i="9"/>
  <c r="F226" i="9" s="1"/>
  <c r="G226" i="9" s="1"/>
  <c r="K227" i="9" s="1"/>
  <c r="I227" i="9" s="1"/>
  <c r="F227" i="9" s="1"/>
  <c r="F220" i="10"/>
  <c r="J223" i="1"/>
  <c r="F223" i="1"/>
  <c r="G223" i="1" s="1"/>
  <c r="K224" i="1" s="1"/>
  <c r="H227" i="9" l="1"/>
  <c r="G227" i="9" s="1"/>
  <c r="K228" i="9" s="1"/>
  <c r="J227" i="9"/>
  <c r="G220" i="10"/>
  <c r="K221" i="10" s="1"/>
  <c r="B23" i="10"/>
  <c r="D20" i="4" s="1"/>
  <c r="T20" i="4" s="1"/>
  <c r="I224" i="1"/>
  <c r="H224" i="1"/>
  <c r="U20" i="4" l="1"/>
  <c r="H228" i="9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l="1"/>
  <c r="G228" i="9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J233" i="9"/>
  <c r="I225" i="10"/>
  <c r="J225" i="10"/>
  <c r="H225" i="10"/>
  <c r="F231" i="1"/>
  <c r="G231" i="1" s="1"/>
  <c r="K232" i="1" s="1"/>
  <c r="G233" i="9" l="1"/>
  <c r="K234" i="9" s="1"/>
  <c r="J234" i="9" s="1"/>
  <c r="F225" i="10"/>
  <c r="I232" i="1"/>
  <c r="H232" i="1"/>
  <c r="H234" i="9" l="1"/>
  <c r="C25" i="9" s="1"/>
  <c r="I234" i="9"/>
  <c r="F234" i="9" s="1"/>
  <c r="G225" i="10"/>
  <c r="K226" i="10" s="1"/>
  <c r="F232" i="1"/>
  <c r="G232" i="1" s="1"/>
  <c r="K233" i="1" s="1"/>
  <c r="J232" i="1"/>
  <c r="G234" i="9" l="1"/>
  <c r="K235" i="9" s="1"/>
  <c r="I235" i="9" s="1"/>
  <c r="F235" i="9" s="1"/>
  <c r="H226" i="10"/>
  <c r="J226" i="10"/>
  <c r="I226" i="10"/>
  <c r="B24" i="1"/>
  <c r="I233" i="1"/>
  <c r="H233" i="1"/>
  <c r="H235" i="9" l="1"/>
  <c r="G235" i="9" s="1"/>
  <c r="K236" i="9" s="1"/>
  <c r="J235" i="9"/>
  <c r="F226" i="10"/>
  <c r="G226" i="10" s="1"/>
  <c r="K227" i="10" s="1"/>
  <c r="J233" i="1"/>
  <c r="F233" i="1"/>
  <c r="G233" i="1" s="1"/>
  <c r="K234" i="1" s="1"/>
  <c r="J236" i="9" l="1"/>
  <c r="H236" i="9"/>
  <c r="I236" i="9"/>
  <c r="F236" i="9" s="1"/>
  <c r="J227" i="10"/>
  <c r="I227" i="10"/>
  <c r="H227" i="10"/>
  <c r="H234" i="1"/>
  <c r="C25" i="1" s="1"/>
  <c r="I234" i="1"/>
  <c r="G236" i="9" l="1"/>
  <c r="K237" i="9" s="1"/>
  <c r="J237" i="9" s="1"/>
  <c r="I237" i="9"/>
  <c r="F237" i="9" s="1"/>
  <c r="F227" i="10"/>
  <c r="G227" i="10" s="1"/>
  <c r="K228" i="10" s="1"/>
  <c r="H21" i="2"/>
  <c r="J234" i="1"/>
  <c r="F234" i="1"/>
  <c r="G234" i="1" s="1"/>
  <c r="K235" i="1" s="1"/>
  <c r="H235" i="1" s="1"/>
  <c r="H237" i="9" l="1"/>
  <c r="G237" i="9" s="1"/>
  <c r="K238" i="9" s="1"/>
  <c r="H238" i="9" s="1"/>
  <c r="J228" i="10"/>
  <c r="I228" i="10"/>
  <c r="H228" i="10"/>
  <c r="J235" i="1"/>
  <c r="I235" i="1"/>
  <c r="F235" i="1" s="1"/>
  <c r="G235" i="1" s="1"/>
  <c r="K236" i="1" s="1"/>
  <c r="H236" i="1" s="1"/>
  <c r="I238" i="9" l="1"/>
  <c r="F238" i="9" s="1"/>
  <c r="G238" i="9" s="1"/>
  <c r="K239" i="9" s="1"/>
  <c r="H239" i="9" s="1"/>
  <c r="J236" i="1"/>
  <c r="J238" i="9"/>
  <c r="F228" i="10"/>
  <c r="G228" i="10" s="1"/>
  <c r="K229" i="10" s="1"/>
  <c r="I236" i="1"/>
  <c r="F236" i="1" s="1"/>
  <c r="G236" i="1" s="1"/>
  <c r="K237" i="1" s="1"/>
  <c r="H237" i="1" s="1"/>
  <c r="J237" i="1" l="1"/>
  <c r="I239" i="9"/>
  <c r="F239" i="9" s="1"/>
  <c r="G239" i="9" s="1"/>
  <c r="K240" i="9" s="1"/>
  <c r="J239" i="9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F232" i="10"/>
  <c r="I241" i="1"/>
  <c r="F241" i="1" s="1"/>
  <c r="G241" i="1" s="1"/>
  <c r="K242" i="1" s="1"/>
  <c r="I242" i="1" s="1"/>
  <c r="H243" i="9" l="1"/>
  <c r="I243" i="9"/>
  <c r="F243" i="9" s="1"/>
  <c r="G232" i="10"/>
  <c r="K233" i="10" s="1"/>
  <c r="B24" i="10"/>
  <c r="D21" i="4" s="1"/>
  <c r="T21" i="4" s="1"/>
  <c r="H242" i="1"/>
  <c r="J242" i="1" s="1"/>
  <c r="G243" i="9" l="1"/>
  <c r="K244" i="9" s="1"/>
  <c r="I244" i="9" s="1"/>
  <c r="F244" i="9" s="1"/>
  <c r="U21" i="4"/>
  <c r="H233" i="10"/>
  <c r="J233" i="10"/>
  <c r="I233" i="10"/>
  <c r="F242" i="1"/>
  <c r="G242" i="1" s="1"/>
  <c r="K243" i="1" s="1"/>
  <c r="J244" i="9" l="1"/>
  <c r="H244" i="9"/>
  <c r="G244" i="9" s="1"/>
  <c r="K245" i="9" s="1"/>
  <c r="F233" i="10"/>
  <c r="G233" i="10" s="1"/>
  <c r="K234" i="10" s="1"/>
  <c r="I243" i="1"/>
  <c r="H243" i="1"/>
  <c r="J245" i="9" l="1"/>
  <c r="I245" i="9"/>
  <c r="F245" i="9" s="1"/>
  <c r="B25" i="9" s="1"/>
  <c r="H245" i="9"/>
  <c r="H234" i="10"/>
  <c r="C25" i="10" s="1"/>
  <c r="I234" i="10"/>
  <c r="F234" i="10" s="1"/>
  <c r="J234" i="10"/>
  <c r="F243" i="1"/>
  <c r="G243" i="1" s="1"/>
  <c r="K244" i="1" s="1"/>
  <c r="J243" i="1"/>
  <c r="G245" i="9" l="1"/>
  <c r="K246" i="9" s="1"/>
  <c r="J246" i="9" s="1"/>
  <c r="G234" i="10"/>
  <c r="K235" i="10" s="1"/>
  <c r="H244" i="1"/>
  <c r="I244" i="1"/>
  <c r="H246" i="9" l="1"/>
  <c r="C26" i="9" s="1"/>
  <c r="I246" i="9"/>
  <c r="F246" i="9" s="1"/>
  <c r="H235" i="10"/>
  <c r="J235" i="10"/>
  <c r="I235" i="10"/>
  <c r="J244" i="1"/>
  <c r="F244" i="1"/>
  <c r="G244" i="1" s="1"/>
  <c r="K245" i="1" s="1"/>
  <c r="I245" i="1" s="1"/>
  <c r="G246" i="9" l="1"/>
  <c r="K247" i="9" s="1"/>
  <c r="I247" i="9" s="1"/>
  <c r="F247" i="9" s="1"/>
  <c r="F235" i="10"/>
  <c r="H245" i="1"/>
  <c r="H247" i="9" l="1"/>
  <c r="G247" i="9" s="1"/>
  <c r="K248" i="9" s="1"/>
  <c r="I248" i="9" s="1"/>
  <c r="F248" i="9" s="1"/>
  <c r="J247" i="9"/>
  <c r="G235" i="10"/>
  <c r="K236" i="10" s="1"/>
  <c r="F245" i="1"/>
  <c r="B25" i="1" s="1"/>
  <c r="J245" i="1"/>
  <c r="H248" i="9" l="1"/>
  <c r="G248" i="9" s="1"/>
  <c r="K249" i="9" s="1"/>
  <c r="H249" i="9" s="1"/>
  <c r="J248" i="9"/>
  <c r="H236" i="10"/>
  <c r="I236" i="10"/>
  <c r="J236" i="10"/>
  <c r="G245" i="1"/>
  <c r="K246" i="1" s="1"/>
  <c r="H246" i="1" s="1"/>
  <c r="C26" i="1" s="1"/>
  <c r="J249" i="9" l="1"/>
  <c r="I249" i="9"/>
  <c r="F249" i="9" s="1"/>
  <c r="G249" i="9" s="1"/>
  <c r="K250" i="9" s="1"/>
  <c r="H250" i="9" s="1"/>
  <c r="F236" i="10"/>
  <c r="H22" i="2"/>
  <c r="J246" i="1"/>
  <c r="I246" i="1"/>
  <c r="F246" i="1" s="1"/>
  <c r="G246" i="1" s="1"/>
  <c r="K247" i="1" s="1"/>
  <c r="I247" i="1" s="1"/>
  <c r="J250" i="9" l="1"/>
  <c r="I250" i="9"/>
  <c r="F250" i="9" s="1"/>
  <c r="G250" i="9" s="1"/>
  <c r="K251" i="9" s="1"/>
  <c r="J251" i="9" s="1"/>
  <c r="G236" i="10"/>
  <c r="K237" i="10" s="1"/>
  <c r="H247" i="1"/>
  <c r="F247" i="1" s="1"/>
  <c r="G247" i="1" s="1"/>
  <c r="K248" i="1" s="1"/>
  <c r="H251" i="9" l="1"/>
  <c r="I251" i="9"/>
  <c r="F251" i="9" s="1"/>
  <c r="H237" i="10"/>
  <c r="J237" i="10"/>
  <c r="I237" i="10"/>
  <c r="J247" i="1"/>
  <c r="I248" i="1"/>
  <c r="H248" i="1"/>
  <c r="G251" i="9" l="1"/>
  <c r="K252" i="9" s="1"/>
  <c r="J252" i="9" s="1"/>
  <c r="F237" i="10"/>
  <c r="J248" i="1"/>
  <c r="F248" i="1"/>
  <c r="H252" i="9" l="1"/>
  <c r="I252" i="9"/>
  <c r="F252" i="9" s="1"/>
  <c r="G252" i="9" s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G257" i="1"/>
  <c r="K258" i="1" s="1"/>
  <c r="I258" i="1" s="1"/>
  <c r="U22" i="4" l="1"/>
  <c r="G261" i="9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F247" i="10"/>
  <c r="F259" i="1"/>
  <c r="G259" i="1" s="1"/>
  <c r="K260" i="1" s="1"/>
  <c r="H260" i="1" s="1"/>
  <c r="J259" i="1"/>
  <c r="G263" i="9" l="1"/>
  <c r="K264" i="9" s="1"/>
  <c r="I264" i="9" s="1"/>
  <c r="G247" i="10"/>
  <c r="K248" i="10" s="1"/>
  <c r="I260" i="1"/>
  <c r="F260" i="1" s="1"/>
  <c r="G260" i="1" s="1"/>
  <c r="K261" i="1" s="1"/>
  <c r="H261" i="1" s="1"/>
  <c r="J260" i="1"/>
  <c r="H264" i="9" l="1"/>
  <c r="J264" i="9"/>
  <c r="F264" i="9"/>
  <c r="H248" i="10"/>
  <c r="I248" i="10"/>
  <c r="J248" i="10"/>
  <c r="I261" i="1"/>
  <c r="F261" i="1" s="1"/>
  <c r="G261" i="1" s="1"/>
  <c r="K262" i="1" s="1"/>
  <c r="I262" i="1" s="1"/>
  <c r="J261" i="1"/>
  <c r="G264" i="9" l="1"/>
  <c r="K265" i="9" s="1"/>
  <c r="J265" i="9" s="1"/>
  <c r="F248" i="10"/>
  <c r="H262" i="1"/>
  <c r="F262" i="1" s="1"/>
  <c r="H265" i="9" l="1"/>
  <c r="I265" i="9"/>
  <c r="F265" i="9" s="1"/>
  <c r="G265" i="9" s="1"/>
  <c r="K266" i="9" s="1"/>
  <c r="G248" i="10"/>
  <c r="K249" i="10" s="1"/>
  <c r="J262" i="1"/>
  <c r="G262" i="1"/>
  <c r="K263" i="1" s="1"/>
  <c r="H263" i="1" s="1"/>
  <c r="J266" i="9" l="1"/>
  <c r="I266" i="9"/>
  <c r="F266" i="9" s="1"/>
  <c r="H266" i="9"/>
  <c r="J249" i="10"/>
  <c r="H249" i="10"/>
  <c r="I249" i="10"/>
  <c r="J263" i="1"/>
  <c r="I263" i="1"/>
  <c r="F263" i="1" s="1"/>
  <c r="G263" i="1" s="1"/>
  <c r="K264" i="1" s="1"/>
  <c r="I264" i="1" s="1"/>
  <c r="G266" i="9" l="1"/>
  <c r="K267" i="9" s="1"/>
  <c r="I267" i="9" s="1"/>
  <c r="F267" i="9" s="1"/>
  <c r="F249" i="10"/>
  <c r="H264" i="1"/>
  <c r="J264" i="1" s="1"/>
  <c r="J267" i="9" l="1"/>
  <c r="H267" i="9"/>
  <c r="G267" i="9" s="1"/>
  <c r="K268" i="9" s="1"/>
  <c r="H268" i="9" s="1"/>
  <c r="G249" i="10"/>
  <c r="K250" i="10" s="1"/>
  <c r="F264" i="1"/>
  <c r="G264" i="1" s="1"/>
  <c r="K265" i="1" s="1"/>
  <c r="H265" i="1" s="1"/>
  <c r="J265" i="1" s="1"/>
  <c r="J268" i="9" l="1"/>
  <c r="I268" i="9"/>
  <c r="F268" i="9" s="1"/>
  <c r="G268" i="9" s="1"/>
  <c r="K269" i="9" s="1"/>
  <c r="H269" i="9" s="1"/>
  <c r="H250" i="10"/>
  <c r="I250" i="10"/>
  <c r="J250" i="10"/>
  <c r="I265" i="1"/>
  <c r="F265" i="1" s="1"/>
  <c r="G265" i="1" s="1"/>
  <c r="K266" i="1" s="1"/>
  <c r="H266" i="1" s="1"/>
  <c r="J269" i="9" l="1"/>
  <c r="I269" i="9"/>
  <c r="F269" i="9" s="1"/>
  <c r="B27" i="9" s="1"/>
  <c r="F250" i="10"/>
  <c r="I266" i="1"/>
  <c r="F266" i="1" s="1"/>
  <c r="G266" i="1" s="1"/>
  <c r="K267" i="1" s="1"/>
  <c r="I267" i="1" s="1"/>
  <c r="J266" i="1"/>
  <c r="G269" i="9" l="1"/>
  <c r="K270" i="9" s="1"/>
  <c r="I270" i="9" s="1"/>
  <c r="F270" i="9" s="1"/>
  <c r="G250" i="10"/>
  <c r="K251" i="10" s="1"/>
  <c r="H267" i="1"/>
  <c r="F267" i="1" s="1"/>
  <c r="G267" i="1" s="1"/>
  <c r="K268" i="1" s="1"/>
  <c r="H268" i="1" s="1"/>
  <c r="J270" i="9" l="1"/>
  <c r="H270" i="9"/>
  <c r="C28" i="9" s="1"/>
  <c r="I251" i="10"/>
  <c r="H251" i="10"/>
  <c r="J251" i="10"/>
  <c r="J267" i="1"/>
  <c r="J268" i="1" s="1"/>
  <c r="I268" i="1"/>
  <c r="F268" i="1" s="1"/>
  <c r="G268" i="1" s="1"/>
  <c r="K269" i="1" s="1"/>
  <c r="I269" i="1" s="1"/>
  <c r="G270" i="9" l="1"/>
  <c r="K271" i="9" s="1"/>
  <c r="I271" i="9" s="1"/>
  <c r="F271" i="9" s="1"/>
  <c r="F251" i="10"/>
  <c r="G251" i="10" s="1"/>
  <c r="K252" i="10" s="1"/>
  <c r="I252" i="10" s="1"/>
  <c r="H269" i="1"/>
  <c r="J271" i="9" l="1"/>
  <c r="J252" i="10"/>
  <c r="H271" i="9"/>
  <c r="G271" i="9" s="1"/>
  <c r="K272" i="9" s="1"/>
  <c r="H252" i="10"/>
  <c r="F252" i="10"/>
  <c r="J269" i="1"/>
  <c r="F269" i="1"/>
  <c r="B27" i="1" s="1"/>
  <c r="G252" i="10" l="1"/>
  <c r="K253" i="10" s="1"/>
  <c r="H253" i="10" s="1"/>
  <c r="J272" i="9"/>
  <c r="H272" i="9"/>
  <c r="I272" i="9"/>
  <c r="F272" i="9" s="1"/>
  <c r="I253" i="10"/>
  <c r="G269" i="1"/>
  <c r="K270" i="1" s="1"/>
  <c r="H270" i="1" s="1"/>
  <c r="C28" i="1" s="1"/>
  <c r="J253" i="10" l="1"/>
  <c r="F253" i="10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F274" i="9"/>
  <c r="J272" i="1"/>
  <c r="F272" i="1"/>
  <c r="G256" i="10" l="1"/>
  <c r="K257" i="10" s="1"/>
  <c r="H257" i="10" s="1"/>
  <c r="G274" i="9"/>
  <c r="K275" i="9" s="1"/>
  <c r="G272" i="1"/>
  <c r="K273" i="1" s="1"/>
  <c r="J257" i="10" l="1"/>
  <c r="I257" i="10"/>
  <c r="F257" i="10" s="1"/>
  <c r="G257" i="10" s="1"/>
  <c r="K258" i="10" s="1"/>
  <c r="J275" i="9"/>
  <c r="H275" i="9"/>
  <c r="I275" i="9"/>
  <c r="F275" i="9" s="1"/>
  <c r="H273" i="1"/>
  <c r="J273" i="1" s="1"/>
  <c r="I273" i="1"/>
  <c r="B26" i="10" l="1"/>
  <c r="D23" i="4" s="1"/>
  <c r="T23" i="4" s="1"/>
  <c r="U23" i="4" s="1"/>
  <c r="G275" i="9"/>
  <c r="K276" i="9" s="1"/>
  <c r="I276" i="9" s="1"/>
  <c r="I258" i="10"/>
  <c r="F258" i="10" s="1"/>
  <c r="J258" i="10"/>
  <c r="H258" i="10"/>
  <c r="C27" i="10" s="1"/>
  <c r="F273" i="1"/>
  <c r="G273" i="1" s="1"/>
  <c r="K274" i="1" s="1"/>
  <c r="H276" i="9" l="1"/>
  <c r="J276" i="9"/>
  <c r="F276" i="9"/>
  <c r="G258" i="10"/>
  <c r="K259" i="10" s="1"/>
  <c r="I274" i="1"/>
  <c r="H274" i="1"/>
  <c r="J274" i="1" s="1"/>
  <c r="G276" i="9" l="1"/>
  <c r="K277" i="9" s="1"/>
  <c r="J277" i="9" s="1"/>
  <c r="J259" i="10"/>
  <c r="I259" i="10"/>
  <c r="H259" i="10"/>
  <c r="F274" i="1"/>
  <c r="G274" i="1" s="1"/>
  <c r="K275" i="1" s="1"/>
  <c r="I277" i="9" l="1"/>
  <c r="F277" i="9" s="1"/>
  <c r="H277" i="9"/>
  <c r="F259" i="10"/>
  <c r="I275" i="1"/>
  <c r="H275" i="1"/>
  <c r="J275" i="1" s="1"/>
  <c r="G277" i="9" l="1"/>
  <c r="K278" i="9" s="1"/>
  <c r="J278" i="9" s="1"/>
  <c r="G259" i="10"/>
  <c r="K260" i="10" s="1"/>
  <c r="F275" i="1"/>
  <c r="G275" i="1" s="1"/>
  <c r="K276" i="1" s="1"/>
  <c r="I276" i="1" s="1"/>
  <c r="H278" i="9" l="1"/>
  <c r="I278" i="9"/>
  <c r="F278" i="9" s="1"/>
  <c r="G278" i="9" s="1"/>
  <c r="K279" i="9" s="1"/>
  <c r="J279" i="9" s="1"/>
  <c r="I260" i="10"/>
  <c r="H260" i="10"/>
  <c r="J260" i="10"/>
  <c r="H276" i="1"/>
  <c r="J276" i="1" s="1"/>
  <c r="I279" i="9" l="1"/>
  <c r="F279" i="9" s="1"/>
  <c r="H279" i="9"/>
  <c r="F260" i="10"/>
  <c r="F276" i="1"/>
  <c r="G276" i="1" s="1"/>
  <c r="K277" i="1" s="1"/>
  <c r="I277" i="1" s="1"/>
  <c r="G279" i="9" l="1"/>
  <c r="K280" i="9" s="1"/>
  <c r="J280" i="9" s="1"/>
  <c r="G260" i="10"/>
  <c r="K261" i="10" s="1"/>
  <c r="H277" i="1"/>
  <c r="J277" i="1" s="1"/>
  <c r="H280" i="9" l="1"/>
  <c r="I280" i="9"/>
  <c r="F280" i="9" s="1"/>
  <c r="I261" i="10"/>
  <c r="J261" i="10"/>
  <c r="H261" i="10"/>
  <c r="F277" i="1"/>
  <c r="G277" i="1" s="1"/>
  <c r="K278" i="1" s="1"/>
  <c r="I278" i="1" s="1"/>
  <c r="G280" i="9" l="1"/>
  <c r="K281" i="9" s="1"/>
  <c r="H281" i="9" s="1"/>
  <c r="F261" i="10"/>
  <c r="H278" i="1"/>
  <c r="J278" i="1" s="1"/>
  <c r="J281" i="9" l="1"/>
  <c r="I281" i="9"/>
  <c r="F281" i="9" s="1"/>
  <c r="B28" i="9" s="1"/>
  <c r="G261" i="10"/>
  <c r="K262" i="10" s="1"/>
  <c r="F278" i="1"/>
  <c r="G278" i="1" s="1"/>
  <c r="K279" i="1" s="1"/>
  <c r="G281" i="9" l="1"/>
  <c r="K282" i="9" s="1"/>
  <c r="I282" i="9" s="1"/>
  <c r="F282" i="9" s="1"/>
  <c r="I262" i="10"/>
  <c r="H262" i="10"/>
  <c r="J262" i="10"/>
  <c r="H279" i="1"/>
  <c r="J279" i="1" s="1"/>
  <c r="I279" i="1"/>
  <c r="H282" i="9" l="1"/>
  <c r="C29" i="9" s="1"/>
  <c r="J282" i="9"/>
  <c r="F262" i="10"/>
  <c r="F279" i="1"/>
  <c r="G279" i="1" s="1"/>
  <c r="K280" i="1" s="1"/>
  <c r="I280" i="1" s="1"/>
  <c r="G282" i="9" l="1"/>
  <c r="K283" i="9" s="1"/>
  <c r="J283" i="9" s="1"/>
  <c r="I283" i="9"/>
  <c r="F283" i="9" s="1"/>
  <c r="G262" i="10"/>
  <c r="K263" i="10" s="1"/>
  <c r="H280" i="1"/>
  <c r="H283" i="9" l="1"/>
  <c r="G283" i="9" s="1"/>
  <c r="K284" i="9" s="1"/>
  <c r="H263" i="10"/>
  <c r="J263" i="10"/>
  <c r="I263" i="10"/>
  <c r="J280" i="1"/>
  <c r="F280" i="1"/>
  <c r="G280" i="1" s="1"/>
  <c r="K281" i="1" s="1"/>
  <c r="I281" i="1" s="1"/>
  <c r="I284" i="9" l="1"/>
  <c r="F284" i="9" s="1"/>
  <c r="G284" i="9" s="1"/>
  <c r="K285" i="9" s="1"/>
  <c r="H285" i="9" s="1"/>
  <c r="J284" i="9"/>
  <c r="H284" i="9"/>
  <c r="F263" i="10"/>
  <c r="G263" i="10" s="1"/>
  <c r="K264" i="10" s="1"/>
  <c r="H281" i="1"/>
  <c r="I285" i="9" l="1"/>
  <c r="F285" i="9" s="1"/>
  <c r="G285" i="9" s="1"/>
  <c r="K286" i="9" s="1"/>
  <c r="J285" i="9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J287" i="9"/>
  <c r="J283" i="1"/>
  <c r="I283" i="1"/>
  <c r="F283" i="1" s="1"/>
  <c r="G283" i="1" s="1"/>
  <c r="K284" i="1" s="1"/>
  <c r="H284" i="1" s="1"/>
  <c r="I266" i="10" l="1"/>
  <c r="F266" i="10" s="1"/>
  <c r="G266" i="10" s="1"/>
  <c r="K267" i="10" s="1"/>
  <c r="J284" i="1"/>
  <c r="G287" i="9"/>
  <c r="K288" i="9" s="1"/>
  <c r="J288" i="9" s="1"/>
  <c r="J266" i="10"/>
  <c r="I284" i="1"/>
  <c r="F284" i="1" s="1"/>
  <c r="G284" i="1" s="1"/>
  <c r="K285" i="1" s="1"/>
  <c r="I285" i="1" s="1"/>
  <c r="H288" i="9" l="1"/>
  <c r="I288" i="9"/>
  <c r="F288" i="9" s="1"/>
  <c r="G288" i="9" s="1"/>
  <c r="K289" i="9" s="1"/>
  <c r="I289" i="9" s="1"/>
  <c r="F289" i="9" s="1"/>
  <c r="H267" i="10"/>
  <c r="J267" i="10"/>
  <c r="I267" i="10"/>
  <c r="H285" i="1"/>
  <c r="H289" i="9" l="1"/>
  <c r="G289" i="9" s="1"/>
  <c r="K290" i="9" s="1"/>
  <c r="J289" i="9"/>
  <c r="F267" i="10"/>
  <c r="G267" i="10" s="1"/>
  <c r="K268" i="10" s="1"/>
  <c r="J285" i="1"/>
  <c r="F285" i="1"/>
  <c r="G285" i="1" s="1"/>
  <c r="K286" i="1" s="1"/>
  <c r="H286" i="1" s="1"/>
  <c r="I290" i="9" l="1"/>
  <c r="F290" i="9" s="1"/>
  <c r="H290" i="9"/>
  <c r="J290" i="9"/>
  <c r="J268" i="10"/>
  <c r="I268" i="10"/>
  <c r="H268" i="10"/>
  <c r="J286" i="1"/>
  <c r="I286" i="1"/>
  <c r="F286" i="1" s="1"/>
  <c r="G286" i="1" s="1"/>
  <c r="K287" i="1" s="1"/>
  <c r="G290" i="9" l="1"/>
  <c r="K291" i="9" s="1"/>
  <c r="I291" i="9" s="1"/>
  <c r="F291" i="9" s="1"/>
  <c r="F268" i="10"/>
  <c r="G268" i="10" s="1"/>
  <c r="K269" i="10" s="1"/>
  <c r="I287" i="1"/>
  <c r="H287" i="1"/>
  <c r="H291" i="9" l="1"/>
  <c r="G291" i="9" s="1"/>
  <c r="K292" i="9" s="1"/>
  <c r="J291" i="9"/>
  <c r="I269" i="10"/>
  <c r="J269" i="10"/>
  <c r="H269" i="10"/>
  <c r="F287" i="1"/>
  <c r="G287" i="1" s="1"/>
  <c r="K288" i="1" s="1"/>
  <c r="I288" i="1" s="1"/>
  <c r="J287" i="1"/>
  <c r="I292" i="9" l="1"/>
  <c r="F292" i="9" s="1"/>
  <c r="H292" i="9"/>
  <c r="J292" i="9"/>
  <c r="F269" i="10"/>
  <c r="H288" i="1"/>
  <c r="J288" i="1" s="1"/>
  <c r="G292" i="9" l="1"/>
  <c r="K293" i="9" s="1"/>
  <c r="J293" i="9" s="1"/>
  <c r="G269" i="10"/>
  <c r="K270" i="10" s="1"/>
  <c r="B27" i="10"/>
  <c r="D24" i="4" s="1"/>
  <c r="T24" i="4" s="1"/>
  <c r="F288" i="1"/>
  <c r="G288" i="1" s="1"/>
  <c r="K289" i="1" s="1"/>
  <c r="H289" i="1" s="1"/>
  <c r="I293" i="9" l="1"/>
  <c r="F293" i="9" s="1"/>
  <c r="H293" i="9"/>
  <c r="U24" i="4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G293" i="9" l="1"/>
  <c r="K294" i="9" s="1"/>
  <c r="B29" i="9"/>
  <c r="G270" i="10"/>
  <c r="K271" i="10" s="1"/>
  <c r="H290" i="1"/>
  <c r="F290" i="1" s="1"/>
  <c r="G290" i="1" s="1"/>
  <c r="K291" i="1" s="1"/>
  <c r="H291" i="1" s="1"/>
  <c r="J294" i="9" l="1"/>
  <c r="I294" i="9"/>
  <c r="F294" i="9" s="1"/>
  <c r="H294" i="9"/>
  <c r="C30" i="9" s="1"/>
  <c r="J271" i="10"/>
  <c r="H271" i="10"/>
  <c r="I271" i="10"/>
  <c r="J290" i="1"/>
  <c r="J291" i="1" s="1"/>
  <c r="I291" i="1"/>
  <c r="F291" i="1" s="1"/>
  <c r="G291" i="1" s="1"/>
  <c r="K292" i="1" s="1"/>
  <c r="H292" i="1" s="1"/>
  <c r="G294" i="9" l="1"/>
  <c r="K295" i="9" s="1"/>
  <c r="H295" i="9" s="1"/>
  <c r="F271" i="10"/>
  <c r="J292" i="1"/>
  <c r="I292" i="1"/>
  <c r="F292" i="1" s="1"/>
  <c r="G292" i="1" s="1"/>
  <c r="K293" i="1" s="1"/>
  <c r="H293" i="1" s="1"/>
  <c r="I295" i="9" l="1"/>
  <c r="F295" i="9" s="1"/>
  <c r="G295" i="9" s="1"/>
  <c r="K296" i="9" s="1"/>
  <c r="J296" i="9" s="1"/>
  <c r="J295" i="9"/>
  <c r="G271" i="10"/>
  <c r="K272" i="10" s="1"/>
  <c r="I293" i="1"/>
  <c r="F293" i="1" s="1"/>
  <c r="B29" i="1" s="1"/>
  <c r="J293" i="1"/>
  <c r="I296" i="9" l="1"/>
  <c r="F296" i="9" s="1"/>
  <c r="H296" i="9"/>
  <c r="I272" i="10"/>
  <c r="J272" i="10"/>
  <c r="H272" i="10"/>
  <c r="G293" i="1"/>
  <c r="K294" i="1" s="1"/>
  <c r="G296" i="9" l="1"/>
  <c r="K297" i="9" s="1"/>
  <c r="J297" i="9" s="1"/>
  <c r="F272" i="10"/>
  <c r="H294" i="1"/>
  <c r="C30" i="1" s="1"/>
  <c r="I294" i="1"/>
  <c r="I297" i="9" l="1"/>
  <c r="F297" i="9" s="1"/>
  <c r="H297" i="9"/>
  <c r="G272" i="10"/>
  <c r="K273" i="10" s="1"/>
  <c r="H26" i="2"/>
  <c r="J294" i="1"/>
  <c r="F294" i="1"/>
  <c r="G294" i="1" s="1"/>
  <c r="K295" i="1" s="1"/>
  <c r="I295" i="1" s="1"/>
  <c r="G297" i="9" l="1"/>
  <c r="K298" i="9" s="1"/>
  <c r="H298" i="9" s="1"/>
  <c r="J273" i="10"/>
  <c r="I273" i="10"/>
  <c r="H273" i="10"/>
  <c r="H295" i="1"/>
  <c r="J298" i="9" l="1"/>
  <c r="I298" i="9"/>
  <c r="F298" i="9" s="1"/>
  <c r="G298" i="9" s="1"/>
  <c r="K299" i="9" s="1"/>
  <c r="J299" i="9" s="1"/>
  <c r="F273" i="10"/>
  <c r="G273" i="10" s="1"/>
  <c r="K274" i="10" s="1"/>
  <c r="J295" i="1"/>
  <c r="F295" i="1"/>
  <c r="G295" i="1" s="1"/>
  <c r="K296" i="1" s="1"/>
  <c r="I299" i="9" l="1"/>
  <c r="F299" i="9" s="1"/>
  <c r="H299" i="9"/>
  <c r="I274" i="10"/>
  <c r="H274" i="10"/>
  <c r="J274" i="10"/>
  <c r="I296" i="1"/>
  <c r="H296" i="1"/>
  <c r="G299" i="9" l="1"/>
  <c r="K300" i="9" s="1"/>
  <c r="J300" i="9" s="1"/>
  <c r="F274" i="10"/>
  <c r="J296" i="1"/>
  <c r="F296" i="1"/>
  <c r="G296" i="1" s="1"/>
  <c r="K297" i="1" s="1"/>
  <c r="H300" i="9" l="1"/>
  <c r="I300" i="9"/>
  <c r="F300" i="9" s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F277" i="10"/>
  <c r="G277" i="10" s="1"/>
  <c r="K278" i="10" s="1"/>
  <c r="I300" i="1"/>
  <c r="F300" i="1" s="1"/>
  <c r="G300" i="1" s="1"/>
  <c r="K301" i="1" s="1"/>
  <c r="I303" i="9" l="1"/>
  <c r="F303" i="9" s="1"/>
  <c r="G303" i="9" s="1"/>
  <c r="K304" i="9" s="1"/>
  <c r="J303" i="9"/>
  <c r="H278" i="10"/>
  <c r="J278" i="10"/>
  <c r="I278" i="10"/>
  <c r="H301" i="1"/>
  <c r="J301" i="1" s="1"/>
  <c r="I301" i="1"/>
  <c r="H304" i="9" l="1"/>
  <c r="I304" i="9"/>
  <c r="F304" i="9" s="1"/>
  <c r="J304" i="9"/>
  <c r="F278" i="10"/>
  <c r="G278" i="10" s="1"/>
  <c r="K279" i="10" s="1"/>
  <c r="F301" i="1"/>
  <c r="G301" i="1" s="1"/>
  <c r="K302" i="1" s="1"/>
  <c r="H302" i="1" s="1"/>
  <c r="J302" i="1" s="1"/>
  <c r="G304" i="9" l="1"/>
  <c r="K305" i="9" s="1"/>
  <c r="H305" i="9" s="1"/>
  <c r="J279" i="10"/>
  <c r="I279" i="10"/>
  <c r="H279" i="10"/>
  <c r="I302" i="1"/>
  <c r="F302" i="1" s="1"/>
  <c r="G302" i="1" s="1"/>
  <c r="K303" i="1" s="1"/>
  <c r="H303" i="1" s="1"/>
  <c r="I305" i="9" l="1"/>
  <c r="F305" i="9" s="1"/>
  <c r="B30" i="9" s="1"/>
  <c r="J305" i="9"/>
  <c r="F279" i="10"/>
  <c r="G279" i="10" s="1"/>
  <c r="K280" i="10" s="1"/>
  <c r="J303" i="1"/>
  <c r="I303" i="1"/>
  <c r="F303" i="1" s="1"/>
  <c r="G303" i="1" s="1"/>
  <c r="K304" i="1" s="1"/>
  <c r="I304" i="1" s="1"/>
  <c r="G305" i="9" l="1"/>
  <c r="K306" i="9" s="1"/>
  <c r="H306" i="9" s="1"/>
  <c r="C31" i="9" s="1"/>
  <c r="J280" i="10"/>
  <c r="H280" i="10"/>
  <c r="I280" i="10"/>
  <c r="H304" i="1"/>
  <c r="I306" i="9" l="1"/>
  <c r="F306" i="9" s="1"/>
  <c r="G306" i="9" s="1"/>
  <c r="K307" i="9" s="1"/>
  <c r="H307" i="9" s="1"/>
  <c r="J306" i="9"/>
  <c r="F280" i="10"/>
  <c r="G280" i="10" s="1"/>
  <c r="K281" i="10" s="1"/>
  <c r="F304" i="1"/>
  <c r="G304" i="1" s="1"/>
  <c r="K305" i="1" s="1"/>
  <c r="I305" i="1" s="1"/>
  <c r="J304" i="1"/>
  <c r="I307" i="9" l="1"/>
  <c r="F307" i="9" s="1"/>
  <c r="G307" i="9" s="1"/>
  <c r="K308" i="9" s="1"/>
  <c r="H308" i="9" s="1"/>
  <c r="J307" i="9"/>
  <c r="H281" i="10"/>
  <c r="J281" i="10"/>
  <c r="I281" i="10"/>
  <c r="H305" i="1"/>
  <c r="I308" i="9" l="1"/>
  <c r="F308" i="9" s="1"/>
  <c r="G308" i="9" s="1"/>
  <c r="K309" i="9" s="1"/>
  <c r="J309" i="9" s="1"/>
  <c r="J308" i="9"/>
  <c r="F281" i="10"/>
  <c r="F305" i="1"/>
  <c r="B30" i="1" s="1"/>
  <c r="J305" i="1"/>
  <c r="H309" i="9" l="1"/>
  <c r="I309" i="9"/>
  <c r="F309" i="9" s="1"/>
  <c r="G281" i="10"/>
  <c r="K282" i="10" s="1"/>
  <c r="B28" i="10"/>
  <c r="D25" i="4" s="1"/>
  <c r="T25" i="4" s="1"/>
  <c r="G305" i="1"/>
  <c r="K306" i="1" s="1"/>
  <c r="I306" i="1" s="1"/>
  <c r="G309" i="9" l="1"/>
  <c r="K310" i="9" s="1"/>
  <c r="I310" i="9" s="1"/>
  <c r="F310" i="9" s="1"/>
  <c r="U25" i="4"/>
  <c r="J282" i="10"/>
  <c r="I282" i="10"/>
  <c r="F282" i="10" s="1"/>
  <c r="H282" i="10"/>
  <c r="C29" i="10" s="1"/>
  <c r="H306" i="1"/>
  <c r="C31" i="1" s="1"/>
  <c r="H310" i="9" l="1"/>
  <c r="G310" i="9" s="1"/>
  <c r="K311" i="9" s="1"/>
  <c r="I311" i="9" s="1"/>
  <c r="F311" i="9" s="1"/>
  <c r="J310" i="9"/>
  <c r="G282" i="10"/>
  <c r="K283" i="10" s="1"/>
  <c r="H27" i="2"/>
  <c r="J306" i="1"/>
  <c r="F306" i="1"/>
  <c r="G306" i="1" s="1"/>
  <c r="K307" i="1" s="1"/>
  <c r="I307" i="1" s="1"/>
  <c r="J311" i="9" l="1"/>
  <c r="H311" i="9"/>
  <c r="G311" i="9" s="1"/>
  <c r="K312" i="9" s="1"/>
  <c r="H283" i="10"/>
  <c r="J283" i="10"/>
  <c r="I283" i="10"/>
  <c r="H307" i="1"/>
  <c r="F307" i="1" s="1"/>
  <c r="G307" i="1" s="1"/>
  <c r="K308" i="1" s="1"/>
  <c r="I312" i="9" l="1"/>
  <c r="F312" i="9" s="1"/>
  <c r="J312" i="9"/>
  <c r="H312" i="9"/>
  <c r="F283" i="10"/>
  <c r="J307" i="1"/>
  <c r="I308" i="1"/>
  <c r="H308" i="1"/>
  <c r="G312" i="9" l="1"/>
  <c r="K313" i="9" s="1"/>
  <c r="G283" i="10"/>
  <c r="K284" i="10" s="1"/>
  <c r="J308" i="1"/>
  <c r="F308" i="1"/>
  <c r="G308" i="1" s="1"/>
  <c r="K309" i="1" s="1"/>
  <c r="J313" i="9" l="1"/>
  <c r="I313" i="9"/>
  <c r="F313" i="9" s="1"/>
  <c r="H313" i="9"/>
  <c r="H284" i="10"/>
  <c r="J284" i="10"/>
  <c r="I284" i="10"/>
  <c r="I309" i="1"/>
  <c r="H309" i="1"/>
  <c r="G313" i="9" l="1"/>
  <c r="K314" i="9" s="1"/>
  <c r="H314" i="9" s="1"/>
  <c r="F284" i="10"/>
  <c r="J309" i="1"/>
  <c r="F309" i="1"/>
  <c r="I314" i="9" l="1"/>
  <c r="F314" i="9" s="1"/>
  <c r="G314" i="9" s="1"/>
  <c r="K315" i="9" s="1"/>
  <c r="J315" i="9" s="1"/>
  <c r="J314" i="9"/>
  <c r="G284" i="10"/>
  <c r="K285" i="10" s="1"/>
  <c r="G309" i="1"/>
  <c r="K310" i="1" s="1"/>
  <c r="H315" i="9" l="1"/>
  <c r="I315" i="9"/>
  <c r="F315" i="9" s="1"/>
  <c r="G315" i="9" s="1"/>
  <c r="K316" i="9" s="1"/>
  <c r="I285" i="10"/>
  <c r="J285" i="10"/>
  <c r="H285" i="10"/>
  <c r="I310" i="1"/>
  <c r="H310" i="1"/>
  <c r="J316" i="9" l="1"/>
  <c r="I316" i="9"/>
  <c r="F316" i="9" s="1"/>
  <c r="H316" i="9"/>
  <c r="F285" i="10"/>
  <c r="G285" i="10" s="1"/>
  <c r="K286" i="10" s="1"/>
  <c r="F310" i="1"/>
  <c r="G310" i="1" s="1"/>
  <c r="K311" i="1" s="1"/>
  <c r="J310" i="1"/>
  <c r="G316" i="9" l="1"/>
  <c r="K317" i="9" s="1"/>
  <c r="I317" i="9" s="1"/>
  <c r="F317" i="9" s="1"/>
  <c r="B31" i="9" s="1"/>
  <c r="I286" i="10"/>
  <c r="J286" i="10"/>
  <c r="H286" i="10"/>
  <c r="I311" i="1"/>
  <c r="H311" i="1"/>
  <c r="H317" i="9" l="1"/>
  <c r="G317" i="9" s="1"/>
  <c r="K318" i="9" s="1"/>
  <c r="I318" i="9" s="1"/>
  <c r="F318" i="9" s="1"/>
  <c r="J317" i="9"/>
  <c r="F286" i="10"/>
  <c r="F311" i="1"/>
  <c r="G311" i="1" s="1"/>
  <c r="K312" i="1" s="1"/>
  <c r="I312" i="1" s="1"/>
  <c r="J311" i="1"/>
  <c r="H318" i="9" l="1"/>
  <c r="C32" i="9" s="1"/>
  <c r="J318" i="9"/>
  <c r="G286" i="10"/>
  <c r="K287" i="10" s="1"/>
  <c r="H312" i="1"/>
  <c r="G318" i="9" l="1"/>
  <c r="K319" i="9" s="1"/>
  <c r="H287" i="10"/>
  <c r="J287" i="10"/>
  <c r="I287" i="10"/>
  <c r="F312" i="1"/>
  <c r="G312" i="1" s="1"/>
  <c r="K313" i="1" s="1"/>
  <c r="J312" i="1"/>
  <c r="H319" i="9" l="1"/>
  <c r="J319" i="9"/>
  <c r="I319" i="9"/>
  <c r="F319" i="9" s="1"/>
  <c r="F287" i="10"/>
  <c r="H313" i="1"/>
  <c r="J313" i="1" s="1"/>
  <c r="I313" i="1"/>
  <c r="G319" i="9" l="1"/>
  <c r="K320" i="9" s="1"/>
  <c r="G287" i="10"/>
  <c r="K288" i="10" s="1"/>
  <c r="F313" i="1"/>
  <c r="G313" i="1" s="1"/>
  <c r="K314" i="1" s="1"/>
  <c r="H314" i="1" s="1"/>
  <c r="J314" i="1" s="1"/>
  <c r="H320" i="9" l="1"/>
  <c r="J320" i="9"/>
  <c r="I320" i="9"/>
  <c r="F320" i="9" s="1"/>
  <c r="J288" i="10"/>
  <c r="I288" i="10"/>
  <c r="H288" i="10"/>
  <c r="I314" i="1"/>
  <c r="F314" i="1" s="1"/>
  <c r="G314" i="1" s="1"/>
  <c r="K315" i="1" s="1"/>
  <c r="G320" i="9" l="1"/>
  <c r="K321" i="9" s="1"/>
  <c r="F288" i="10"/>
  <c r="H315" i="1"/>
  <c r="J315" i="1" s="1"/>
  <c r="I315" i="1"/>
  <c r="J321" i="9" l="1"/>
  <c r="H321" i="9"/>
  <c r="I321" i="9"/>
  <c r="F321" i="9" s="1"/>
  <c r="G288" i="10"/>
  <c r="K289" i="10" s="1"/>
  <c r="F315" i="1"/>
  <c r="G315" i="1" s="1"/>
  <c r="K316" i="1" s="1"/>
  <c r="H316" i="1" s="1"/>
  <c r="G321" i="9" l="1"/>
  <c r="K322" i="9" s="1"/>
  <c r="H322" i="9" s="1"/>
  <c r="J289" i="10"/>
  <c r="I289" i="10"/>
  <c r="H289" i="10"/>
  <c r="J316" i="1"/>
  <c r="I316" i="1"/>
  <c r="F316" i="1" s="1"/>
  <c r="G316" i="1" s="1"/>
  <c r="K317" i="1" s="1"/>
  <c r="H317" i="1" s="1"/>
  <c r="I322" i="9" l="1"/>
  <c r="F322" i="9" s="1"/>
  <c r="G322" i="9" s="1"/>
  <c r="K323" i="9" s="1"/>
  <c r="H323" i="9" s="1"/>
  <c r="J322" i="9"/>
  <c r="F289" i="10"/>
  <c r="J317" i="1"/>
  <c r="I317" i="1"/>
  <c r="F317" i="1" s="1"/>
  <c r="B31" i="1" s="1"/>
  <c r="I323" i="9" l="1"/>
  <c r="F323" i="9" s="1"/>
  <c r="G323" i="9" s="1"/>
  <c r="K324" i="9" s="1"/>
  <c r="H324" i="9" s="1"/>
  <c r="J323" i="9"/>
  <c r="G289" i="10"/>
  <c r="K290" i="10" s="1"/>
  <c r="G317" i="1"/>
  <c r="K318" i="1" s="1"/>
  <c r="I324" i="9" l="1"/>
  <c r="F324" i="9" s="1"/>
  <c r="G324" i="9" s="1"/>
  <c r="K325" i="9" s="1"/>
  <c r="J324" i="9"/>
  <c r="J290" i="10"/>
  <c r="I290" i="10"/>
  <c r="H290" i="10"/>
  <c r="H318" i="1"/>
  <c r="C32" i="1" s="1"/>
  <c r="I318" i="1"/>
  <c r="J325" i="9" l="1"/>
  <c r="H325" i="9"/>
  <c r="I325" i="9"/>
  <c r="F325" i="9" s="1"/>
  <c r="F290" i="10"/>
  <c r="H28" i="2"/>
  <c r="J318" i="1"/>
  <c r="F318" i="1"/>
  <c r="G318" i="1" s="1"/>
  <c r="K319" i="1" s="1"/>
  <c r="I319" i="1" s="1"/>
  <c r="G325" i="9" l="1"/>
  <c r="K326" i="9" s="1"/>
  <c r="H326" i="9" s="1"/>
  <c r="G290" i="10"/>
  <c r="K291" i="10" s="1"/>
  <c r="H319" i="1"/>
  <c r="I326" i="9" l="1"/>
  <c r="F326" i="9" s="1"/>
  <c r="G326" i="9" s="1"/>
  <c r="K327" i="9" s="1"/>
  <c r="J326" i="9"/>
  <c r="J291" i="10"/>
  <c r="H291" i="10"/>
  <c r="I291" i="10"/>
  <c r="J319" i="1"/>
  <c r="F319" i="1"/>
  <c r="G319" i="1" s="1"/>
  <c r="K320" i="1" s="1"/>
  <c r="H320" i="1" s="1"/>
  <c r="H327" i="9" l="1"/>
  <c r="I327" i="9"/>
  <c r="F327" i="9" s="1"/>
  <c r="J327" i="9"/>
  <c r="F291" i="10"/>
  <c r="G291" i="10" s="1"/>
  <c r="K292" i="10" s="1"/>
  <c r="J320" i="1"/>
  <c r="I320" i="1"/>
  <c r="F320" i="1" s="1"/>
  <c r="G320" i="1" s="1"/>
  <c r="K321" i="1" s="1"/>
  <c r="G327" i="9" l="1"/>
  <c r="K328" i="9" s="1"/>
  <c r="J328" i="9" s="1"/>
  <c r="H292" i="10"/>
  <c r="I292" i="10"/>
  <c r="J292" i="10"/>
  <c r="I321" i="1"/>
  <c r="H321" i="1"/>
  <c r="J321" i="1" s="1"/>
  <c r="I328" i="9" l="1"/>
  <c r="F328" i="9" s="1"/>
  <c r="H328" i="9"/>
  <c r="F292" i="10"/>
  <c r="G292" i="10" s="1"/>
  <c r="K293" i="10" s="1"/>
  <c r="F321" i="1"/>
  <c r="G328" i="9" l="1"/>
  <c r="K329" i="9" s="1"/>
  <c r="J329" i="9" s="1"/>
  <c r="I329" i="9"/>
  <c r="F329" i="9" s="1"/>
  <c r="B32" i="9" s="1"/>
  <c r="J293" i="10"/>
  <c r="H293" i="10"/>
  <c r="I293" i="10"/>
  <c r="G321" i="1"/>
  <c r="K322" i="1" s="1"/>
  <c r="H329" i="9" l="1"/>
  <c r="G329" i="9"/>
  <c r="K330" i="9" s="1"/>
  <c r="J330" i="9" s="1"/>
  <c r="F293" i="10"/>
  <c r="I322" i="1"/>
  <c r="H322" i="1"/>
  <c r="J322" i="1" s="1"/>
  <c r="I330" i="9" l="1"/>
  <c r="F330" i="9" s="1"/>
  <c r="H330" i="9"/>
  <c r="C33" i="9" s="1"/>
  <c r="G293" i="10"/>
  <c r="K294" i="10" s="1"/>
  <c r="B29" i="10"/>
  <c r="D26" i="4" s="1"/>
  <c r="T26" i="4" s="1"/>
  <c r="F322" i="1"/>
  <c r="G322" i="1" s="1"/>
  <c r="K323" i="1" s="1"/>
  <c r="G330" i="9" l="1"/>
  <c r="K331" i="9" s="1"/>
  <c r="I331" i="9" s="1"/>
  <c r="F331" i="9" s="1"/>
  <c r="J331" i="9"/>
  <c r="U26" i="4"/>
  <c r="J294" i="10"/>
  <c r="I294" i="10"/>
  <c r="F294" i="10" s="1"/>
  <c r="H294" i="10"/>
  <c r="C30" i="10" s="1"/>
  <c r="I323" i="1"/>
  <c r="H323" i="1"/>
  <c r="J323" i="1" s="1"/>
  <c r="H331" i="9" l="1"/>
  <c r="G331" i="9" s="1"/>
  <c r="K332" i="9" s="1"/>
  <c r="H332" i="9" s="1"/>
  <c r="I332" i="9"/>
  <c r="F332" i="9" s="1"/>
  <c r="G332" i="9" s="1"/>
  <c r="K333" i="9" s="1"/>
  <c r="H333" i="9" s="1"/>
  <c r="J332" i="9"/>
  <c r="G294" i="10"/>
  <c r="K295" i="10" s="1"/>
  <c r="F323" i="1"/>
  <c r="G323" i="1" s="1"/>
  <c r="K324" i="1" s="1"/>
  <c r="I324" i="1" s="1"/>
  <c r="J333" i="9" l="1"/>
  <c r="I333" i="9"/>
  <c r="F333" i="9" s="1"/>
  <c r="G333" i="9" s="1"/>
  <c r="K334" i="9" s="1"/>
  <c r="I334" i="9" s="1"/>
  <c r="H295" i="10"/>
  <c r="J295" i="10"/>
  <c r="I295" i="10"/>
  <c r="H324" i="1"/>
  <c r="J324" i="1" s="1"/>
  <c r="H334" i="9" l="1"/>
  <c r="F334" i="9"/>
  <c r="J334" i="9"/>
  <c r="F295" i="10"/>
  <c r="F324" i="1"/>
  <c r="G324" i="1" s="1"/>
  <c r="K325" i="1" s="1"/>
  <c r="I325" i="1" s="1"/>
  <c r="G334" i="9" l="1"/>
  <c r="K335" i="9" s="1"/>
  <c r="J335" i="9" s="1"/>
  <c r="G295" i="10"/>
  <c r="K296" i="10" s="1"/>
  <c r="H325" i="1"/>
  <c r="J325" i="1" s="1"/>
  <c r="H335" i="9" l="1"/>
  <c r="I335" i="9"/>
  <c r="F335" i="9" s="1"/>
  <c r="G335" i="9" s="1"/>
  <c r="K336" i="9" s="1"/>
  <c r="I296" i="10"/>
  <c r="H296" i="10"/>
  <c r="J296" i="10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H297" i="10"/>
  <c r="J297" i="10"/>
  <c r="I297" i="10"/>
  <c r="J327" i="1"/>
  <c r="I327" i="1"/>
  <c r="F327" i="1" s="1"/>
  <c r="G327" i="1" s="1"/>
  <c r="K328" i="1" s="1"/>
  <c r="I328" i="1" s="1"/>
  <c r="G337" i="9" l="1"/>
  <c r="K338" i="9" s="1"/>
  <c r="H338" i="9" s="1"/>
  <c r="F297" i="10"/>
  <c r="H328" i="1"/>
  <c r="J338" i="9" l="1"/>
  <c r="I338" i="9"/>
  <c r="F338" i="9" s="1"/>
  <c r="G338" i="9" s="1"/>
  <c r="K339" i="9" s="1"/>
  <c r="H339" i="9" s="1"/>
  <c r="G297" i="10"/>
  <c r="K298" i="10" s="1"/>
  <c r="J328" i="1"/>
  <c r="F328" i="1"/>
  <c r="G328" i="1" s="1"/>
  <c r="K329" i="1" s="1"/>
  <c r="H329" i="1" s="1"/>
  <c r="I339" i="9" l="1"/>
  <c r="F339" i="9" s="1"/>
  <c r="G339" i="9" s="1"/>
  <c r="K340" i="9" s="1"/>
  <c r="J339" i="9"/>
  <c r="H298" i="10"/>
  <c r="J298" i="10"/>
  <c r="I298" i="10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G341" i="9" s="1"/>
  <c r="K342" i="9" s="1"/>
  <c r="J341" i="9"/>
  <c r="J299" i="10"/>
  <c r="H299" i="10"/>
  <c r="I299" i="10"/>
  <c r="J331" i="1"/>
  <c r="I331" i="1"/>
  <c r="F331" i="1" s="1"/>
  <c r="G331" i="1" s="1"/>
  <c r="K332" i="1" s="1"/>
  <c r="I332" i="1" s="1"/>
  <c r="B33" i="9" l="1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G346" i="9"/>
  <c r="K347" i="9" s="1"/>
  <c r="J339" i="1"/>
  <c r="F339" i="1"/>
  <c r="G339" i="1" s="1"/>
  <c r="K340" i="1" s="1"/>
  <c r="H340" i="1" s="1"/>
  <c r="U27" i="4" l="1"/>
  <c r="J306" i="10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07" i="10"/>
  <c r="K308" i="10" s="1"/>
  <c r="I342" i="1"/>
  <c r="H342" i="1"/>
  <c r="C34" i="1" s="1"/>
  <c r="G349" i="9" l="1"/>
  <c r="K350" i="9" s="1"/>
  <c r="H350" i="9" s="1"/>
  <c r="J308" i="10"/>
  <c r="H308" i="10"/>
  <c r="I308" i="10"/>
  <c r="H30" i="2"/>
  <c r="J342" i="1"/>
  <c r="F342" i="1"/>
  <c r="G342" i="1" s="1"/>
  <c r="K343" i="1" s="1"/>
  <c r="H343" i="1" s="1"/>
  <c r="J350" i="9" l="1"/>
  <c r="I350" i="9"/>
  <c r="F350" i="9" s="1"/>
  <c r="G350" i="9" s="1"/>
  <c r="K351" i="9" s="1"/>
  <c r="J343" i="1"/>
  <c r="F308" i="10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l="1"/>
  <c r="F309" i="10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I360" i="9"/>
  <c r="F360" i="9" s="1"/>
  <c r="J360" i="9"/>
  <c r="H360" i="9"/>
  <c r="C39" i="9" s="1"/>
  <c r="J357" i="1"/>
  <c r="C36" i="1"/>
  <c r="F357" i="1"/>
  <c r="G357" i="1" s="1"/>
  <c r="K358" i="1" s="1"/>
  <c r="U28" i="4" l="1"/>
  <c r="J318" i="10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O34" i="2"/>
  <c r="S34" i="2"/>
  <c r="F360" i="1"/>
  <c r="C39" i="1"/>
  <c r="T34" i="2" l="1"/>
  <c r="G320" i="10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S35" i="2"/>
  <c r="O35" i="2"/>
  <c r="H361" i="1"/>
  <c r="C40" i="1" s="1"/>
  <c r="I361" i="1"/>
  <c r="T35" i="2" l="1"/>
  <c r="F321" i="10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l="1"/>
  <c r="H322" i="10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S38" i="2"/>
  <c r="U6" i="4"/>
  <c r="T38" i="2" l="1"/>
  <c r="F324" i="10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T39" i="2" l="1"/>
  <c r="I326" i="10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T20" i="2" l="1"/>
  <c r="U20" i="2" s="1"/>
  <c r="V20" i="2" s="1"/>
  <c r="F326" i="10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T28" i="2" l="1"/>
  <c r="J327" i="10"/>
  <c r="H327" i="10"/>
  <c r="I327" i="10"/>
  <c r="T29" i="2"/>
  <c r="T27" i="2"/>
  <c r="U27" i="2" s="1"/>
  <c r="V27" i="2" s="1"/>
  <c r="T8" i="2"/>
  <c r="U8" i="2" s="1"/>
  <c r="V8" i="2" s="1"/>
  <c r="T11" i="2"/>
  <c r="U11" i="2" s="1"/>
  <c r="V11" i="2" s="1"/>
  <c r="T18" i="2"/>
  <c r="U18" i="2" s="1"/>
  <c r="V18" i="2" s="1"/>
  <c r="T22" i="2"/>
  <c r="U22" i="2" s="1"/>
  <c r="V22" i="2" s="1"/>
  <c r="T17" i="2"/>
  <c r="U17" i="2" s="1"/>
  <c r="V17" i="2" s="1"/>
  <c r="T24" i="2"/>
  <c r="U24" i="2" s="1"/>
  <c r="V24" i="2" s="1"/>
  <c r="T3" i="2"/>
  <c r="U3" i="2" s="1"/>
  <c r="V3" i="2" s="1"/>
  <c r="T21" i="2"/>
  <c r="U21" i="2" s="1"/>
  <c r="V21" i="2" s="1"/>
  <c r="T15" i="2"/>
  <c r="U15" i="2" s="1"/>
  <c r="V15" i="2" s="1"/>
  <c r="T9" i="2"/>
  <c r="U9" i="2" s="1"/>
  <c r="V9" i="2" s="1"/>
  <c r="T23" i="2"/>
  <c r="U23" i="2" s="1"/>
  <c r="V23" i="2" s="1"/>
  <c r="T10" i="2"/>
  <c r="U10" i="2" s="1"/>
  <c r="V10" i="2" s="1"/>
  <c r="T6" i="2"/>
  <c r="U6" i="2" s="1"/>
  <c r="V6" i="2" s="1"/>
  <c r="T12" i="2"/>
  <c r="U12" i="2" s="1"/>
  <c r="V12" i="2" s="1"/>
  <c r="T5" i="2"/>
  <c r="U5" i="2" s="1"/>
  <c r="V5" i="2" s="1"/>
  <c r="T25" i="2"/>
  <c r="U25" i="2" s="1"/>
  <c r="V25" i="2" s="1"/>
  <c r="T26" i="2"/>
  <c r="U26" i="2" s="1"/>
  <c r="V26" i="2" s="1"/>
  <c r="T4" i="2"/>
  <c r="U4" i="2" s="1"/>
  <c r="V4" i="2" s="1"/>
  <c r="T16" i="2"/>
  <c r="U16" i="2" s="1"/>
  <c r="V16" i="2" s="1"/>
  <c r="T7" i="2"/>
  <c r="U7" i="2" s="1"/>
  <c r="V7" i="2" s="1"/>
  <c r="T13" i="2"/>
  <c r="U13" i="2" s="1"/>
  <c r="V13" i="2" s="1"/>
  <c r="T14" i="2"/>
  <c r="U14" i="2" s="1"/>
  <c r="V14" i="2" s="1"/>
  <c r="T19" i="2"/>
  <c r="U19" i="2" s="1"/>
  <c r="V19" i="2" s="1"/>
  <c r="R31" i="2"/>
  <c r="O31" i="2"/>
  <c r="S31" i="2"/>
  <c r="S30" i="2"/>
  <c r="O30" i="2"/>
  <c r="R30" i="2"/>
  <c r="F2" i="2"/>
  <c r="D25" i="6" s="1"/>
  <c r="F327" i="10" l="1"/>
  <c r="G327" i="10" s="1"/>
  <c r="K328" i="10" s="1"/>
  <c r="T30" i="2"/>
  <c r="T31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U2" i="2" s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8" i="2" s="1"/>
  <c r="V28" i="2" s="1"/>
  <c r="W28" i="2" s="1"/>
  <c r="U29" i="4" l="1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29" i="2" s="1"/>
  <c r="V29" i="2" s="1"/>
  <c r="W29" i="2" s="1"/>
  <c r="U30" i="4" l="1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0" i="2" s="1"/>
  <c r="V30" i="2" s="1"/>
  <c r="W30" i="2" s="1"/>
  <c r="U31" i="4" l="1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U41" i="2" s="1"/>
  <c r="V41" i="2" s="1"/>
  <c r="K1" i="10"/>
  <c r="B35" i="10"/>
  <c r="D32" i="4" s="1"/>
  <c r="T32" i="4" s="1"/>
  <c r="U31" i="2" s="1"/>
  <c r="V31" i="2" s="1"/>
  <c r="W31" i="2" s="1"/>
  <c r="B36" i="10"/>
  <c r="D33" i="4" s="1"/>
  <c r="T33" i="4" s="1"/>
  <c r="U32" i="2" s="1"/>
  <c r="V32" i="2" s="1"/>
  <c r="B37" i="10"/>
  <c r="D34" i="4" s="1"/>
  <c r="T34" i="4" s="1"/>
  <c r="U33" i="2" s="1"/>
  <c r="V33" i="2" s="1"/>
  <c r="B38" i="10"/>
  <c r="D35" i="4" s="1"/>
  <c r="T35" i="4" s="1"/>
  <c r="U34" i="2" s="1"/>
  <c r="V34" i="2" s="1"/>
  <c r="B39" i="10"/>
  <c r="D36" i="4" s="1"/>
  <c r="T36" i="4" s="1"/>
  <c r="U35" i="2" s="1"/>
  <c r="V35" i="2" s="1"/>
  <c r="B40" i="10"/>
  <c r="D37" i="4" s="1"/>
  <c r="T37" i="4" s="1"/>
  <c r="U36" i="2" s="1"/>
  <c r="V36" i="2" s="1"/>
  <c r="B43" i="10"/>
  <c r="D40" i="4" s="1"/>
  <c r="T40" i="4" s="1"/>
  <c r="U39" i="2" s="1"/>
  <c r="V39" i="2" s="1"/>
  <c r="B44" i="10"/>
  <c r="D41" i="4" s="1"/>
  <c r="T41" i="4" s="1"/>
  <c r="U40" i="2" s="1"/>
  <c r="V40" i="2" s="1"/>
  <c r="B42" i="10"/>
  <c r="D39" i="4" s="1"/>
  <c r="T39" i="4" s="1"/>
  <c r="U38" i="2" s="1"/>
  <c r="V38" i="2" s="1"/>
  <c r="B41" i="10"/>
  <c r="D38" i="4" s="1"/>
  <c r="T38" i="4" s="1"/>
  <c r="U37" i="2" s="1"/>
  <c r="V37" i="2" s="1"/>
  <c r="C43" i="10"/>
  <c r="I3" i="10"/>
  <c r="I2" i="10"/>
  <c r="W32" i="2" l="1"/>
  <c r="W33" i="2" s="1"/>
  <c r="W34" i="2" s="1"/>
  <c r="W35" i="2" s="1"/>
  <c r="W36" i="2" s="1"/>
  <c r="W37" i="2" s="1"/>
  <c r="W38" i="2" s="1"/>
  <c r="W39" i="2" s="1"/>
  <c r="W40" i="2" s="1"/>
  <c r="W41" i="2" s="1"/>
  <c r="U36" i="4"/>
  <c r="U40" i="4"/>
  <c r="U34" i="4"/>
  <c r="U42" i="4"/>
  <c r="U39" i="4"/>
  <c r="U32" i="4"/>
  <c r="U41" i="4"/>
  <c r="U35" i="4"/>
  <c r="U38" i="4"/>
  <c r="U37" i="4"/>
  <c r="U33" i="4"/>
</calcChain>
</file>

<file path=xl/sharedStrings.xml><?xml version="1.0" encoding="utf-8"?>
<sst xmlns="http://schemas.openxmlformats.org/spreadsheetml/2006/main" count="288" uniqueCount="195">
  <si>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</si>
  <si>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</si>
  <si>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</si>
  <si>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</si>
  <si>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</si>
  <si>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</si>
  <si>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</si>
  <si>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</si>
  <si>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</si>
  <si>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</si>
  <si>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</si>
  <si>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</si>
  <si>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</si>
  <si>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</si>
  <si>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</si>
  <si>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</si>
  <si>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</si>
  <si>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</si>
  <si>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</si>
  <si>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</si>
  <si>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</si>
  <si>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</si>
  <si>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</si>
  <si>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</si>
  <si>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</si>
  <si>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</si>
  <si>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</si>
  <si>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</si>
  <si>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</si>
  <si>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</si>
  <si>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</si>
  <si>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</si>
  <si>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</si>
  <si>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Cell Phones</t>
  </si>
  <si>
    <t>Internet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</si>
  <si>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</si>
  <si>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</si>
  <si>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</si>
  <si>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</si>
  <si>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</si>
  <si>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</si>
  <si>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</si>
  <si>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</si>
  <si>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</si>
  <si>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</si>
  <si>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</si>
  <si>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</si>
  <si>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</si>
  <si>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</si>
  <si>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</si>
  <si>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</si>
  <si>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</si>
  <si>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</si>
  <si>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</si>
  <si>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</si>
  <si>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</si>
  <si>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</si>
  <si>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</si>
  <si>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</si>
  <si>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</si>
  <si>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</si>
  <si>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</si>
  <si>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</si>
  <si>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</si>
  <si>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</si>
  <si>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</si>
  <si>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</si>
  <si>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</si>
  <si>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</si>
  <si>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</si>
  <si>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</si>
  <si>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</si>
  <si>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</si>
  <si>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</si>
  <si>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</si>
  <si>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</si>
  <si>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</si>
  <si>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</si>
  <si>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</si>
  <si>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</si>
  <si>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</si>
  <si>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</si>
  <si>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</si>
  <si>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</si>
  <si>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</si>
  <si>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</si>
  <si>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</si>
  <si>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</si>
  <si>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</si>
  <si>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</si>
  <si>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</si>
  <si>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</si>
  <si>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</si>
  <si>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</si>
  <si>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</si>
  <si>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</si>
  <si>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</si>
  <si>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</si>
  <si>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</si>
  <si>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</si>
  <si>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</si>
  <si>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</si>
  <si>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</si>
  <si>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</si>
  <si>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</si>
  <si>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</si>
  <si>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</si>
  <si>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</si>
  <si>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</si>
  <si>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</si>
  <si>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</si>
  <si>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</si>
  <si>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</si>
  <si>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</si>
  <si>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</si>
  <si>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</si>
  <si>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</si>
  <si>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</si>
  <si>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</si>
  <si>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</si>
  <si>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</si>
  <si>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</si>
  <si>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</si>
  <si>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</si>
  <si>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</si>
  <si>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</si>
  <si>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</si>
  <si>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</si>
  <si>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</si>
  <si>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</si>
  <si>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</si>
  <si>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</si>
  <si>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</si>
  <si>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</si>
  <si>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</si>
  <si>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</si>
  <si>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</si>
  <si>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</si>
  <si>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</si>
  <si>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</si>
  <si>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</si>
  <si>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</si>
  <si>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</si>
  <si>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</si>
  <si>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</si>
  <si>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</si>
  <si>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</si>
  <si>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</si>
  <si>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</si>
  <si>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</si>
  <si>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</si>
  <si>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</si>
  <si>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</si>
  <si>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</si>
  <si>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</si>
  <si>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</si>
  <si>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</si>
  <si>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</si>
  <si>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</si>
  <si>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</si>
  <si>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</si>
  <si>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(% of income)</t>
  </si>
  <si>
    <t>If no loans, only change loan amount to "0"</t>
  </si>
  <si>
    <t>Mortgage Down Payment w/ closing costs</t>
  </si>
  <si>
    <t>Add mortgage down payment</t>
  </si>
  <si>
    <t>Add car payment starting year</t>
  </si>
  <si>
    <t>Car 1 payment year start</t>
  </si>
  <si>
    <t>Car 2 payment year start</t>
  </si>
  <si>
    <t>D</t>
  </si>
  <si>
    <t>Current Rev</t>
  </si>
  <si>
    <t>General Information</t>
  </si>
  <si>
    <t>Monthly Costs While Renting</t>
  </si>
  <si>
    <t>Maximum Post-Tax Savings Allowed</t>
  </si>
  <si>
    <t>Inflation While Renting</t>
  </si>
  <si>
    <t>Car 3 payment year start</t>
  </si>
  <si>
    <t>Car 3 payment year end</t>
  </si>
  <si>
    <t>Car 3 payment</t>
  </si>
  <si>
    <t>Renting Information</t>
  </si>
  <si>
    <t>Pre-Tax Savings Employer Match (%)</t>
  </si>
  <si>
    <t>Car Insurance &amp; Registration</t>
  </si>
  <si>
    <t>Year Renting Starts</t>
  </si>
  <si>
    <t>Post-Tax Savings ($)</t>
  </si>
  <si>
    <t>Home Information</t>
  </si>
  <si>
    <t>Monthly Costs While Owning a Home</t>
  </si>
  <si>
    <t>Inflation While Owning</t>
  </si>
  <si>
    <t>Gasoline</t>
  </si>
  <si>
    <t>SS, Med &amp; CA Dis</t>
  </si>
  <si>
    <t>E</t>
  </si>
  <si>
    <t>Updated data input sheet to have different sections for monthly costs during renting &amp; home ownership</t>
  </si>
  <si>
    <t>Updated monthly cost names</t>
  </si>
  <si>
    <t>Added code to only allow child deduction for 18 years</t>
  </si>
  <si>
    <t>Fixed post-tax retirement maximum. Allow user to input maximum allowed savings</t>
  </si>
  <si>
    <t>Added employer match for retirement</t>
  </si>
  <si>
    <t>Added more car payments, 3 total</t>
  </si>
  <si>
    <t>Added inflation for all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</si>
</sst>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0" fillId="2" borderId="2" xfId="4" applyFont="1" applyFill="1" applyBorder="1" applyAlignment="1">
      <alignment horizontal="center" wrapText="1"/>
    </xf>
    <xf numFmtId="9" fontId="0" fillId="2" borderId="5" xfId="4" applyFont="1" applyFill="1" applyBorder="1" applyAlignment="1">
      <alignment horizontal="center" wrapText="1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44" fontId="0" fillId="0" borderId="0" xfId="3" applyFont="1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/>
    <xf numFmtId="0" fontId="0" fillId="0" borderId="0" xfId="0" applyBorder="1" applyAlignment="1">
      <alignment horizontal="center" wrapText="1"/>
    </xf>
    <xf numFmtId="169" fontId="0" fillId="0" borderId="0" xfId="3" applyNumberFormat="1" applyFont="1" applyFill="1" applyBorder="1"/>
    <xf numFmtId="0" fontId="0" fillId="0" borderId="0" xfId="0" applyBorder="1"/>
    <xf numFmtId="0" fontId="0" fillId="0" borderId="26" xfId="0" applyBorder="1"/>
    <xf numFmtId="0" fontId="0" fillId="0" borderId="0" xfId="0" applyBorder="1" applyAlignment="1">
      <alignment wrapText="1"/>
    </xf>
    <xf numFmtId="0" fontId="0" fillId="0" borderId="28" xfId="0" applyBorder="1"/>
    <xf numFmtId="0" fontId="0" fillId="0" borderId="28" xfId="0" applyFill="1" applyBorder="1"/>
    <xf numFmtId="0" fontId="1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wrapText="1"/>
    </xf>
    <xf numFmtId="169" fontId="0" fillId="0" borderId="28" xfId="3" applyNumberFormat="1" applyFont="1" applyFill="1" applyBorder="1"/>
    <xf numFmtId="169" fontId="0" fillId="0" borderId="28" xfId="3" applyNumberFormat="1" applyFont="1" applyFill="1" applyBorder="1" applyAlignment="1">
      <alignment horizontal="center"/>
    </xf>
    <xf numFmtId="169" fontId="0" fillId="0" borderId="29" xfId="3" applyNumberFormat="1" applyFont="1" applyFill="1" applyBorder="1" applyAlignment="1">
      <alignment horizontal="center"/>
    </xf>
    <xf numFmtId="169" fontId="0" fillId="2" borderId="3" xfId="3" applyNumberFormat="1" applyFont="1" applyFill="1" applyBorder="1" applyAlignment="1">
      <alignment horizontal="center"/>
    </xf>
    <xf numFmtId="169" fontId="0" fillId="0" borderId="3" xfId="3" applyNumberFormat="1" applyFont="1" applyFill="1" applyBorder="1" applyAlignment="1">
      <alignment horizontal="center"/>
    </xf>
    <xf numFmtId="169" fontId="0" fillId="2" borderId="22" xfId="3" applyNumberFormat="1" applyFont="1" applyFill="1" applyBorder="1" applyAlignment="1">
      <alignment horizontal="center"/>
    </xf>
    <xf numFmtId="0" fontId="0" fillId="0" borderId="29" xfId="0" applyBorder="1"/>
    <xf numFmtId="0" fontId="1" fillId="0" borderId="28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169" fontId="0" fillId="2" borderId="21" xfId="3" applyNumberFormat="1" applyFont="1" applyFill="1" applyBorder="1" applyAlignment="1">
      <alignment horizontal="center" wrapText="1"/>
    </xf>
    <xf numFmtId="169" fontId="0" fillId="0" borderId="26" xfId="3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165" fontId="1" fillId="0" borderId="6" xfId="0" applyNumberFormat="1" applyFont="1" applyBorder="1" applyAlignment="1">
      <alignment wrapText="1"/>
    </xf>
    <xf numFmtId="165" fontId="0" fillId="2" borderId="5" xfId="0" applyNumberForma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0" fontId="0" fillId="2" borderId="5" xfId="0" applyNumberFormat="1" applyFill="1" applyBorder="1" applyAlignment="1">
      <alignment wrapText="1"/>
    </xf>
    <xf numFmtId="169" fontId="0" fillId="2" borderId="2" xfId="3" applyNumberFormat="1" applyFont="1" applyFill="1" applyBorder="1" applyAlignment="1">
      <alignment horizontal="center" wrapText="1"/>
    </xf>
    <xf numFmtId="169" fontId="0" fillId="2" borderId="5" xfId="3" applyNumberFormat="1" applyFont="1" applyFill="1" applyBorder="1" applyAlignment="1">
      <alignment horizontal="center" wrapText="1"/>
    </xf>
    <xf numFmtId="169" fontId="0" fillId="2" borderId="9" xfId="3" applyNumberFormat="1" applyFont="1" applyFill="1" applyBorder="1" applyAlignment="1">
      <alignment wrapText="1"/>
    </xf>
    <xf numFmtId="1" fontId="0" fillId="2" borderId="5" xfId="0" applyNumberFormat="1" applyFill="1" applyBorder="1" applyAlignment="1">
      <alignment wrapText="1"/>
    </xf>
    <xf numFmtId="44" fontId="0" fillId="0" borderId="9" xfId="3" applyNumberFormat="1" applyFont="1" applyFill="1" applyBorder="1" applyAlignment="1">
      <alignment wrapText="1"/>
    </xf>
    <xf numFmtId="0" fontId="0" fillId="0" borderId="26" xfId="0" applyBorder="1" applyAlignment="1">
      <alignment wrapText="1"/>
    </xf>
    <xf numFmtId="169" fontId="0" fillId="0" borderId="0" xfId="3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44" fontId="0" fillId="2" borderId="5" xfId="3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44" fontId="0" fillId="2" borderId="9" xfId="3" applyFont="1" applyFill="1" applyBorder="1" applyAlignment="1">
      <alignment horizontal="center" wrapText="1"/>
    </xf>
    <xf numFmtId="44" fontId="0" fillId="0" borderId="26" xfId="3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9" fontId="0" fillId="0" borderId="7" xfId="3" applyNumberFormat="1" applyFont="1" applyFill="1" applyBorder="1" applyAlignment="1">
      <alignment horizontal="center" wrapText="1"/>
    </xf>
    <xf numFmtId="169" fontId="0" fillId="0" borderId="9" xfId="3" applyNumberFormat="1" applyFont="1" applyFill="1" applyBorder="1" applyAlignment="1">
      <alignment horizontal="center"/>
    </xf>
    <xf numFmtId="169" fontId="1" fillId="0" borderId="19" xfId="3" applyNumberFormat="1" applyFont="1" applyFill="1" applyBorder="1" applyAlignment="1">
      <alignment horizontal="center" wrapText="1"/>
    </xf>
    <xf numFmtId="169" fontId="0" fillId="0" borderId="23" xfId="3" applyNumberFormat="1" applyFont="1" applyFill="1" applyBorder="1" applyAlignment="1">
      <alignment horizontal="center" wrapText="1"/>
    </xf>
    <xf numFmtId="169" fontId="0" fillId="0" borderId="24" xfId="3" applyNumberFormat="1" applyFont="1" applyFill="1" applyBorder="1" applyAlignment="1">
      <alignment horizontal="center"/>
    </xf>
    <xf numFmtId="169" fontId="0" fillId="0" borderId="25" xfId="3" applyNumberFormat="1" applyFont="1" applyFill="1" applyBorder="1" applyAlignment="1">
      <alignment horizontal="center"/>
    </xf>
    <xf numFmtId="0" fontId="1" fillId="0" borderId="7" xfId="0" applyFont="1" applyBorder="1"/>
    <xf numFmtId="10" fontId="0" fillId="2" borderId="9" xfId="0" applyNumberFormat="1" applyFill="1" applyBorder="1"/>
    <xf numFmtId="9" fontId="0" fillId="2" borderId="20" xfId="0" applyNumberForma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9" fontId="0" fillId="2" borderId="7" xfId="3" applyNumberFormat="1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9" fontId="0" fillId="0" borderId="26" xfId="3" applyNumberFormat="1" applyFont="1" applyBorder="1" applyAlignment="1">
      <alignment horizontal="center"/>
    </xf>
    <xf numFmtId="9" fontId="0" fillId="0" borderId="28" xfId="4" applyFont="1" applyFill="1" applyBorder="1" applyAlignment="1">
      <alignment horizontal="center" wrapText="1"/>
    </xf>
    <xf numFmtId="44" fontId="0" fillId="0" borderId="28" xfId="3" applyNumberFormat="1" applyFont="1" applyFill="1" applyBorder="1"/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169" fontId="0" fillId="0" borderId="12" xfId="3" applyNumberFormat="1" applyFont="1" applyBorder="1" applyAlignment="1">
      <alignment horizontal="center" wrapText="1"/>
    </xf>
    <xf numFmtId="169" fontId="0" fillId="0" borderId="14" xfId="3" applyNumberFormat="1" applyFont="1" applyBorder="1" applyAlignment="1">
      <alignment horizontal="center" wrapText="1"/>
    </xf>
    <xf numFmtId="169" fontId="0" fillId="0" borderId="18" xfId="3" applyNumberFormat="1" applyFont="1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Input'!$C$16+'Data Input'!$I$3&gt;Table1[[#This Row],[Column1]],('Data Input'!$C$6)*(1+'Data Input'!$C$15)^(Table1[[#This Row],[Column1]]-'Data Input'!$I$3),0)</calculatedColumnFormula>
    </tableColumn>
    <tableColumn id="3" name="Column3" headerRowDxfId="64" dataDxfId="63">
      <calculatedColumnFormula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calculatedColumnFormula>
    </tableColumn>
    <tableColumn id="4" name="Column4" headerRowDxfId="62" dataDxfId="61">
      <calculatedColumnFormula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calculatedColumnFormula>
    </tableColumn>
    <tableColumn id="5" name="Column5" headerRowDxfId="60" dataDxfId="59">
      <calculatedColumnFormula>IF('Data Input'!$F$16+'Data Input'!$I$3&gt;Table1[[#This Row],[Column1]],('Data Input'!$F$6)*(1+'Data Input'!$F$15)^(Table1[[#This Row],[Column1]]-'Data Input'!$I$3),0)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calculatedColumnFormula>
    </tableColumn>
    <tableColumn id="8" name="Column8" headerRowDxfId="52" dataDxfId="51">
      <calculatedColumnFormula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Input'!$C$11+Table1[[#This Row],[Column5]]*'Data Input'!$F$11+'Data Input'!$C$10+'Data Input'!$F$10)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Input'!$I$5</calculatedColumnFormula>
    </tableColumn>
    <tableColumn id="18" name="Column19" headerRowDxfId="30" dataDxfId="29">
      <calculatedColumnFormula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Row],[Column19]])+IF(Table1[[#This Row],[Column1]]='Data Input'!$I$4,'Data Input'!$C$44,0)</calculatedColumnFormula>
    </tableColumn>
    <tableColumn id="20" name="Column21" headerRowDxfId="26" dataDxfId="25">
      <calculatedColumnFormula>Table1[[#This Row],[Column17]]-Table1[[#This Row],[Column20]]/12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tableColumns count="21">
    <tableColumn id="1" name="year" dataDxfId="20"/>
    <tableColumn id="2" name="Utilities" dataDxfId="19">
      <calculatedColumnFormula>IF(Table12[[#This Row],[year]]&lt;'Data Input'!$I$4,12*'Data Input'!$B$24*(1+'Data Input'!$E$29)^(Table12[[#This Row],[year]]-'Data Input'!$I$3),12*'Data Input'!$B$35*(1+'Data Input'!$E$38)^(Table12[[#This Row],[year]]-'Data Input'!$I$4))</calculatedColumnFormula>
    </tableColumn>
    <tableColumn id="3" name="Car Insurance &amp; Registration" dataDxfId="18">
      <calculatedColumnFormula>IF(Table12[[#This Row],[year]]&lt;'Data Input'!$I$4,12*'Data Input'!$C$24*(1+'Data Input'!$E$29)^(Table12[[#This Row],[year]]-'Data Input'!$I$3),12*'Data Input'!$C$35*(1+'Data Input'!$E$38)^(Table12[[#This Row],[year]]-'Data Input'!$I$4))</calculatedColumnFormula>
    </tableColumn>
    <tableColumn id="15" name="Debt Payments" dataDxfId="17">
      <calculatedColumnFormula>ROUNDDOWN('Student Loans'!B6+'Credit Card Debt'!B6,2)</calculatedColumnFormula>
    </tableColumn>
    <tableColumn id="21" name="Post-Tax Savings (IRA)" dataDxfId="16">
      <calculatedColumnFormula>MIN('Data Input'!$C$12+'Data Input'!$F$12,'Main Info'!B2*'Data Input'!$C$11+'Main Info'!E2*'Data Input'!$F$11+'Data Input'!$C$10+'Data Input'!$F$10)</calculatedColumnFormula>
    </tableColumn>
    <tableColumn id="4" name="Car Repairs &amp; Car Payment" dataDxfId="4">
      <calculatedColumnFormula>12*'Data Input'!F61+12*100</calculatedColumnFormula>
    </tableColumn>
    <tableColumn id="5" name="Cell Phones" dataDxfId="15">
      <calculatedColumnFormula>IF(Table12[[#This Row],[year]]&lt;'Data Input'!$I$4,12*'Data Input'!$G$24*(1+'Data Input'!$E$29)^(Table12[[#This Row],[year]]-'Data Input'!$I$3),12*'Data Input'!$G$35*(1+'Data Input'!$E$38)^(Table12[[#This Row],[year]]-'Data Input'!$I$4))</calculatedColumnFormula>
    </tableColumn>
    <tableColumn id="6" name="Internet" dataDxfId="14">
      <calculatedColumnFormula>IF(Table12[[#This Row],[year]]&lt;'Data Input'!$I$4,12*'Data Input'!$H$24*(1+'Data Input'!$E$29)^(Table12[[#This Row],[year]]-'Data Input'!$I$3),12*'Data Input'!$H$35*(1+'Data Input'!$E$38)^(Table12[[#This Row],[year]]-'Data Input'!$I$4))</calculatedColumnFormula>
    </tableColumn>
    <tableColumn id="7" name="Gasoline" dataDxfId="3">
      <calculatedColumnFormula>IF(Table12[[#This Row],[year]]&lt;'Data Input'!$I$4,12*'Data Input'!$I$24*(1+'Data Input'!$E$29)^(Table12[[#This Row],[year]]-'Data Input'!$I$3),12*'Data Input'!$I$35*(1+'Data Input'!$E$38)^(Table12[[#This Row],[year]]-'Data Input'!$I$4))</calculatedColumnFormula>
    </tableColumn>
    <tableColumn id="8" name="Groceries" dataDxfId="2">
      <calculatedColumnFormula>IF(Table12[[#This Row],[year]]&lt;'Data Input'!$I$4,12*'Data Input'!$J$24*(1+'Data Input'!$E$29)^(Table12[[#This Row],[year]]-'Data Input'!$I$3),12*'Data Input'!$J$35*(1+'Data Input'!$E$38)^(Table12[[#This Row],[year]]-'Data Input'!$I$4))</calculatedColumnFormula>
    </tableColumn>
    <tableColumn id="9" name="Meals Out" dataDxfId="1">
      <calculatedColumnFormula>IF(Table12[[#This Row],[year]]&lt;'Data Input'!$I$4,12*'Data Input'!$K$24*(1+'Data Input'!$E$29)^(Table12[[#This Row],[year]]-'Data Input'!$I$3),12*'Data Input'!$K$35*(1+'Data Input'!$E$38)^(Table12[[#This Row],[year]]-'Data Input'!$I$4))</calculatedColumnFormula>
    </tableColumn>
    <tableColumn id="10" name="House Supplies" dataDxfId="0">
      <calculatedColumnFormula>IF(Table12[[#This Row],[year]]&lt;'Data Input'!$I$4,12*'Data Input'!$L$24*(1+'Data Input'!$E$29)^(Table12[[#This Row],[year]]-'Data Input'!$I$3),12*'Data Input'!$L$35*(1+'Data Input'!$E$38)^(Table12[[#This Row],[year]]-'Data Input'!$I$4))</calculatedColumnFormula>
    </tableColumn>
    <tableColumn id="11" name="Vacation" dataDxfId="13">
      <calculatedColumnFormula>IF(Table12[[#This Row],[year]]&lt;'Data Input'!$I$4,12*'Data Input'!$M$24*(1+'Data Input'!$E$29)^(Table12[[#This Row],[year]]-'Data Input'!$I$3),12*'Data Input'!$M$35*(1+'Data Input'!$E$38)^(Table12[[#This Row],[year]]-'Data Input'!$I$4))</calculatedColumnFormula>
    </tableColumn>
    <tableColumn id="12" name="Pocket Money" dataDxfId="12">
      <calculatedColumnFormula>IF(Table12[[#This Row],[year]]&lt;'Data Input'!$I$4,12*'Data Input'!$N$24,12*'Data Input'!$N$35)</calculatedColumnFormula>
    </tableColumn>
    <tableColumn id="14" name="Clothing" dataDxfId="11">
      <calculatedColumnFormula>IF(Table12[[#This Row],[year]]&lt;'Data Input'!$I$4,12*'Data Input'!$O$24*(1+'Data Input'!$E$29)^(Table12[[#This Row],[year]]-'Data Input'!$I$3),12*'Data Input'!$O$35*(1+'Data Input'!$E$38)^(Table12[[#This Row],[year]]-'Data Input'!$I$4))</calculatedColumnFormula>
    </tableColumn>
    <tableColumn id="13" name="Charity" dataDxfId="10">
      <calculatedColumnFormula>IF(Table12[[#This Row],[year]]&lt;'Data Input'!$I$4,12*'Data Input'!$P$24*(1+'Data Input'!$E$29)^(Table12[[#This Row],[year]]-'Data Input'!$I$3),12*'Data Input'!$P$35*(1+'Data Input'!$E$38)^(Table12[[#This Row],[year]]-'Data Input'!$I$4))</calculatedColumnFormula>
    </tableColumn>
    <tableColumn id="16" name="Entertainment" dataDxfId="9">
      <calculatedColumnFormula>IF(Table12[[#This Row],[year]]&lt;'Data Input'!$I$4,12*'Data Input'!$Q$24*(1+'Data Input'!$E$29)^(Table12[[#This Row],[year]]-'Data Input'!$I$3),12*'Data Input'!$Q$35*(1+'Data Input'!$E$38)^(Table12[[#This Row],[year]]-'Data Input'!$I$4))</calculatedColumnFormula>
    </tableColumn>
    <tableColumn id="17" name="Gifts" dataDxfId="8">
      <calculatedColumnFormula>IF(Table12[[#This Row],[year]]&lt;'Data Input'!$I$4,12*'Data Input'!$R$24*(1+'Data Input'!$E$29)^(Table12[[#This Row],[year]]-'Data Input'!$I$3),12*'Data Input'!$R$35*(1+'Data Input'!$E$38)^(Table12[[#This Row],[year]]-'Data Input'!$I$4))</calculatedColumnFormula>
    </tableColumn>
    <tableColumn id="18" name="Misc. Housing costs" dataDxfId="7">
      <calculatedColumnFormula>IF(Table12[[#This Row],[year]]&lt;'Data Input'!$I$4,12*'Data Input'!$S$24*(1+'Data Input'!$E$29)^(Table12[[#This Row],[year]]-'Data Input'!$I$3),12*'Data Input'!$S$35*(1+'Data Input'!$E$38)^(Table12[[#This Row],[year]]-'Data Input'!$I$4))</calculatedColumnFormula>
    </tableColumn>
    <tableColumn id="19" name="Total" dataDxfId="6">
      <calculatedColumnFormula>SUM(Table12[[#This Row],[Utilities]:[Misc. Housing costs]])</calculatedColumnFormula>
    </tableColumn>
    <tableColumn id="20" name="Monthly Total" dataDxfId="5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tabSelected="1" zoomScale="70" zoomScaleNormal="70" workbookViewId="0">
      <selection activeCell="C14" sqref="C14"/>
    </sheetView>
  </sheetViews>
  <sheetFormatPr defaultRowHeight="15"/>
  <cols>
    <col min="1" max="1" width="2.28515625" customWidth="1"/>
    <col min="2" max="2" width="25.7109375" style="8" customWidth="1"/>
    <col min="3" max="3" width="15.28515625" customWidth="1"/>
    <col min="4" max="4" width="14.5703125" style="16" customWidth="1"/>
    <col min="5" max="5" width="23.28515625" customWidth="1"/>
    <col min="6" max="6" width="14.7109375" customWidth="1"/>
    <col min="7" max="7" width="10.42578125" style="16" customWidth="1"/>
    <col min="8" max="8" width="16.28515625" style="16" customWidth="1"/>
    <col min="9" max="9" width="12.5703125" customWidth="1"/>
    <col min="10" max="10" width="13" customWidth="1"/>
    <col min="11" max="11" width="18.140625" bestFit="1" customWidth="1"/>
    <col min="12" max="12" width="12" customWidth="1"/>
    <col min="13" max="13" width="12.85546875" customWidth="1"/>
    <col min="14" max="14" width="18.140625" bestFit="1" customWidth="1"/>
    <col min="15" max="15" width="12" bestFit="1" customWidth="1"/>
    <col min="16" max="16" width="11.42578125" customWidth="1"/>
    <col min="17" max="17" width="13.140625" customWidth="1"/>
    <col min="18" max="18" width="9.7109375" customWidth="1"/>
    <col min="19" max="19" width="11.140625" style="16" customWidth="1"/>
    <col min="20" max="20" width="11" bestFit="1" customWidth="1"/>
    <col min="21" max="21" width="6.7109375" customWidth="1"/>
    <col min="22" max="22" width="7.85546875" customWidth="1"/>
  </cols>
  <sheetData>
    <row r="1" spans="2:15" s="16" customFormat="1" ht="15.75" thickBot="1">
      <c r="B1" s="8"/>
    </row>
    <row r="2" spans="2:15" s="16" customFormat="1" ht="15.75" thickBot="1">
      <c r="B2" s="162" t="s">
        <v>170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4"/>
    </row>
    <row r="3" spans="2:15" s="16" customFormat="1" ht="30">
      <c r="B3" s="177" t="s">
        <v>44</v>
      </c>
      <c r="C3" s="179"/>
      <c r="D3" s="179"/>
      <c r="E3" s="179"/>
      <c r="F3" s="178"/>
      <c r="G3" s="105"/>
      <c r="H3" s="57" t="s">
        <v>180</v>
      </c>
      <c r="I3" s="126">
        <v>2016</v>
      </c>
      <c r="J3" s="105"/>
      <c r="K3" s="188" t="s">
        <v>147</v>
      </c>
      <c r="L3" s="189"/>
      <c r="M3" s="190" t="s">
        <v>162</v>
      </c>
      <c r="N3" s="188" t="s">
        <v>151</v>
      </c>
      <c r="O3" s="189"/>
    </row>
    <row r="4" spans="2:15" s="16" customFormat="1" ht="30">
      <c r="B4" s="180" t="str">
        <f>C5</f>
        <v>Johnny</v>
      </c>
      <c r="C4" s="181"/>
      <c r="D4" s="96"/>
      <c r="E4" s="181" t="str">
        <f>F5</f>
        <v>Ellis</v>
      </c>
      <c r="F4" s="182"/>
      <c r="G4" s="105"/>
      <c r="H4" s="48" t="s">
        <v>149</v>
      </c>
      <c r="I4" s="127">
        <v>2018</v>
      </c>
      <c r="J4" s="105"/>
      <c r="K4" s="128" t="s">
        <v>5</v>
      </c>
      <c r="L4" s="129">
        <v>0</v>
      </c>
      <c r="M4" s="190"/>
      <c r="N4" s="128" t="s">
        <v>152</v>
      </c>
      <c r="O4" s="129">
        <v>0</v>
      </c>
    </row>
    <row r="5" spans="2:15" s="16" customFormat="1" ht="30">
      <c r="B5" s="48" t="s">
        <v>51</v>
      </c>
      <c r="C5" s="130" t="s">
        <v>125</v>
      </c>
      <c r="D5" s="96"/>
      <c r="E5" s="44" t="str">
        <f>B5</f>
        <v>Name</v>
      </c>
      <c r="F5" s="131" t="s">
        <v>126</v>
      </c>
      <c r="G5" s="105"/>
      <c r="H5" s="48" t="s">
        <v>106</v>
      </c>
      <c r="I5" s="131">
        <v>24</v>
      </c>
      <c r="J5" s="105"/>
      <c r="K5" s="58" t="s">
        <v>6</v>
      </c>
      <c r="L5" s="132">
        <v>0.04</v>
      </c>
      <c r="M5" s="190"/>
      <c r="N5" s="58" t="s">
        <v>6</v>
      </c>
      <c r="O5" s="132">
        <v>0.03</v>
      </c>
    </row>
    <row r="6" spans="2:15" s="16" customFormat="1" ht="30.75" thickBot="1">
      <c r="B6" s="48" t="s">
        <v>44</v>
      </c>
      <c r="C6" s="133">
        <v>30000</v>
      </c>
      <c r="D6" s="96"/>
      <c r="E6" s="44" t="str">
        <f t="shared" ref="E6:E12" si="0">B6</f>
        <v>Income</v>
      </c>
      <c r="F6" s="134">
        <v>20000</v>
      </c>
      <c r="G6" s="105"/>
      <c r="H6" s="49" t="str">
        <f>CONCATENATE("Savings @ Start of ", I3)</f>
        <v>Savings @ Start of 2016</v>
      </c>
      <c r="I6" s="135">
        <v>75000</v>
      </c>
      <c r="J6" s="105"/>
      <c r="K6" s="58" t="s">
        <v>148</v>
      </c>
      <c r="L6" s="136">
        <v>3</v>
      </c>
      <c r="M6" s="190"/>
      <c r="N6" s="58" t="s">
        <v>148</v>
      </c>
      <c r="O6" s="136">
        <v>3</v>
      </c>
    </row>
    <row r="7" spans="2:15" s="16" customFormat="1" ht="30.75" thickBot="1">
      <c r="B7" s="48" t="s">
        <v>158</v>
      </c>
      <c r="C7" s="133"/>
      <c r="D7" s="96"/>
      <c r="E7" s="44" t="str">
        <f t="shared" si="0"/>
        <v>Pre-Tax Savings ($)</v>
      </c>
      <c r="F7" s="134"/>
      <c r="G7" s="105"/>
      <c r="H7" s="105"/>
      <c r="I7" s="105"/>
      <c r="J7" s="105"/>
      <c r="K7" s="69" t="s">
        <v>120</v>
      </c>
      <c r="L7" s="137">
        <f>'Student Loans'!K3</f>
        <v>0</v>
      </c>
      <c r="M7" s="190"/>
      <c r="N7" s="69" t="s">
        <v>120</v>
      </c>
      <c r="O7" s="137">
        <f>'Credit Card Debt'!K3</f>
        <v>0</v>
      </c>
    </row>
    <row r="8" spans="2:15" s="16" customFormat="1" ht="30.75" thickBot="1">
      <c r="B8" s="48" t="s">
        <v>159</v>
      </c>
      <c r="C8" s="51"/>
      <c r="D8" s="96"/>
      <c r="E8" s="44" t="str">
        <f t="shared" si="0"/>
        <v>Pre-Tax Savings (% of income)</v>
      </c>
      <c r="F8" s="52"/>
      <c r="G8" s="105"/>
      <c r="H8" s="105"/>
      <c r="I8" s="105"/>
      <c r="J8" s="105"/>
      <c r="K8" s="105"/>
      <c r="L8" s="105"/>
      <c r="M8" s="105"/>
      <c r="N8" s="105"/>
      <c r="O8" s="138"/>
    </row>
    <row r="9" spans="2:15" s="16" customFormat="1" ht="30">
      <c r="B9" s="48" t="s">
        <v>178</v>
      </c>
      <c r="C9" s="51"/>
      <c r="D9" s="96"/>
      <c r="E9" s="44" t="str">
        <f>B9</f>
        <v>Pre-Tax Savings Employer Match (%)</v>
      </c>
      <c r="F9" s="52"/>
      <c r="G9" s="105"/>
      <c r="H9" s="165" t="s">
        <v>55</v>
      </c>
      <c r="I9" s="166"/>
      <c r="J9" s="105"/>
      <c r="K9" s="177" t="s">
        <v>107</v>
      </c>
      <c r="L9" s="178"/>
      <c r="M9" s="119"/>
      <c r="N9" s="165" t="s">
        <v>46</v>
      </c>
      <c r="O9" s="166"/>
    </row>
    <row r="10" spans="2:15" s="16" customFormat="1">
      <c r="B10" s="48" t="s">
        <v>181</v>
      </c>
      <c r="C10" s="133"/>
      <c r="D10" s="96"/>
      <c r="E10" s="44" t="str">
        <f t="shared" si="0"/>
        <v>Post-Tax Savings ($)</v>
      </c>
      <c r="F10" s="134"/>
      <c r="G10" s="105"/>
      <c r="H10" s="48" t="s">
        <v>57</v>
      </c>
      <c r="I10" s="131">
        <v>2020</v>
      </c>
      <c r="J10" s="105"/>
      <c r="K10" s="58" t="s">
        <v>108</v>
      </c>
      <c r="L10" s="134">
        <v>400</v>
      </c>
      <c r="M10" s="139"/>
      <c r="N10" s="48" t="s">
        <v>115</v>
      </c>
      <c r="O10" s="131">
        <v>15000</v>
      </c>
    </row>
    <row r="11" spans="2:15" s="16" customFormat="1" ht="30">
      <c r="B11" s="48" t="s">
        <v>161</v>
      </c>
      <c r="C11" s="51"/>
      <c r="D11" s="96"/>
      <c r="E11" s="44" t="str">
        <f t="shared" si="0"/>
        <v>Post-Tax Savings, IRA (% of income)</v>
      </c>
      <c r="F11" s="52"/>
      <c r="G11" s="105"/>
      <c r="H11" s="48" t="s">
        <v>56</v>
      </c>
      <c r="I11" s="131">
        <v>2022</v>
      </c>
      <c r="J11" s="105"/>
      <c r="K11" s="58" t="s">
        <v>166</v>
      </c>
      <c r="L11" s="140">
        <v>2017</v>
      </c>
      <c r="M11" s="41"/>
      <c r="N11" s="48" t="s">
        <v>113</v>
      </c>
      <c r="O11" s="141">
        <v>4</v>
      </c>
    </row>
    <row r="12" spans="2:15" s="16" customFormat="1" ht="30">
      <c r="B12" s="108" t="s">
        <v>172</v>
      </c>
      <c r="C12" s="133">
        <v>5500</v>
      </c>
      <c r="D12" s="105"/>
      <c r="E12" s="109" t="str">
        <f t="shared" si="0"/>
        <v>Maximum Post-Tax Savings Allowed</v>
      </c>
      <c r="F12" s="134">
        <f>C12</f>
        <v>5500</v>
      </c>
      <c r="G12" s="105"/>
      <c r="H12" s="48" t="s">
        <v>58</v>
      </c>
      <c r="I12" s="131">
        <v>2024</v>
      </c>
      <c r="J12" s="105"/>
      <c r="K12" s="58" t="s">
        <v>109</v>
      </c>
      <c r="L12" s="140">
        <v>2021</v>
      </c>
      <c r="M12" s="41"/>
      <c r="N12" s="48" t="s">
        <v>114</v>
      </c>
      <c r="O12" s="131">
        <v>20</v>
      </c>
    </row>
    <row r="13" spans="2:15" s="16" customFormat="1" ht="15.75" thickBot="1">
      <c r="B13" s="48" t="s">
        <v>53</v>
      </c>
      <c r="C13" s="133">
        <v>1000</v>
      </c>
      <c r="D13" s="96"/>
      <c r="E13" s="44" t="str">
        <f>B13</f>
        <v>Bonuses ($)</v>
      </c>
      <c r="F13" s="134"/>
      <c r="G13" s="105"/>
      <c r="H13" s="49" t="s">
        <v>59</v>
      </c>
      <c r="I13" s="142"/>
      <c r="J13" s="105"/>
      <c r="K13" s="58" t="s">
        <v>110</v>
      </c>
      <c r="L13" s="134">
        <v>450</v>
      </c>
      <c r="M13" s="41"/>
      <c r="N13" s="48" t="s">
        <v>116</v>
      </c>
      <c r="O13" s="141">
        <f>O11*(O10/O12)</f>
        <v>3000</v>
      </c>
    </row>
    <row r="14" spans="2:15" s="16" customFormat="1" ht="30.75" thickBot="1">
      <c r="B14" s="48" t="s">
        <v>54</v>
      </c>
      <c r="C14" s="51"/>
      <c r="D14" s="96"/>
      <c r="E14" s="44" t="str">
        <f>B14</f>
        <v>Bonuses (% of income)</v>
      </c>
      <c r="F14" s="52"/>
      <c r="G14" s="105"/>
      <c r="H14" s="105"/>
      <c r="I14" s="105"/>
      <c r="J14" s="105"/>
      <c r="K14" s="58" t="s">
        <v>167</v>
      </c>
      <c r="L14" s="140">
        <v>2021</v>
      </c>
      <c r="M14" s="41"/>
      <c r="N14" s="49" t="s">
        <v>117</v>
      </c>
      <c r="O14" s="143">
        <f>O13/12</f>
        <v>250</v>
      </c>
    </row>
    <row r="15" spans="2:15" s="16" customFormat="1" ht="30">
      <c r="B15" s="48" t="s">
        <v>52</v>
      </c>
      <c r="C15" s="51">
        <v>0.04</v>
      </c>
      <c r="D15" s="96"/>
      <c r="E15" s="44" t="str">
        <f>B15</f>
        <v>Yearly Raise (%)</v>
      </c>
      <c r="F15" s="52">
        <v>0.04</v>
      </c>
      <c r="G15" s="105"/>
      <c r="H15" s="105"/>
      <c r="I15" s="105"/>
      <c r="J15" s="105"/>
      <c r="K15" s="58" t="s">
        <v>111</v>
      </c>
      <c r="L15" s="140">
        <v>2025</v>
      </c>
      <c r="M15" s="41"/>
      <c r="N15" s="118"/>
      <c r="O15" s="144"/>
    </row>
    <row r="16" spans="2:15" s="16" customFormat="1" ht="15.75" thickBot="1">
      <c r="B16" s="49" t="str">
        <f>CONCATENATE("Years ",C5, " will work")</f>
        <v>Years Johnny will work</v>
      </c>
      <c r="C16" s="145">
        <v>40</v>
      </c>
      <c r="D16" s="146"/>
      <c r="E16" s="50" t="str">
        <f>CONCATENATE("Years ",F5, " will work")</f>
        <v>Years Ellis will work</v>
      </c>
      <c r="F16" s="142">
        <v>3</v>
      </c>
      <c r="G16" s="105"/>
      <c r="H16" s="105"/>
      <c r="I16" s="105"/>
      <c r="J16" s="105"/>
      <c r="K16" s="58" t="s">
        <v>176</v>
      </c>
      <c r="L16" s="134"/>
      <c r="M16" s="105"/>
      <c r="N16" s="105"/>
      <c r="O16" s="138"/>
    </row>
    <row r="17" spans="2:22" s="16" customFormat="1" ht="30">
      <c r="B17" s="123"/>
      <c r="C17" s="84"/>
      <c r="D17" s="84"/>
      <c r="E17" s="119"/>
      <c r="F17" s="84"/>
      <c r="G17" s="103"/>
      <c r="H17" s="103"/>
      <c r="I17" s="103"/>
      <c r="J17" s="103"/>
      <c r="K17" s="58" t="s">
        <v>174</v>
      </c>
      <c r="L17" s="68"/>
      <c r="M17" s="103"/>
      <c r="N17" s="103"/>
      <c r="O17" s="104"/>
    </row>
    <row r="18" spans="2:22" s="16" customFormat="1" ht="30.75" thickBot="1">
      <c r="B18" s="120"/>
      <c r="C18" s="121"/>
      <c r="D18" s="121"/>
      <c r="E18" s="122"/>
      <c r="F18" s="121"/>
      <c r="G18" s="106"/>
      <c r="H18" s="106"/>
      <c r="I18" s="106"/>
      <c r="J18" s="106"/>
      <c r="K18" s="69" t="s">
        <v>175</v>
      </c>
      <c r="L18" s="70"/>
      <c r="M18" s="106"/>
      <c r="N18" s="106"/>
      <c r="O18" s="116"/>
    </row>
    <row r="19" spans="2:22" s="106" customFormat="1" ht="15.75" thickBot="1">
      <c r="B19" s="122"/>
      <c r="C19" s="121"/>
      <c r="D19" s="121"/>
      <c r="E19" s="122"/>
      <c r="F19" s="121"/>
      <c r="K19" s="117"/>
      <c r="L19" s="107"/>
    </row>
    <row r="20" spans="2:22" s="8" customFormat="1" ht="15.75" thickBot="1">
      <c r="T20" s="32"/>
    </row>
    <row r="21" spans="2:22" s="16" customFormat="1" ht="15.75" thickBot="1">
      <c r="B21" s="167" t="s">
        <v>177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9"/>
      <c r="T21" s="92"/>
      <c r="U21" s="92"/>
      <c r="V21" s="92"/>
    </row>
    <row r="22" spans="2:22" s="16" customFormat="1">
      <c r="B22" s="183" t="s">
        <v>171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5"/>
    </row>
    <row r="23" spans="2:22" s="16" customFormat="1" ht="45">
      <c r="B23" s="58" t="s">
        <v>32</v>
      </c>
      <c r="C23" s="43" t="s">
        <v>179</v>
      </c>
      <c r="D23" s="43" t="s">
        <v>146</v>
      </c>
      <c r="E23" s="43" t="s">
        <v>160</v>
      </c>
      <c r="F23" s="43" t="s">
        <v>48</v>
      </c>
      <c r="G23" s="43" t="s">
        <v>33</v>
      </c>
      <c r="H23" s="43" t="s">
        <v>34</v>
      </c>
      <c r="I23" s="43" t="s">
        <v>185</v>
      </c>
      <c r="J23" s="43" t="s">
        <v>35</v>
      </c>
      <c r="K23" s="43" t="s">
        <v>36</v>
      </c>
      <c r="L23" s="43" t="s">
        <v>37</v>
      </c>
      <c r="M23" s="43" t="s">
        <v>38</v>
      </c>
      <c r="N23" s="43" t="s">
        <v>39</v>
      </c>
      <c r="O23" s="43" t="s">
        <v>40</v>
      </c>
      <c r="P23" s="43" t="s">
        <v>128</v>
      </c>
      <c r="Q23" s="43" t="s">
        <v>41</v>
      </c>
      <c r="R23" s="43" t="s">
        <v>42</v>
      </c>
      <c r="S23" s="59" t="s">
        <v>43</v>
      </c>
    </row>
    <row r="24" spans="2:22" s="16" customFormat="1">
      <c r="B24" s="124">
        <v>0</v>
      </c>
      <c r="C24" s="113">
        <v>125</v>
      </c>
      <c r="D24" s="114">
        <f>L7+O7</f>
        <v>0</v>
      </c>
      <c r="E24" s="114">
        <f>MIN(C12+F12,C11*C6+F6*F11+C10+F10)/12</f>
        <v>0</v>
      </c>
      <c r="F24" s="78">
        <f>(100+'Data Input'!F61)</f>
        <v>100</v>
      </c>
      <c r="G24" s="113">
        <v>100</v>
      </c>
      <c r="H24" s="113">
        <v>60</v>
      </c>
      <c r="I24" s="78">
        <f>O14</f>
        <v>250</v>
      </c>
      <c r="J24" s="113">
        <v>300</v>
      </c>
      <c r="K24" s="113">
        <v>100</v>
      </c>
      <c r="L24" s="113">
        <v>100</v>
      </c>
      <c r="M24" s="113">
        <v>400</v>
      </c>
      <c r="N24" s="113">
        <v>200</v>
      </c>
      <c r="O24" s="113">
        <v>100</v>
      </c>
      <c r="P24" s="113">
        <v>300</v>
      </c>
      <c r="Q24" s="113">
        <v>100</v>
      </c>
      <c r="R24" s="113">
        <v>200</v>
      </c>
      <c r="S24" s="115">
        <v>100</v>
      </c>
    </row>
    <row r="25" spans="2:22" s="16" customFormat="1" ht="15.75" thickBot="1">
      <c r="B25" s="147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148"/>
    </row>
    <row r="26" spans="2:22" s="16" customFormat="1" ht="15.75" thickBot="1">
      <c r="B26" s="150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</row>
    <row r="27" spans="2:22" s="16" customFormat="1" ht="47.25" customHeight="1" thickBot="1">
      <c r="B27" s="186" t="s">
        <v>156</v>
      </c>
      <c r="C27" s="187"/>
      <c r="D27" s="103"/>
      <c r="E27" s="103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25"/>
    </row>
    <row r="28" spans="2:22" s="16" customFormat="1" ht="30.75" customHeight="1">
      <c r="B28" s="63" t="s">
        <v>154</v>
      </c>
      <c r="C28" s="64">
        <v>1380</v>
      </c>
      <c r="D28" s="103"/>
      <c r="E28" s="149" t="s">
        <v>173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125"/>
    </row>
    <row r="29" spans="2:22" s="16" customFormat="1" ht="15.75" thickBot="1">
      <c r="B29" s="153" t="s">
        <v>155</v>
      </c>
      <c r="C29" s="154">
        <v>0.02</v>
      </c>
      <c r="D29" s="106"/>
      <c r="E29" s="155">
        <v>0.01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2"/>
      <c r="T29" s="85"/>
      <c r="U29" s="85"/>
      <c r="V29" s="85"/>
    </row>
    <row r="30" spans="2:22" s="106" customFormat="1" ht="15.75" thickBot="1">
      <c r="B30" s="156"/>
      <c r="C30" s="110"/>
      <c r="D30" s="107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</row>
    <row r="31" spans="2:22" s="16" customFormat="1" ht="15.75" thickBot="1">
      <c r="B31" s="101"/>
      <c r="C31" s="102"/>
      <c r="D31" s="8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2:22" s="16" customFormat="1" ht="15.75" thickBot="1">
      <c r="B32" s="170" t="s">
        <v>182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2"/>
      <c r="T32" s="85"/>
      <c r="U32" s="85"/>
      <c r="V32" s="85"/>
    </row>
    <row r="33" spans="2:22" s="16" customFormat="1">
      <c r="B33" s="173" t="s">
        <v>183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85"/>
      <c r="U33" s="85"/>
      <c r="V33" s="85"/>
    </row>
    <row r="34" spans="2:22" s="16" customFormat="1" ht="45">
      <c r="B34" s="58" t="str">
        <f>B23</f>
        <v>Utilities</v>
      </c>
      <c r="C34" s="43" t="str">
        <f t="shared" ref="C34:S34" si="1">C23</f>
        <v>Car Insurance &amp; Registration</v>
      </c>
      <c r="D34" s="43" t="str">
        <f t="shared" si="1"/>
        <v>Debt Payments</v>
      </c>
      <c r="E34" s="43" t="str">
        <f t="shared" si="1"/>
        <v>Post-Tax Savings (IRA)</v>
      </c>
      <c r="F34" s="43" t="str">
        <f t="shared" si="1"/>
        <v>Car Repairs &amp; Car Payment</v>
      </c>
      <c r="G34" s="43" t="str">
        <f t="shared" si="1"/>
        <v>Cell Phones</v>
      </c>
      <c r="H34" s="43" t="str">
        <f t="shared" si="1"/>
        <v>Internet</v>
      </c>
      <c r="I34" s="43" t="str">
        <f t="shared" si="1"/>
        <v>Gasoline</v>
      </c>
      <c r="J34" s="43" t="str">
        <f t="shared" si="1"/>
        <v>Groceries</v>
      </c>
      <c r="K34" s="43" t="str">
        <f t="shared" si="1"/>
        <v>Meals Out</v>
      </c>
      <c r="L34" s="43" t="str">
        <f t="shared" si="1"/>
        <v>House Supplies</v>
      </c>
      <c r="M34" s="43" t="str">
        <f t="shared" si="1"/>
        <v>Vacation</v>
      </c>
      <c r="N34" s="43" t="str">
        <f t="shared" si="1"/>
        <v>Pocket Money</v>
      </c>
      <c r="O34" s="43" t="str">
        <f t="shared" si="1"/>
        <v>Clothing</v>
      </c>
      <c r="P34" s="43" t="str">
        <f t="shared" si="1"/>
        <v>Charity</v>
      </c>
      <c r="Q34" s="43" t="str">
        <f t="shared" si="1"/>
        <v>Entertainment</v>
      </c>
      <c r="R34" s="43" t="str">
        <f t="shared" si="1"/>
        <v>Gifts</v>
      </c>
      <c r="S34" s="59" t="str">
        <f t="shared" si="1"/>
        <v>Misc. Housing costs</v>
      </c>
      <c r="T34" s="85"/>
      <c r="U34" s="85"/>
      <c r="V34" s="85"/>
    </row>
    <row r="35" spans="2:22" s="16" customFormat="1" ht="15.75" thickBot="1">
      <c r="B35" s="157">
        <v>400</v>
      </c>
      <c r="C35" s="60">
        <v>250</v>
      </c>
      <c r="D35" s="89">
        <f>D24</f>
        <v>0</v>
      </c>
      <c r="E35" s="89">
        <f>E24</f>
        <v>0</v>
      </c>
      <c r="F35" s="61">
        <f>F24</f>
        <v>100</v>
      </c>
      <c r="G35" s="60">
        <v>100</v>
      </c>
      <c r="H35" s="60">
        <v>60</v>
      </c>
      <c r="I35" s="61">
        <f>I24</f>
        <v>250</v>
      </c>
      <c r="J35" s="60">
        <v>500</v>
      </c>
      <c r="K35" s="60">
        <v>100</v>
      </c>
      <c r="L35" s="60">
        <v>100</v>
      </c>
      <c r="M35" s="60">
        <v>200</v>
      </c>
      <c r="N35" s="60">
        <v>200</v>
      </c>
      <c r="O35" s="60">
        <v>100</v>
      </c>
      <c r="P35" s="60">
        <v>500</v>
      </c>
      <c r="Q35" s="60">
        <v>100</v>
      </c>
      <c r="R35" s="60">
        <v>200</v>
      </c>
      <c r="S35" s="62">
        <v>100</v>
      </c>
      <c r="T35" s="85"/>
      <c r="U35" s="85"/>
      <c r="V35" s="85"/>
    </row>
    <row r="36" spans="2:22" s="16" customFormat="1" ht="15.75" thickBot="1">
      <c r="B36" s="158"/>
      <c r="C36" s="102"/>
      <c r="D36" s="8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125"/>
      <c r="T36" s="85"/>
      <c r="U36" s="85"/>
      <c r="V36" s="85"/>
    </row>
    <row r="37" spans="2:22" s="16" customFormat="1" ht="27.75" customHeight="1">
      <c r="B37" s="186" t="s">
        <v>118</v>
      </c>
      <c r="C37" s="187"/>
      <c r="D37" s="88"/>
      <c r="E37" s="149" t="s">
        <v>184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125"/>
      <c r="T37" s="85"/>
      <c r="U37" s="85"/>
      <c r="V37" s="85"/>
    </row>
    <row r="38" spans="2:22" s="16" customFormat="1" ht="15.75" thickBot="1">
      <c r="B38" s="63" t="s">
        <v>5</v>
      </c>
      <c r="C38" s="64">
        <v>400000</v>
      </c>
      <c r="D38" s="103"/>
      <c r="E38" s="155">
        <v>0.01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59"/>
      <c r="T38" s="45"/>
      <c r="U38" s="45"/>
      <c r="V38" s="45"/>
    </row>
    <row r="39" spans="2:22" s="16" customFormat="1">
      <c r="B39" s="65" t="s">
        <v>6</v>
      </c>
      <c r="C39" s="66">
        <v>0.04</v>
      </c>
      <c r="D39" s="103"/>
      <c r="E39" s="103"/>
      <c r="F39" s="103"/>
      <c r="G39" s="83"/>
      <c r="H39" s="103"/>
      <c r="I39" s="103"/>
      <c r="J39" s="45"/>
      <c r="K39" s="103"/>
      <c r="L39" s="103"/>
      <c r="M39" s="103"/>
      <c r="N39" s="103"/>
      <c r="O39" s="103"/>
      <c r="P39" s="45"/>
      <c r="Q39" s="103"/>
      <c r="R39" s="103"/>
      <c r="S39" s="104"/>
    </row>
    <row r="40" spans="2:22">
      <c r="B40" s="65" t="s">
        <v>119</v>
      </c>
      <c r="C40" s="67">
        <v>15</v>
      </c>
      <c r="D40" s="103"/>
      <c r="E40" s="103"/>
      <c r="F40" s="103"/>
      <c r="G40" s="3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4"/>
    </row>
    <row r="41" spans="2:22">
      <c r="B41" s="58" t="s">
        <v>122</v>
      </c>
      <c r="C41" s="68">
        <v>15</v>
      </c>
      <c r="D41" s="103"/>
      <c r="E41" s="103"/>
      <c r="F41" s="103"/>
      <c r="G41" s="84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4"/>
    </row>
    <row r="42" spans="2:22">
      <c r="B42" s="58" t="s">
        <v>123</v>
      </c>
      <c r="C42" s="64">
        <v>6000</v>
      </c>
      <c r="D42" s="103"/>
      <c r="E42" s="103"/>
      <c r="F42" s="103"/>
      <c r="G42" s="8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</row>
    <row r="43" spans="2:22">
      <c r="B43" s="58" t="s">
        <v>124</v>
      </c>
      <c r="C43" s="64">
        <v>1200</v>
      </c>
      <c r="D43" s="103"/>
      <c r="E43" s="103"/>
      <c r="F43" s="103"/>
      <c r="G43" s="85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4"/>
    </row>
    <row r="44" spans="2:22" s="16" customFormat="1" ht="30">
      <c r="B44" s="97" t="s">
        <v>163</v>
      </c>
      <c r="C44" s="64">
        <v>100000</v>
      </c>
      <c r="D44" s="103"/>
      <c r="E44" s="103"/>
      <c r="F44" s="103"/>
      <c r="G44" s="86"/>
      <c r="H44" s="103"/>
      <c r="I44" s="103"/>
      <c r="J44" s="103"/>
      <c r="K44" s="93"/>
      <c r="L44" s="94"/>
      <c r="M44" s="103"/>
      <c r="N44" s="103"/>
      <c r="O44" s="103"/>
      <c r="P44" s="103"/>
      <c r="Q44" s="103"/>
      <c r="R44" s="103"/>
      <c r="S44" s="104"/>
    </row>
    <row r="45" spans="2:22" s="16" customFormat="1" ht="30.75" thickBot="1">
      <c r="B45" s="69" t="s">
        <v>120</v>
      </c>
      <c r="C45" s="75">
        <f>'Mortgage Sheet'!K3</f>
        <v>3558.7517024370227</v>
      </c>
      <c r="D45" s="106"/>
      <c r="E45" s="106"/>
      <c r="F45" s="106"/>
      <c r="G45" s="160"/>
      <c r="H45" s="106"/>
      <c r="I45" s="106"/>
      <c r="J45" s="106"/>
      <c r="K45" s="117"/>
      <c r="L45" s="161"/>
      <c r="M45" s="106"/>
      <c r="N45" s="106"/>
      <c r="O45" s="106"/>
      <c r="P45" s="106"/>
      <c r="Q45" s="106"/>
      <c r="R45" s="106"/>
      <c r="S45" s="116"/>
    </row>
    <row r="46" spans="2:22" s="16" customFormat="1">
      <c r="B46" s="8"/>
      <c r="G46" s="86"/>
      <c r="K46" s="93"/>
      <c r="L46" s="94"/>
    </row>
    <row r="47" spans="2:22">
      <c r="G47" s="85"/>
      <c r="J47" s="16"/>
      <c r="K47" s="16"/>
      <c r="L47" s="16"/>
      <c r="M47" s="16"/>
      <c r="N47" s="16"/>
      <c r="O47" s="16"/>
      <c r="P47" s="16"/>
      <c r="Q47" s="16"/>
    </row>
    <row r="48" spans="2:22" s="16" customFormat="1">
      <c r="B48" s="8"/>
      <c r="G48" s="86"/>
      <c r="K48" s="8"/>
      <c r="L48" s="8"/>
    </row>
    <row r="49" spans="2:17" s="8" customFormat="1">
      <c r="G49" s="86"/>
      <c r="K49" s="16"/>
      <c r="L49" s="16"/>
    </row>
    <row r="50" spans="2:17">
      <c r="G50" s="84"/>
      <c r="I50" s="16"/>
      <c r="J50" s="16"/>
      <c r="K50" s="16"/>
      <c r="L50" s="16"/>
      <c r="M50" s="16"/>
      <c r="N50" s="16"/>
      <c r="O50" s="16"/>
      <c r="P50" s="16"/>
      <c r="Q50" s="16"/>
    </row>
    <row r="51" spans="2:17">
      <c r="G51" s="87"/>
      <c r="I51" s="16"/>
      <c r="J51" s="16"/>
      <c r="K51" s="16"/>
      <c r="L51" s="16"/>
      <c r="M51" s="16"/>
      <c r="N51" s="16"/>
      <c r="O51" s="16"/>
      <c r="P51" s="16"/>
      <c r="Q51" s="16"/>
    </row>
    <row r="52" spans="2:17">
      <c r="J52" s="16"/>
      <c r="K52" s="16"/>
      <c r="L52" s="16"/>
      <c r="M52" s="16"/>
      <c r="N52" s="16"/>
      <c r="O52" s="16"/>
      <c r="P52" s="16"/>
      <c r="Q52" s="16"/>
    </row>
    <row r="53" spans="2:17">
      <c r="J53" s="16"/>
      <c r="K53" s="16"/>
      <c r="L53" s="16"/>
      <c r="M53" s="16"/>
      <c r="N53" s="16"/>
      <c r="O53" s="16"/>
      <c r="P53" s="16"/>
      <c r="Q53" s="16"/>
    </row>
    <row r="54" spans="2:17">
      <c r="J54" s="16"/>
      <c r="K54" s="16"/>
      <c r="L54" s="16"/>
      <c r="M54" s="16"/>
      <c r="N54" s="16"/>
      <c r="O54" s="16"/>
      <c r="P54" s="16"/>
      <c r="Q54" s="16"/>
    </row>
    <row r="55" spans="2:17">
      <c r="J55" s="16"/>
      <c r="K55" s="16"/>
      <c r="L55" s="16"/>
      <c r="M55" s="16"/>
      <c r="N55" s="16"/>
      <c r="O55" s="16"/>
      <c r="P55" s="16"/>
      <c r="Q55" s="16"/>
    </row>
    <row r="56" spans="2:17">
      <c r="J56" s="16"/>
      <c r="K56" s="16"/>
      <c r="L56" s="16"/>
      <c r="M56" s="16"/>
      <c r="N56" s="16"/>
      <c r="O56" s="16"/>
      <c r="P56" s="16"/>
      <c r="Q56" s="16"/>
    </row>
    <row r="57" spans="2:17">
      <c r="J57" s="16"/>
      <c r="K57" s="16"/>
      <c r="L57" s="16"/>
      <c r="M57" s="16"/>
      <c r="N57" s="16"/>
      <c r="O57" s="16"/>
      <c r="P57" s="16"/>
      <c r="Q57" s="16"/>
    </row>
    <row r="58" spans="2:17" s="16" customFormat="1">
      <c r="B58" s="8"/>
    </row>
    <row r="59" spans="2:17" s="16" customFormat="1">
      <c r="B59" s="8"/>
      <c r="G59" s="87"/>
      <c r="H59" s="83"/>
      <c r="I59" s="98"/>
    </row>
    <row r="60" spans="2:17">
      <c r="B60" s="176" t="s">
        <v>63</v>
      </c>
      <c r="C60" s="176"/>
      <c r="E60" s="176" t="s">
        <v>112</v>
      </c>
      <c r="F60" s="176"/>
      <c r="G60" s="84"/>
      <c r="H60" s="84"/>
    </row>
    <row r="61" spans="2:17">
      <c r="B61" s="96">
        <f>I3</f>
        <v>2016</v>
      </c>
      <c r="C61" s="95">
        <f t="shared" ref="C61:C90" si="2">IF(AND(B61&gt;=$I$10,$I$10&gt;0,(B61-$I$10)&lt;18),1,0)+IF(AND(B61&gt;=$I$11,$I$11&gt;0,(B61-$I$11)&lt;18),1,0)+IF(AND(B61&gt;=$I$12,$I$12&gt;0,(B61-$I$12)&lt;18),1,0)+IF(AND(B61&gt;=$I$13,$I$13&gt;0,(B61-$I$13)&lt;18),1,0)</f>
        <v>0</v>
      </c>
      <c r="E61" s="27">
        <f>B61</f>
        <v>2016</v>
      </c>
      <c r="F61" s="28">
        <f>IF(AND(E61&gt;=$L$11,E61&lt;=$L$12),$L$10,0)+IF(AND(E61&gt;=$L$14,E61&lt;=$L$15),$L$13,0)++IF(AND(E61&gt;=$L$17,E61&lt;=$L$18),$L$16,0)</f>
        <v>0</v>
      </c>
      <c r="G61" s="85"/>
      <c r="H61" s="85"/>
    </row>
    <row r="62" spans="2:17">
      <c r="B62" s="96">
        <f>B61+1</f>
        <v>2017</v>
      </c>
      <c r="C62" s="95">
        <f t="shared" si="2"/>
        <v>0</v>
      </c>
      <c r="E62" s="27">
        <f t="shared" ref="E62:E90" si="3">B62</f>
        <v>2017</v>
      </c>
      <c r="F62" s="28">
        <f t="shared" ref="F62:F90" si="4">IF(AND(E62&gt;=$L$11,E62&lt;=$L$12),$L$10,0)+IF(AND(E62&gt;=$L$14,E62&lt;=$L$15),$L$13,0)++IF(AND(E62&gt;=$L$17,E62&lt;=$L$18),$L$16,0)</f>
        <v>400</v>
      </c>
      <c r="G62" s="85"/>
      <c r="H62" s="85"/>
    </row>
    <row r="63" spans="2:17">
      <c r="B63" s="96">
        <f t="shared" ref="B63:B90" si="5">B62+1</f>
        <v>2018</v>
      </c>
      <c r="C63" s="95">
        <f t="shared" si="2"/>
        <v>0</v>
      </c>
      <c r="E63" s="27">
        <f t="shared" si="3"/>
        <v>2018</v>
      </c>
      <c r="F63" s="28">
        <f t="shared" si="4"/>
        <v>400</v>
      </c>
      <c r="G63" s="85"/>
      <c r="H63" s="85"/>
    </row>
    <row r="64" spans="2:17">
      <c r="B64" s="96">
        <f t="shared" si="5"/>
        <v>2019</v>
      </c>
      <c r="C64" s="95">
        <f t="shared" si="2"/>
        <v>0</v>
      </c>
      <c r="E64" s="27">
        <f t="shared" si="3"/>
        <v>2019</v>
      </c>
      <c r="F64" s="28">
        <f t="shared" si="4"/>
        <v>400</v>
      </c>
      <c r="G64" s="85"/>
      <c r="H64" s="85"/>
    </row>
    <row r="65" spans="2:8">
      <c r="B65" s="96">
        <f t="shared" si="5"/>
        <v>2020</v>
      </c>
      <c r="C65" s="95">
        <f t="shared" si="2"/>
        <v>1</v>
      </c>
      <c r="E65" s="27">
        <f t="shared" si="3"/>
        <v>2020</v>
      </c>
      <c r="F65" s="28">
        <f t="shared" si="4"/>
        <v>400</v>
      </c>
      <c r="G65" s="85"/>
      <c r="H65" s="85"/>
    </row>
    <row r="66" spans="2:8">
      <c r="B66" s="96">
        <f t="shared" si="5"/>
        <v>2021</v>
      </c>
      <c r="C66" s="95">
        <f t="shared" si="2"/>
        <v>1</v>
      </c>
      <c r="E66" s="27">
        <f t="shared" si="3"/>
        <v>2021</v>
      </c>
      <c r="F66" s="28">
        <f t="shared" si="4"/>
        <v>850</v>
      </c>
      <c r="G66" s="85"/>
      <c r="H66" s="85"/>
    </row>
    <row r="67" spans="2:8">
      <c r="B67" s="96">
        <f t="shared" si="5"/>
        <v>2022</v>
      </c>
      <c r="C67" s="95">
        <f t="shared" si="2"/>
        <v>2</v>
      </c>
      <c r="E67" s="27">
        <f t="shared" si="3"/>
        <v>2022</v>
      </c>
      <c r="F67" s="28">
        <f t="shared" si="4"/>
        <v>450</v>
      </c>
      <c r="G67" s="85"/>
      <c r="H67" s="85"/>
    </row>
    <row r="68" spans="2:8">
      <c r="B68" s="96">
        <f t="shared" si="5"/>
        <v>2023</v>
      </c>
      <c r="C68" s="95">
        <f t="shared" si="2"/>
        <v>2</v>
      </c>
      <c r="E68" s="27">
        <f t="shared" si="3"/>
        <v>2023</v>
      </c>
      <c r="F68" s="28">
        <f t="shared" si="4"/>
        <v>450</v>
      </c>
      <c r="G68" s="45"/>
      <c r="H68" s="45"/>
    </row>
    <row r="69" spans="2:8">
      <c r="B69" s="96">
        <f t="shared" si="5"/>
        <v>2024</v>
      </c>
      <c r="C69" s="95">
        <f t="shared" si="2"/>
        <v>3</v>
      </c>
      <c r="E69" s="27">
        <f t="shared" si="3"/>
        <v>2024</v>
      </c>
      <c r="F69" s="28">
        <f t="shared" si="4"/>
        <v>450</v>
      </c>
      <c r="G69" s="45"/>
      <c r="H69" s="45"/>
    </row>
    <row r="70" spans="2:8">
      <c r="B70" s="96">
        <f t="shared" si="5"/>
        <v>2025</v>
      </c>
      <c r="C70" s="95">
        <f t="shared" si="2"/>
        <v>3</v>
      </c>
      <c r="E70" s="27">
        <f t="shared" si="3"/>
        <v>2025</v>
      </c>
      <c r="F70" s="28">
        <f t="shared" si="4"/>
        <v>450</v>
      </c>
      <c r="G70" s="45"/>
      <c r="H70" s="45"/>
    </row>
    <row r="71" spans="2:8">
      <c r="B71" s="96">
        <f t="shared" si="5"/>
        <v>2026</v>
      </c>
      <c r="C71" s="95">
        <f t="shared" si="2"/>
        <v>3</v>
      </c>
      <c r="E71" s="27">
        <f t="shared" si="3"/>
        <v>2026</v>
      </c>
      <c r="F71" s="28">
        <f t="shared" si="4"/>
        <v>0</v>
      </c>
      <c r="G71" s="45"/>
      <c r="H71" s="45"/>
    </row>
    <row r="72" spans="2:8">
      <c r="B72" s="96">
        <f t="shared" si="5"/>
        <v>2027</v>
      </c>
      <c r="C72" s="95">
        <f t="shared" si="2"/>
        <v>3</v>
      </c>
      <c r="E72" s="27">
        <f t="shared" si="3"/>
        <v>2027</v>
      </c>
      <c r="F72" s="28">
        <f t="shared" si="4"/>
        <v>0</v>
      </c>
      <c r="G72" s="45"/>
      <c r="H72" s="45"/>
    </row>
    <row r="73" spans="2:8">
      <c r="B73" s="96">
        <f t="shared" si="5"/>
        <v>2028</v>
      </c>
      <c r="C73" s="95">
        <f t="shared" si="2"/>
        <v>3</v>
      </c>
      <c r="E73" s="27">
        <f t="shared" si="3"/>
        <v>2028</v>
      </c>
      <c r="F73" s="28">
        <f t="shared" si="4"/>
        <v>0</v>
      </c>
      <c r="G73" s="45"/>
      <c r="H73" s="45"/>
    </row>
    <row r="74" spans="2:8">
      <c r="B74" s="96">
        <f t="shared" si="5"/>
        <v>2029</v>
      </c>
      <c r="C74" s="95">
        <f t="shared" si="2"/>
        <v>3</v>
      </c>
      <c r="E74" s="27">
        <f t="shared" si="3"/>
        <v>2029</v>
      </c>
      <c r="F74" s="28">
        <f t="shared" si="4"/>
        <v>0</v>
      </c>
      <c r="G74" s="45"/>
      <c r="H74" s="45"/>
    </row>
    <row r="75" spans="2:8">
      <c r="B75" s="96">
        <f t="shared" si="5"/>
        <v>2030</v>
      </c>
      <c r="C75" s="95">
        <f t="shared" si="2"/>
        <v>3</v>
      </c>
      <c r="E75" s="27">
        <f t="shared" si="3"/>
        <v>2030</v>
      </c>
      <c r="F75" s="28">
        <f t="shared" si="4"/>
        <v>0</v>
      </c>
      <c r="G75" s="45"/>
      <c r="H75" s="45"/>
    </row>
    <row r="76" spans="2:8">
      <c r="B76" s="96">
        <f t="shared" si="5"/>
        <v>2031</v>
      </c>
      <c r="C76" s="95">
        <f t="shared" si="2"/>
        <v>3</v>
      </c>
      <c r="E76" s="27">
        <f t="shared" si="3"/>
        <v>2031</v>
      </c>
      <c r="F76" s="28">
        <f t="shared" si="4"/>
        <v>0</v>
      </c>
      <c r="G76" s="45"/>
      <c r="H76" s="45"/>
    </row>
    <row r="77" spans="2:8">
      <c r="B77" s="96">
        <f t="shared" si="5"/>
        <v>2032</v>
      </c>
      <c r="C77" s="95">
        <f t="shared" si="2"/>
        <v>3</v>
      </c>
      <c r="E77" s="27">
        <f t="shared" si="3"/>
        <v>2032</v>
      </c>
      <c r="F77" s="28">
        <f t="shared" si="4"/>
        <v>0</v>
      </c>
      <c r="G77" s="45"/>
      <c r="H77" s="45"/>
    </row>
    <row r="78" spans="2:8">
      <c r="B78" s="96">
        <f t="shared" si="5"/>
        <v>2033</v>
      </c>
      <c r="C78" s="95">
        <f t="shared" si="2"/>
        <v>3</v>
      </c>
      <c r="E78" s="27">
        <f t="shared" si="3"/>
        <v>2033</v>
      </c>
      <c r="F78" s="28">
        <f t="shared" si="4"/>
        <v>0</v>
      </c>
      <c r="G78" s="45"/>
      <c r="H78" s="45"/>
    </row>
    <row r="79" spans="2:8">
      <c r="B79" s="96">
        <f t="shared" si="5"/>
        <v>2034</v>
      </c>
      <c r="C79" s="95">
        <f t="shared" si="2"/>
        <v>3</v>
      </c>
      <c r="E79" s="27">
        <f t="shared" si="3"/>
        <v>2034</v>
      </c>
      <c r="F79" s="28">
        <f t="shared" si="4"/>
        <v>0</v>
      </c>
      <c r="G79" s="45"/>
      <c r="H79" s="45"/>
    </row>
    <row r="80" spans="2:8">
      <c r="B80" s="96">
        <f t="shared" si="5"/>
        <v>2035</v>
      </c>
      <c r="C80" s="95">
        <f t="shared" si="2"/>
        <v>3</v>
      </c>
      <c r="E80" s="27">
        <f t="shared" si="3"/>
        <v>2035</v>
      </c>
      <c r="F80" s="28">
        <f t="shared" si="4"/>
        <v>0</v>
      </c>
      <c r="G80" s="45"/>
      <c r="H80" s="45"/>
    </row>
    <row r="81" spans="2:8">
      <c r="B81" s="96">
        <f t="shared" si="5"/>
        <v>2036</v>
      </c>
      <c r="C81" s="95">
        <f t="shared" si="2"/>
        <v>3</v>
      </c>
      <c r="E81" s="27">
        <f t="shared" si="3"/>
        <v>2036</v>
      </c>
      <c r="F81" s="28">
        <f t="shared" si="4"/>
        <v>0</v>
      </c>
      <c r="G81" s="45"/>
      <c r="H81" s="45"/>
    </row>
    <row r="82" spans="2:8">
      <c r="B82" s="96">
        <f t="shared" si="5"/>
        <v>2037</v>
      </c>
      <c r="C82" s="95">
        <f t="shared" si="2"/>
        <v>3</v>
      </c>
      <c r="E82" s="27">
        <f t="shared" si="3"/>
        <v>2037</v>
      </c>
      <c r="F82" s="28">
        <f t="shared" si="4"/>
        <v>0</v>
      </c>
      <c r="G82" s="45"/>
      <c r="H82" s="45"/>
    </row>
    <row r="83" spans="2:8">
      <c r="B83" s="96">
        <f t="shared" si="5"/>
        <v>2038</v>
      </c>
      <c r="C83" s="95">
        <f t="shared" si="2"/>
        <v>2</v>
      </c>
      <c r="E83" s="27">
        <f t="shared" si="3"/>
        <v>2038</v>
      </c>
      <c r="F83" s="28">
        <f t="shared" si="4"/>
        <v>0</v>
      </c>
      <c r="G83" s="45"/>
      <c r="H83" s="45"/>
    </row>
    <row r="84" spans="2:8">
      <c r="B84" s="96">
        <f t="shared" si="5"/>
        <v>2039</v>
      </c>
      <c r="C84" s="95">
        <f t="shared" si="2"/>
        <v>2</v>
      </c>
      <c r="E84" s="27">
        <f t="shared" si="3"/>
        <v>2039</v>
      </c>
      <c r="F84" s="28">
        <f t="shared" si="4"/>
        <v>0</v>
      </c>
      <c r="G84" s="45"/>
      <c r="H84" s="45"/>
    </row>
    <row r="85" spans="2:8">
      <c r="B85" s="96">
        <f t="shared" si="5"/>
        <v>2040</v>
      </c>
      <c r="C85" s="95">
        <f t="shared" si="2"/>
        <v>1</v>
      </c>
      <c r="E85" s="27">
        <f t="shared" si="3"/>
        <v>2040</v>
      </c>
      <c r="F85" s="28">
        <f t="shared" si="4"/>
        <v>0</v>
      </c>
      <c r="G85" s="45"/>
      <c r="H85" s="45"/>
    </row>
    <row r="86" spans="2:8">
      <c r="B86" s="96">
        <f t="shared" si="5"/>
        <v>2041</v>
      </c>
      <c r="C86" s="95">
        <f t="shared" si="2"/>
        <v>1</v>
      </c>
      <c r="E86" s="27">
        <f t="shared" si="3"/>
        <v>2041</v>
      </c>
      <c r="F86" s="28">
        <f t="shared" si="4"/>
        <v>0</v>
      </c>
      <c r="G86" s="45"/>
      <c r="H86" s="45"/>
    </row>
    <row r="87" spans="2:8">
      <c r="B87" s="96">
        <f t="shared" si="5"/>
        <v>2042</v>
      </c>
      <c r="C87" s="95">
        <f t="shared" si="2"/>
        <v>0</v>
      </c>
      <c r="E87" s="27">
        <f t="shared" si="3"/>
        <v>2042</v>
      </c>
      <c r="F87" s="28">
        <f t="shared" si="4"/>
        <v>0</v>
      </c>
      <c r="G87" s="45"/>
      <c r="H87" s="45"/>
    </row>
    <row r="88" spans="2:8">
      <c r="B88" s="96">
        <f t="shared" si="5"/>
        <v>2043</v>
      </c>
      <c r="C88" s="95">
        <f t="shared" si="2"/>
        <v>0</v>
      </c>
      <c r="E88" s="27">
        <f t="shared" si="3"/>
        <v>2043</v>
      </c>
      <c r="F88" s="28">
        <f t="shared" si="4"/>
        <v>0</v>
      </c>
      <c r="G88" s="45"/>
      <c r="H88" s="45"/>
    </row>
    <row r="89" spans="2:8">
      <c r="B89" s="96">
        <f t="shared" si="5"/>
        <v>2044</v>
      </c>
      <c r="C89" s="95">
        <f t="shared" si="2"/>
        <v>0</v>
      </c>
      <c r="E89" s="27">
        <f t="shared" si="3"/>
        <v>2044</v>
      </c>
      <c r="F89" s="28">
        <f t="shared" si="4"/>
        <v>0</v>
      </c>
      <c r="G89" s="45"/>
      <c r="H89" s="45"/>
    </row>
    <row r="90" spans="2:8">
      <c r="B90" s="96">
        <f t="shared" si="5"/>
        <v>2045</v>
      </c>
      <c r="C90" s="95">
        <f t="shared" si="2"/>
        <v>0</v>
      </c>
      <c r="E90" s="27">
        <f t="shared" si="3"/>
        <v>2045</v>
      </c>
      <c r="F90" s="28">
        <f t="shared" si="4"/>
        <v>0</v>
      </c>
      <c r="G90" s="45"/>
      <c r="H90" s="45"/>
    </row>
  </sheetData>
  <mergeCells count="18">
    <mergeCell ref="B60:C60"/>
    <mergeCell ref="K9:L9"/>
    <mergeCell ref="E60:F60"/>
    <mergeCell ref="B3:F3"/>
    <mergeCell ref="B4:C4"/>
    <mergeCell ref="E4:F4"/>
    <mergeCell ref="H9:I9"/>
    <mergeCell ref="B22:S22"/>
    <mergeCell ref="B27:C27"/>
    <mergeCell ref="B37:C37"/>
    <mergeCell ref="K3:L3"/>
    <mergeCell ref="N3:O3"/>
    <mergeCell ref="M3:M7"/>
    <mergeCell ref="B2:O2"/>
    <mergeCell ref="N9:O9"/>
    <mergeCell ref="B21:S21"/>
    <mergeCell ref="B32:S32"/>
    <mergeCell ref="B33:S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L2" sqref="L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1.140625" customWidth="1"/>
    <col min="13" max="13" width="10.5703125" bestFit="1" customWidth="1"/>
    <col min="14" max="14" width="12.140625" customWidth="1"/>
    <col min="15" max="15" width="9.28515625" customWidth="1"/>
    <col min="16" max="16" width="12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">
        <v>20</v>
      </c>
      <c r="B1" s="26" t="str">
        <f>CONCATENATE('Data Input'!C5, " ", 'Data Input'!B6)</f>
        <v>Johnny Income</v>
      </c>
      <c r="C1" s="26" t="s">
        <v>45</v>
      </c>
      <c r="D1" s="26" t="s">
        <v>19</v>
      </c>
      <c r="E1" s="26" t="str">
        <f>CONCATENATE('Data Input'!F5, " ", 'Data Input'!B6)</f>
        <v>Ellis Income</v>
      </c>
      <c r="F1" s="26" t="s">
        <v>12</v>
      </c>
      <c r="G1" s="26" t="s">
        <v>13</v>
      </c>
      <c r="H1" s="26" t="s">
        <v>88</v>
      </c>
      <c r="I1" s="26" t="s">
        <v>87</v>
      </c>
      <c r="J1" s="26" t="s">
        <v>14</v>
      </c>
      <c r="K1" s="26" t="s">
        <v>15</v>
      </c>
      <c r="L1" s="26" t="s">
        <v>186</v>
      </c>
      <c r="M1" s="26" t="s">
        <v>16</v>
      </c>
      <c r="N1" s="26" t="s">
        <v>17</v>
      </c>
      <c r="O1" s="26" t="s">
        <v>18</v>
      </c>
      <c r="P1" s="26" t="s">
        <v>121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49</v>
      </c>
      <c r="V1" s="26" t="s">
        <v>26</v>
      </c>
      <c r="W1" s="26" t="s">
        <v>27</v>
      </c>
      <c r="AA1" s="31"/>
    </row>
    <row r="2" spans="1:28">
      <c r="A2" s="8">
        <f>'Data Input'!I3</f>
        <v>2016</v>
      </c>
      <c r="B2" s="11">
        <f>IF('Data Input'!$C$16+'Data Input'!$I$3&gt;Table1[[#This Row],[Column1]],('Data Input'!$C$6)*(1+'Data Input'!$C$15)^(Table1[[#This Row],[Column1]]-'Data Input'!$I$3),0)</f>
        <v>30000</v>
      </c>
      <c r="C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" s="11">
        <f>IF('Data Input'!$F$16+'Data Input'!$I$3&gt;Table1[[#This Row],[Column1]],('Data Input'!$F$6)*(1+'Data Input'!$F$15)^(Table1[[#This Row],[Column1]]-'Data Input'!$I$3),0)</f>
        <v>20000</v>
      </c>
      <c r="F2" s="11">
        <f>Table1[[#This Row],[Column2]]+Table1[[#This Row],[Column4]]+Table1[[#This Row],[Column5]]-Table1[[#This Row],[Column3]]-Table1[[#This Row],[Column23]]</f>
        <v>42694</v>
      </c>
      <c r="G2" s="11">
        <f>Table1[[#This Row],[Column2]]+Table1[[#This Row],[Column4]]+Table1[[#This Row],[Column5]]-Table1[[#This Row],[Column3]]-Table1[[#This Row],[Column8]]</f>
        <v>30300</v>
      </c>
      <c r="H2" s="11">
        <f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f>
        <v>8306</v>
      </c>
      <c r="I2" s="11">
        <f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f>
        <v>20700</v>
      </c>
      <c r="J2" s="11">
        <f>'Tax Information'!E25</f>
        <v>806.36</v>
      </c>
      <c r="K2" s="11">
        <f>'Tax Information'!C25</f>
        <v>3617.35</v>
      </c>
      <c r="L2" s="11">
        <f>(0.01+0.0765)*(Table1[[#This Row],[Column2]]+Table1[[#This Row],[Column4]]+Table1[[#This Row],[Column5]])</f>
        <v>4411.5</v>
      </c>
      <c r="M2" s="11">
        <f>(Table1[[#This Row],[Column2]]+Table1[[#This Row],[Column4]]+Table1[[#This Row],[Column5]])</f>
        <v>51000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42164.79</v>
      </c>
      <c r="O2" s="12">
        <f>1-(Table1[[#This Row],[Column13]]/Table1[[#This Row],[Column12]])</f>
        <v>0.17323941176470592</v>
      </c>
      <c r="P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</f>
        <v>0</v>
      </c>
      <c r="Q2" s="11">
        <f>Table1[[#This Row],[Column12]]/12</f>
        <v>4250</v>
      </c>
      <c r="R2" s="11">
        <f>Table1[[#This Row],[Column13]]/12</f>
        <v>3513.7325000000001</v>
      </c>
      <c r="S2" s="18">
        <f>Table1[[#This Row],[Column13]]/'Data Input'!$I$5</f>
        <v>1756.86625</v>
      </c>
      <c r="T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f>
        <v>2133.7325000000001</v>
      </c>
      <c r="U2" s="18">
        <f>Spending!T3+12*(Table1[[#This Row],[Column17]]-Table1[[#This Row],[Column19]])+IF(Table1[[#This Row],[Column1]]='Data Input'!$I$4,'Data Input'!$C$44,0)</f>
        <v>46980</v>
      </c>
      <c r="V2" s="14">
        <f>Table1[[#This Row],[Column17]]-Table1[[#This Row],[Column20]]/12</f>
        <v>-401.26749999999993</v>
      </c>
      <c r="W2" s="11">
        <f>'Data Input'!I6+12*Table1[[#This Row],[Column21]]-IF(Table1[[#This Row],[Column1]]='Data Input'!I4,'Data Input'!C44,0)</f>
        <v>70184.790000000008</v>
      </c>
      <c r="AB2" s="18"/>
    </row>
    <row r="3" spans="1:28">
      <c r="A3">
        <f>A2+1</f>
        <v>2017</v>
      </c>
      <c r="B3" s="11">
        <f>IF('Data Input'!$C$16+'Data Input'!$I$3&gt;Table1[[#This Row],[Column1]],('Data Input'!$C$6)*(1+'Data Input'!$C$15)^(Table1[[#This Row],[Column1]]-'Data Input'!$I$3),0)</f>
        <v>31200</v>
      </c>
      <c r="C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" s="11">
        <f>IF('Data Input'!$F$16+'Data Input'!$I$3&gt;Table1[[#This Row],[Column1]],('Data Input'!$F$6)*(1+'Data Input'!$F$15)^(Table1[[#This Row],[Column1]]-'Data Input'!$I$3),0)</f>
        <v>20800</v>
      </c>
      <c r="F3" s="11">
        <f>Table1[[#This Row],[Column2]]+Table1[[#This Row],[Column4]]+Table1[[#This Row],[Column5]]-Table1[[#This Row],[Column3]]-Table1[[#This Row],[Column23]]</f>
        <v>44694</v>
      </c>
      <c r="G3" s="11">
        <f>Table1[[#This Row],[Column2]]+Table1[[#This Row],[Column4]]+Table1[[#This Row],[Column5]]-Table1[[#This Row],[Column3]]-Table1[[#This Row],[Column8]]</f>
        <v>32300</v>
      </c>
      <c r="H3" s="11">
        <f>IF(Table1[[#This Row],[Column1]]&lt;'Data Input'!$I$4,MAX('Tax Information'!$C$15+'Data Input'!C62*'Tax Information'!$C$5,Spending!P4+'Student Loans'!B7),MAX('Tax Information'!$C$15+'Data Input'!C62*'Tax Information'!$C$5,'Mortgage Sheet'!C7+Spending!P4+'Student Loans'!C7))+'Tax Information'!$C$13*('Data Input'!C62+2)</f>
        <v>8306</v>
      </c>
      <c r="I3" s="11">
        <f>IF(Table1[[#This Row],[Column1]]&lt;'Data Input'!$I$4,MAX('Tax Information'!$C$6+'Data Input'!C62*'Tax Information'!$C$5,Table1[[#This Row],[Column9]]+Spending!P4+'Student Loans'!C7),MAX('Tax Information'!$C$6+'Data Input'!C62*'Tax Information'!$C$5,'Mortgage Sheet'!C7+Table1[[#This Row],[Column9]]+Spending!P4+'Student Loans'!C7))+'Tax Information'!$C$4*('Data Input'!C62+2)</f>
        <v>20700</v>
      </c>
      <c r="J3" s="18">
        <f>'Tax Information'!E26</f>
        <v>1772.7199999999998</v>
      </c>
      <c r="K3" s="6">
        <f>'Tax Information'!C26</f>
        <v>3917.35</v>
      </c>
      <c r="L3" s="18">
        <f>(0.01+0.0765)*(Table1[[#This Row],[Column2]]+Table1[[#This Row],[Column4]]+Table1[[#This Row],[Column5]])</f>
        <v>4584.5</v>
      </c>
      <c r="M3" s="6">
        <f>(Table1[[#This Row],[Column2]]+Table1[[#This Row],[Column4]]+Table1[[#This Row],[Column5]])</f>
        <v>53000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42725.43</v>
      </c>
      <c r="O3" s="7">
        <f>1-(Table1[[#This Row],[Column13]]/Table1[[#This Row],[Column12]])</f>
        <v>0.19385981132075469</v>
      </c>
      <c r="P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</f>
        <v>0</v>
      </c>
      <c r="Q3" s="6">
        <f>Table1[[#This Row],[Column12]]/12</f>
        <v>4416.666666666667</v>
      </c>
      <c r="R3" s="6">
        <f>Table1[[#This Row],[Column13]]/12</f>
        <v>3560.4524999999999</v>
      </c>
      <c r="S3" s="18">
        <f>Table1[[#This Row],[Column13]]/'Data Input'!$I$5</f>
        <v>1780.2262499999999</v>
      </c>
      <c r="T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Sheet'!B7/12,'Mortgage Sheet'!$K$2))</f>
        <v>2152.8525</v>
      </c>
      <c r="U3" s="18">
        <f>Spending!T4+12*(Table1[[#This Row],[Column17]]-Table1[[#This Row],[Column19]])+IF(Table1[[#This Row],[Column1]]='Data Input'!$I$4,'Data Input'!$C$44,0)</f>
        <v>52379.399999999994</v>
      </c>
      <c r="V3" s="14">
        <f>Table1[[#This Row],[Column17]]-Table1[[#This Row],[Column20]]/12</f>
        <v>-804.49749999999995</v>
      </c>
      <c r="W3" s="6">
        <f>W2+12*Table1[[#This Row],[Column21]]</f>
        <v>60530.820000000007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Input'!$C$16+'Data Input'!$I$3&gt;Table1[[#This Row],[Column1]],('Data Input'!$C$6)*(1+'Data Input'!$C$15)^(Table1[[#This Row],[Column1]]-'Data Input'!$I$3),0)</f>
        <v>32448.000000000004</v>
      </c>
      <c r="C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" s="11">
        <f>IF('Data Input'!$F$16+'Data Input'!$I$3&gt;Table1[[#This Row],[Column1]],('Data Input'!$F$6)*(1+'Data Input'!$F$15)^(Table1[[#This Row],[Column1]]-'Data Input'!$I$3),0)</f>
        <v>21632.000000000004</v>
      </c>
      <c r="F4" s="11">
        <f>Table1[[#This Row],[Column2]]+Table1[[#This Row],[Column4]]+Table1[[#This Row],[Column5]]-Table1[[#This Row],[Column3]]-Table1[[#This Row],[Column23]]</f>
        <v>28554.127535432664</v>
      </c>
      <c r="G4" s="11">
        <f>Table1[[#This Row],[Column2]]+Table1[[#This Row],[Column4]]+Table1[[#This Row],[Column5]]-Table1[[#This Row],[Column3]]-Table1[[#This Row],[Column8]]</f>
        <v>20258.044984724009</v>
      </c>
      <c r="H4" s="11">
        <f>IF(Table1[[#This Row],[Column1]]&lt;'Data Input'!$I$4,MAX('Tax Information'!$C$15+'Data Input'!C63*'Tax Information'!$C$5,Spending!P5+'Student Loans'!B8),MAX('Tax Information'!$C$15+'Data Input'!C63*'Tax Information'!$C$5,'Mortgage Sheet'!C8+Spending!P5+'Student Loans'!C8))+'Tax Information'!$C$13*('Data Input'!C63+2)</f>
        <v>26525.872464567336</v>
      </c>
      <c r="I4" s="11">
        <f>IF(Table1[[#This Row],[Column1]]&lt;'Data Input'!$I$4,MAX('Tax Information'!$C$6+'Data Input'!C63*'Tax Information'!$C$5,Table1[[#This Row],[Column9]]+Spending!P5+'Student Loans'!C8),MAX('Tax Information'!$C$6+'Data Input'!C63*'Tax Information'!$C$5,'Mortgage Sheet'!C8+Table1[[#This Row],[Column9]]+Spending!P5+'Student Loans'!C8))+'Tax Information'!$C$4*('Data Input'!C63+2)</f>
        <v>34821.955015275991</v>
      </c>
      <c r="J4" s="6">
        <f>'Tax Information'!E27</f>
        <v>414.08255070865329</v>
      </c>
      <c r="K4" s="6">
        <f>'Tax Information'!C27</f>
        <v>2111.0567477086015</v>
      </c>
      <c r="L4" s="18">
        <f>(0.01+0.0765)*(Table1[[#This Row],[Column2]]+Table1[[#This Row],[Column4]]+Table1[[#This Row],[Column5]])</f>
        <v>4764.42</v>
      </c>
      <c r="M4" s="6">
        <f>(Table1[[#This Row],[Column2]]+Table1[[#This Row],[Column4]]+Table1[[#This Row],[Column5]])</f>
        <v>55080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47790.440701582746</v>
      </c>
      <c r="O4" s="7">
        <f>1-(Table1[[#This Row],[Column13]]/Table1[[#This Row],[Column12]])</f>
        <v>0.13234494005841058</v>
      </c>
      <c r="P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</f>
        <v>0</v>
      </c>
      <c r="Q4" s="6">
        <f>Table1[[#This Row],[Column12]]/12</f>
        <v>4590</v>
      </c>
      <c r="R4" s="6">
        <f>Table1[[#This Row],[Column13]]/12</f>
        <v>3982.5367251318953</v>
      </c>
      <c r="S4" s="18">
        <f>Table1[[#This Row],[Column13]]/'Data Input'!$I$5</f>
        <v>1991.2683625659477</v>
      </c>
      <c r="T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Sheet'!B8/12,'Mortgage Sheet'!$K$2))</f>
        <v>423.78502269487217</v>
      </c>
      <c r="U4" s="18">
        <f>Spending!T5+12*(Table1[[#This Row],[Column17]]-Table1[[#This Row],[Column19]])+IF(Table1[[#This Row],[Column1]]='Data Input'!$I$4,'Data Input'!$C$44,0)</f>
        <v>186625.02042924426</v>
      </c>
      <c r="V4" s="14">
        <f>Table1[[#This Row],[Column17]]-Table1[[#This Row],[Column20]]/12</f>
        <v>-11569.54831063846</v>
      </c>
      <c r="W4" s="18">
        <f>W3+12*Table1[[#This Row],[Column21]]</f>
        <v>-78303.759727661498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Input'!$C$16+'Data Input'!$I$3&gt;Table1[[#This Row],[Column1]],('Data Input'!$C$6)*(1+'Data Input'!$C$15)^(Table1[[#This Row],[Column1]]-'Data Input'!$I$3),0)</f>
        <v>33745.920000000006</v>
      </c>
      <c r="C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5" s="11">
        <f>IF('Data Input'!$F$16+'Data Input'!$I$3&gt;Table1[[#This Row],[Column1]],('Data Input'!$F$6)*(1+'Data Input'!$F$15)^(Table1[[#This Row],[Column1]]-'Data Input'!$I$3),0)</f>
        <v>0</v>
      </c>
      <c r="F5" s="11">
        <f>Table1[[#This Row],[Column2]]+Table1[[#This Row],[Column4]]+Table1[[#This Row],[Column5]]-Table1[[#This Row],[Column3]]-Table1[[#This Row],[Column23]]</f>
        <v>9023.6520490126895</v>
      </c>
      <c r="G5" s="11">
        <f>Table1[[#This Row],[Column2]]+Table1[[#This Row],[Column4]]+Table1[[#This Row],[Column5]]-Table1[[#This Row],[Column3]]-Table1[[#This Row],[Column8]]</f>
        <v>1051.4155285225643</v>
      </c>
      <c r="H5" s="11">
        <f>IF(Table1[[#This Row],[Column1]]&lt;'Data Input'!$I$4,MAX('Tax Information'!$C$15+'Data Input'!C64*'Tax Information'!$C$5,Spending!P6+'Student Loans'!B9),MAX('Tax Information'!$C$15+'Data Input'!C64*'Tax Information'!$C$5,'Mortgage Sheet'!C9+Spending!P6+'Student Loans'!C9))+'Tax Information'!$C$13*('Data Input'!C64+2)</f>
        <v>25722.267950987316</v>
      </c>
      <c r="I5" s="11">
        <f>IF(Table1[[#This Row],[Column1]]&lt;'Data Input'!$I$4,MAX('Tax Information'!$C$6+'Data Input'!C64*'Tax Information'!$C$5,Table1[[#This Row],[Column9]]+Spending!P6+'Student Loans'!C9),MAX('Tax Information'!$C$6+'Data Input'!C64*'Tax Information'!$C$5,'Mortgage Sheet'!C9+Table1[[#This Row],[Column9]]+Spending!P6+'Student Loans'!C9))+'Tax Information'!$C$4*('Data Input'!C64+2)</f>
        <v>33694.504471477441</v>
      </c>
      <c r="J5" s="18">
        <f>'Tax Information'!E28</f>
        <v>90.236520490126892</v>
      </c>
      <c r="K5" s="18">
        <f>'Tax Information'!C28</f>
        <v>105.14155285225644</v>
      </c>
      <c r="L5" s="18">
        <f>(0.01+0.0765)*(Table1[[#This Row],[Column2]]+Table1[[#This Row],[Column4]]+Table1[[#This Row],[Column5]])</f>
        <v>3005.5220800000002</v>
      </c>
      <c r="M5" s="18">
        <f>(Table1[[#This Row],[Column2]]+Table1[[#This Row],[Column4]]+Table1[[#This Row],[Column5]])</f>
        <v>34745.920000000006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31545.019846657622</v>
      </c>
      <c r="O5" s="7">
        <f>1-(Table1[[#This Row],[Column13]]/Table1[[#This Row],[Column12]])</f>
        <v>9.2123050802580098E-2</v>
      </c>
      <c r="P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</f>
        <v>0</v>
      </c>
      <c r="Q5" s="18">
        <f>Table1[[#This Row],[Column12]]/12</f>
        <v>2895.4933333333338</v>
      </c>
      <c r="R5" s="18">
        <f>Table1[[#This Row],[Column13]]/12</f>
        <v>2628.751653888135</v>
      </c>
      <c r="S5" s="18">
        <f>Table1[[#This Row],[Column13]]/'Data Input'!$I$5</f>
        <v>1314.3758269440675</v>
      </c>
      <c r="T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Sheet'!B9/12,'Mortgage Sheet'!$K$2))</f>
        <v>-930.00004854888812</v>
      </c>
      <c r="U5" s="18">
        <f>Spending!T6+12*(Table1[[#This Row],[Column17]]-Table1[[#This Row],[Column19]])+IF(Table1[[#This Row],[Column1]]='Data Input'!$I$4,'Data Input'!$C$44,0)</f>
        <v>86980.220429244277</v>
      </c>
      <c r="V5" s="14">
        <f>Table1[[#This Row],[Column17]]-Table1[[#This Row],[Column20]]/12</f>
        <v>-4619.6000485488876</v>
      </c>
      <c r="W5" s="18">
        <f>W4+12*Table1[[#This Row],[Column21]]</f>
        <v>-133738.96031024813</v>
      </c>
      <c r="X5" s="18"/>
      <c r="Y5" s="18"/>
      <c r="AB5" s="18"/>
    </row>
    <row r="6" spans="1:28">
      <c r="A6" s="16">
        <f t="shared" si="0"/>
        <v>2020</v>
      </c>
      <c r="B6" s="11">
        <f>IF('Data Input'!$C$16+'Data Input'!$I$3&gt;Table1[[#This Row],[Column1]],('Data Input'!$C$6)*(1+'Data Input'!$C$15)^(Table1[[#This Row],[Column1]]-'Data Input'!$I$3),0)</f>
        <v>35095.756800000003</v>
      </c>
      <c r="C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6" s="11">
        <f>IF('Data Input'!$F$16+'Data Input'!$I$3&gt;Table1[[#This Row],[Column1]],('Data Input'!$F$6)*(1+'Data Input'!$F$15)^(Table1[[#This Row],[Column1]]-'Data Input'!$I$3),0)</f>
        <v>0</v>
      </c>
      <c r="F6" s="11">
        <f>Table1[[#This Row],[Column2]]+Table1[[#This Row],[Column4]]+Table1[[#This Row],[Column5]]-Table1[[#This Row],[Column3]]-Table1[[#This Row],[Column23]]</f>
        <v>11102.677942948445</v>
      </c>
      <c r="G6" s="11">
        <f>Table1[[#This Row],[Column2]]+Table1[[#This Row],[Column4]]+Table1[[#This Row],[Column5]]-Table1[[#This Row],[Column3]]-Table1[[#This Row],[Column8]]</f>
        <v>-831.34883648104005</v>
      </c>
      <c r="H6" s="11">
        <f>IF(Table1[[#This Row],[Column1]]&lt;'Data Input'!$I$4,MAX('Tax Information'!$C$15+'Data Input'!C65*'Tax Information'!$C$5,Spending!P7+'Student Loans'!B10),MAX('Tax Information'!$C$15+'Data Input'!C65*'Tax Information'!$C$5,'Mortgage Sheet'!C10+Spending!P7+'Student Loans'!C10))+'Tax Information'!$C$13*('Data Input'!C65+2)</f>
        <v>24993.078857051558</v>
      </c>
      <c r="I6" s="11">
        <f>IF(Table1[[#This Row],[Column1]]&lt;'Data Input'!$I$4,MAX('Tax Information'!$C$6+'Data Input'!C65*'Tax Information'!$C$5,Table1[[#This Row],[Column9]]+Spending!P7+'Student Loans'!C10),MAX('Tax Information'!$C$6+'Data Input'!C65*'Tax Information'!$C$5,'Mortgage Sheet'!C10+Table1[[#This Row],[Column9]]+Spending!P7+'Student Loans'!C10))+'Tax Information'!$C$4*('Data Input'!C65+2)</f>
        <v>36927.105636481043</v>
      </c>
      <c r="J6" s="6">
        <f>'Tax Information'!E29</f>
        <v>111.02677942948445</v>
      </c>
      <c r="K6" s="6">
        <f>'Tax Information'!C29</f>
        <v>0</v>
      </c>
      <c r="L6" s="18">
        <f>(0.01+0.0765)*(Table1[[#This Row],[Column2]]+Table1[[#This Row],[Column4]]+Table1[[#This Row],[Column5]])</f>
        <v>3122.2829631999998</v>
      </c>
      <c r="M6" s="6">
        <f>(Table1[[#This Row],[Column2]]+Table1[[#This Row],[Column4]]+Table1[[#This Row],[Column5]])</f>
        <v>36095.756800000003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32862.447057370518</v>
      </c>
      <c r="O6" s="7">
        <f>1-(Table1[[#This Row],[Column13]]/Table1[[#This Row],[Column12]])</f>
        <v>8.9575895597498123E-2</v>
      </c>
      <c r="P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Input'!$F$10)+P5</f>
        <v>0</v>
      </c>
      <c r="Q6" s="6">
        <f>Table1[[#This Row],[Column12]]/12</f>
        <v>3007.9797333333336</v>
      </c>
      <c r="R6" s="6">
        <f>Table1[[#This Row],[Column13]]/12</f>
        <v>2738.5372547808765</v>
      </c>
      <c r="S6" s="18">
        <f>Table1[[#This Row],[Column13]]/'Data Input'!$I$5</f>
        <v>1369.2686273904383</v>
      </c>
      <c r="T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Sheet'!B10/12,'Mortgage Sheet'!$K$2))</f>
        <v>-820.2144476561466</v>
      </c>
      <c r="U6" s="18">
        <f>Spending!T7+12*(Table1[[#This Row],[Column17]]-Table1[[#This Row],[Column19]])+IF(Table1[[#This Row],[Column1]]='Data Input'!$I$4,'Data Input'!$C$44,0)</f>
        <v>87338.972429244284</v>
      </c>
      <c r="V6" s="14">
        <f>Table1[[#This Row],[Column17]]-Table1[[#This Row],[Column20]]/12</f>
        <v>-4539.7104476561472</v>
      </c>
      <c r="W6" s="18">
        <f>W5+12*Table1[[#This Row],[Column21]]</f>
        <v>-188215.48568212189</v>
      </c>
    </row>
    <row r="7" spans="1:28">
      <c r="A7" s="16">
        <f t="shared" si="0"/>
        <v>2021</v>
      </c>
      <c r="B7" s="11">
        <f>IF('Data Input'!$C$16+'Data Input'!$I$3&gt;Table1[[#This Row],[Column1]],('Data Input'!$C$6)*(1+'Data Input'!$C$15)^(Table1[[#This Row],[Column1]]-'Data Input'!$I$3),0)</f>
        <v>36499.587072000009</v>
      </c>
      <c r="C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7" s="11">
        <f>IF('Data Input'!$F$16+'Data Input'!$I$3&gt;Table1[[#This Row],[Column1]],('Data Input'!$F$6)*(1+'Data Input'!$F$15)^(Table1[[#This Row],[Column1]]-'Data Input'!$I$3),0)</f>
        <v>0</v>
      </c>
      <c r="F7" s="11">
        <f>Table1[[#This Row],[Column2]]+Table1[[#This Row],[Column4]]+Table1[[#This Row],[Column5]]-Table1[[#This Row],[Column3]]-Table1[[#This Row],[Column23]]</f>
        <v>13380.709363330636</v>
      </c>
      <c r="G7" s="11">
        <f>Table1[[#This Row],[Column2]]+Table1[[#This Row],[Column4]]+Table1[[#This Row],[Column5]]-Table1[[#This Row],[Column3]]-Table1[[#This Row],[Column8]]</f>
        <v>1423.9022696973261</v>
      </c>
      <c r="H7" s="11">
        <f>IF(Table1[[#This Row],[Column1]]&lt;'Data Input'!$I$4,MAX('Tax Information'!$C$15+'Data Input'!C66*'Tax Information'!$C$5,Spending!P8+'Student Loans'!B11),MAX('Tax Information'!$C$15+'Data Input'!C66*'Tax Information'!$C$5,'Mortgage Sheet'!C11+Spending!P8+'Student Loans'!C11))+'Tax Information'!$C$13*('Data Input'!C66+2)</f>
        <v>24118.877708669374</v>
      </c>
      <c r="I7" s="11">
        <f>IF(Table1[[#This Row],[Column1]]&lt;'Data Input'!$I$4,MAX('Tax Information'!$C$6+'Data Input'!C66*'Tax Information'!$C$5,Table1[[#This Row],[Column9]]+Spending!P8+'Student Loans'!C11),MAX('Tax Information'!$C$6+'Data Input'!C66*'Tax Information'!$C$5,'Mortgage Sheet'!C11+Table1[[#This Row],[Column9]]+Spending!P8+'Student Loans'!C11))+'Tax Information'!$C$4*('Data Input'!C66+2)</f>
        <v>36075.684802302683</v>
      </c>
      <c r="J7" s="6">
        <f>'Tax Information'!E30</f>
        <v>133.80709363330635</v>
      </c>
      <c r="K7" s="6">
        <f>'Tax Information'!C30</f>
        <v>142.39022696973262</v>
      </c>
      <c r="L7" s="18">
        <f>(0.01+0.0765)*(Table1[[#This Row],[Column2]]+Table1[[#This Row],[Column4]]+Table1[[#This Row],[Column5]])</f>
        <v>3243.7142817280005</v>
      </c>
      <c r="M7" s="6">
        <f>(Table1[[#This Row],[Column2]]+Table1[[#This Row],[Column4]]+Table1[[#This Row],[Column5]])</f>
        <v>37499.587072000009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33979.675469668968</v>
      </c>
      <c r="O7" s="7">
        <f>1-(Table1[[#This Row],[Column13]]/Table1[[#This Row],[Column12]])</f>
        <v>9.3865342985583688E-2</v>
      </c>
      <c r="P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Input'!$F$10)+P6</f>
        <v>0</v>
      </c>
      <c r="Q7" s="6">
        <f>Table1[[#This Row],[Column12]]/12</f>
        <v>3124.9655893333343</v>
      </c>
      <c r="R7" s="6">
        <f>Table1[[#This Row],[Column13]]/12</f>
        <v>2831.639622472414</v>
      </c>
      <c r="S7" s="18">
        <f>Table1[[#This Row],[Column13]]/'Data Input'!$I$5</f>
        <v>1415.819811236207</v>
      </c>
      <c r="T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Sheet'!B11/12,'Mortgage Sheet'!$K$2))</f>
        <v>-727.11207996460917</v>
      </c>
      <c r="U7" s="18">
        <f>Spending!T8+12*(Table1[[#This Row],[Column17]]-Table1[[#This Row],[Column19]])+IF(Table1[[#This Row],[Column1]]='Data Input'!$I$4,'Data Input'!$C$44,0)</f>
        <v>93101.311949244264</v>
      </c>
      <c r="V7" s="14">
        <f>Table1[[#This Row],[Column17]]-Table1[[#This Row],[Column20]]/12</f>
        <v>-4926.8030399646077</v>
      </c>
      <c r="W7" s="18">
        <f>W6+12*Table1[[#This Row],[Column21]]</f>
        <v>-247337.12216169719</v>
      </c>
      <c r="AA7" s="25"/>
    </row>
    <row r="8" spans="1:28">
      <c r="A8" s="16">
        <f t="shared" si="0"/>
        <v>2022</v>
      </c>
      <c r="B8" s="11">
        <f>IF('Data Input'!$C$16+'Data Input'!$I$3&gt;Table1[[#This Row],[Column1]],('Data Input'!$C$6)*(1+'Data Input'!$C$15)^(Table1[[#This Row],[Column1]]-'Data Input'!$I$3),0)</f>
        <v>37959.570554880011</v>
      </c>
      <c r="C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8" s="11">
        <f>IF('Data Input'!$F$16+'Data Input'!$I$3&gt;Table1[[#This Row],[Column1]],('Data Input'!$F$6)*(1+'Data Input'!$F$15)^(Table1[[#This Row],[Column1]]-'Data Input'!$I$3),0)</f>
        <v>0</v>
      </c>
      <c r="F8" s="11">
        <f>Table1[[#This Row],[Column2]]+Table1[[#This Row],[Column4]]+Table1[[#This Row],[Column5]]-Table1[[#This Row],[Column3]]-Table1[[#This Row],[Column23]]</f>
        <v>15643.391865076112</v>
      </c>
      <c r="G8" s="11">
        <f>Table1[[#This Row],[Column2]]+Table1[[#This Row],[Column4]]+Table1[[#This Row],[Column5]]-Table1[[#This Row],[Column3]]-Table1[[#This Row],[Column8]]</f>
        <v>-277.04205357464525</v>
      </c>
      <c r="H8" s="11">
        <f>IF(Table1[[#This Row],[Column1]]&lt;'Data Input'!$I$4,MAX('Tax Information'!$C$15+'Data Input'!C67*'Tax Information'!$C$5,Spending!P9+'Student Loans'!B12),MAX('Tax Information'!$C$15+'Data Input'!C67*'Tax Information'!$C$5,'Mortgage Sheet'!C12+Spending!P9+'Student Loans'!C12))+'Tax Information'!$C$13*('Data Input'!C67+2)</f>
        <v>23316.178689803899</v>
      </c>
      <c r="I8" s="11">
        <f>IF(Table1[[#This Row],[Column1]]&lt;'Data Input'!$I$4,MAX('Tax Information'!$C$6+'Data Input'!C67*'Tax Information'!$C$5,Table1[[#This Row],[Column9]]+Spending!P9+'Student Loans'!C12),MAX('Tax Information'!$C$6+'Data Input'!C67*'Tax Information'!$C$5,'Mortgage Sheet'!C12+Table1[[#This Row],[Column9]]+Spending!P9+'Student Loans'!C12))+'Tax Information'!$C$4*('Data Input'!C67+2)</f>
        <v>39236.612608454656</v>
      </c>
      <c r="J8" s="6">
        <f>'Tax Information'!E31</f>
        <v>156.43391865076111</v>
      </c>
      <c r="K8" s="6">
        <f>'Tax Information'!C31</f>
        <v>0</v>
      </c>
      <c r="L8" s="18">
        <f>(0.01+0.0765)*(Table1[[#This Row],[Column2]]+Table1[[#This Row],[Column4]]+Table1[[#This Row],[Column5]])</f>
        <v>3370.0028529971205</v>
      </c>
      <c r="M8" s="6">
        <f>(Table1[[#This Row],[Column2]]+Table1[[#This Row],[Column4]]+Table1[[#This Row],[Column5]])</f>
        <v>38959.570554880011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35433.13378323213</v>
      </c>
      <c r="O8" s="7">
        <f>1-(Table1[[#This Row],[Column13]]/Table1[[#This Row],[Column12]])</f>
        <v>9.0515288577947772E-2</v>
      </c>
      <c r="P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Input'!$F$10)+P7</f>
        <v>0</v>
      </c>
      <c r="Q8" s="6">
        <f>Table1[[#This Row],[Column12]]/12</f>
        <v>3246.6308795733344</v>
      </c>
      <c r="R8" s="6">
        <f>Table1[[#This Row],[Column13]]/12</f>
        <v>2952.7611486026776</v>
      </c>
      <c r="S8" s="18">
        <f>Table1[[#This Row],[Column13]]/'Data Input'!$I$5</f>
        <v>1476.3805743013388</v>
      </c>
      <c r="T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Sheet'!B12/12,'Mortgage Sheet'!$K$2))</f>
        <v>-605.99055383434552</v>
      </c>
      <c r="U8" s="18">
        <f>Spending!T9+12*(Table1[[#This Row],[Column17]]-Table1[[#This Row],[Column19]])+IF(Table1[[#This Row],[Column1]]='Data Input'!$I$4,'Data Input'!$C$44,0)</f>
        <v>88667.274864444276</v>
      </c>
      <c r="V8" s="14">
        <f>Table1[[#This Row],[Column17]]-Table1[[#This Row],[Column20]]/12</f>
        <v>-4436.1784234343449</v>
      </c>
      <c r="W8" s="18">
        <f>W7+12*Table1[[#This Row],[Column21]]</f>
        <v>-300571.26324290934</v>
      </c>
      <c r="Y8" s="24"/>
      <c r="AA8" s="25"/>
      <c r="AB8" s="18"/>
    </row>
    <row r="9" spans="1:28">
      <c r="A9" s="16">
        <f t="shared" si="0"/>
        <v>2023</v>
      </c>
      <c r="B9" s="11">
        <f>IF('Data Input'!$C$16+'Data Input'!$I$3&gt;Table1[[#This Row],[Column1]],('Data Input'!$C$6)*(1+'Data Input'!$C$15)^(Table1[[#This Row],[Column1]]-'Data Input'!$I$3),0)</f>
        <v>39477.95337707521</v>
      </c>
      <c r="C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9" s="11">
        <f>IF('Data Input'!$F$16+'Data Input'!$I$3&gt;Table1[[#This Row],[Column1]],('Data Input'!$F$6)*(1+'Data Input'!$F$15)^(Table1[[#This Row],[Column1]]-'Data Input'!$I$3),0)</f>
        <v>0</v>
      </c>
      <c r="F9" s="11">
        <f>Table1[[#This Row],[Column2]]+Table1[[#This Row],[Column4]]+Table1[[#This Row],[Column5]]-Table1[[#This Row],[Column3]]-Table1[[#This Row],[Column23]]</f>
        <v>18112.518113388534</v>
      </c>
      <c r="G9" s="11">
        <f>Table1[[#This Row],[Column2]]+Table1[[#This Row],[Column4]]+Table1[[#This Row],[Column5]]-Table1[[#This Row],[Column3]]-Table1[[#This Row],[Column8]]</f>
        <v>2143.2677511207658</v>
      </c>
      <c r="H9" s="11">
        <f>IF(Table1[[#This Row],[Column1]]&lt;'Data Input'!$I$4,MAX('Tax Information'!$C$15+'Data Input'!C68*'Tax Information'!$C$5,Spending!P10+'Student Loans'!B13),MAX('Tax Information'!$C$15+'Data Input'!C68*'Tax Information'!$C$5,'Mortgage Sheet'!C13+Spending!P10+'Student Loans'!C13))+'Tax Information'!$C$13*('Data Input'!C68+2)</f>
        <v>22365.435263686675</v>
      </c>
      <c r="I9" s="11">
        <f>IF(Table1[[#This Row],[Column1]]&lt;'Data Input'!$I$4,MAX('Tax Information'!$C$6+'Data Input'!C68*'Tax Information'!$C$5,Table1[[#This Row],[Column9]]+Spending!P10+'Student Loans'!C13),MAX('Tax Information'!$C$6+'Data Input'!C68*'Tax Information'!$C$5,'Mortgage Sheet'!C13+Table1[[#This Row],[Column9]]+Spending!P10+'Student Loans'!C13))+'Tax Information'!$C$4*('Data Input'!C68+2)</f>
        <v>38334.685625954444</v>
      </c>
      <c r="J9" s="6">
        <f>'Tax Information'!E32</f>
        <v>205.2503622677707</v>
      </c>
      <c r="K9" s="6">
        <f>'Tax Information'!C32</f>
        <v>214.32677511207658</v>
      </c>
      <c r="L9" s="18">
        <f>(0.01+0.0765)*(Table1[[#This Row],[Column2]]+Table1[[#This Row],[Column4]]+Table1[[#This Row],[Column5]])</f>
        <v>3501.3429671170052</v>
      </c>
      <c r="M9" s="6">
        <f>(Table1[[#This Row],[Column2]]+Table1[[#This Row],[Column4]]+Table1[[#This Row],[Column5]])</f>
        <v>40477.95337707521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36557.033272578359</v>
      </c>
      <c r="O9" s="7">
        <f>1-(Table1[[#This Row],[Column13]]/Table1[[#This Row],[Column12]])</f>
        <v>9.6865571931743832E-2</v>
      </c>
      <c r="P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Input'!$F$10)+P8</f>
        <v>0</v>
      </c>
      <c r="Q9" s="6">
        <f>Table1[[#This Row],[Column12]]/12</f>
        <v>3373.1627814229341</v>
      </c>
      <c r="R9" s="6">
        <f>Table1[[#This Row],[Column13]]/12</f>
        <v>3046.4194393815301</v>
      </c>
      <c r="S9" s="18">
        <f>Table1[[#This Row],[Column13]]/'Data Input'!$I$5</f>
        <v>1523.209719690765</v>
      </c>
      <c r="T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Sheet'!B13/12,'Mortgage Sheet'!$K$2))</f>
        <v>-512.33226305549306</v>
      </c>
      <c r="U9" s="18">
        <f>Spending!T10+12*(Table1[[#This Row],[Column17]]-Table1[[#This Row],[Column19]])+IF(Table1[[#This Row],[Column1]]='Data Input'!$I$4,'Data Input'!$C$44,0)</f>
        <v>89036.897408796285</v>
      </c>
      <c r="V9" s="14">
        <f>Table1[[#This Row],[Column17]]-Table1[[#This Row],[Column20]]/12</f>
        <v>-4373.3220113514944</v>
      </c>
      <c r="W9" s="18">
        <f>W8+12*Table1[[#This Row],[Column21]]</f>
        <v>-353051.12737912725</v>
      </c>
    </row>
    <row r="10" spans="1:28">
      <c r="A10" s="16">
        <f t="shared" si="0"/>
        <v>2024</v>
      </c>
      <c r="B10" s="11">
        <f>IF('Data Input'!$C$16+'Data Input'!$I$3&gt;Table1[[#This Row],[Column1]],('Data Input'!$C$6)*(1+'Data Input'!$C$15)^(Table1[[#This Row],[Column1]]-'Data Input'!$I$3),0)</f>
        <v>41057.071512158225</v>
      </c>
      <c r="C1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0" s="11">
        <f>IF('Data Input'!$F$16+'Data Input'!$I$3&gt;Table1[[#This Row],[Column1]],('Data Input'!$F$6)*(1+'Data Input'!$F$15)^(Table1[[#This Row],[Column1]]-'Data Input'!$I$3),0)</f>
        <v>0</v>
      </c>
      <c r="F10" s="11">
        <f>Table1[[#This Row],[Column2]]+Table1[[#This Row],[Column4]]+Table1[[#This Row],[Column5]]-Table1[[#This Row],[Column3]]-Table1[[#This Row],[Column23]]</f>
        <v>20574.033815059789</v>
      </c>
      <c r="G10" s="11">
        <f>Table1[[#This Row],[Column2]]+Table1[[#This Row],[Column4]]+Table1[[#This Row],[Column5]]-Table1[[#This Row],[Column3]]-Table1[[#This Row],[Column8]]</f>
        <v>614.55313875858701</v>
      </c>
      <c r="H10" s="11">
        <f>IF(Table1[[#This Row],[Column1]]&lt;'Data Input'!$I$4,MAX('Tax Information'!$C$15+'Data Input'!C69*'Tax Information'!$C$5,Spending!P11+'Student Loans'!B14),MAX('Tax Information'!$C$15+'Data Input'!C69*'Tax Information'!$C$5,'Mortgage Sheet'!C14+Spending!P11+'Student Loans'!C14))+'Tax Information'!$C$13*('Data Input'!C69+2)</f>
        <v>21483.037697098436</v>
      </c>
      <c r="I10" s="11">
        <f>IF(Table1[[#This Row],[Column1]]&lt;'Data Input'!$I$4,MAX('Tax Information'!$C$6+'Data Input'!C69*'Tax Information'!$C$5,Table1[[#This Row],[Column9]]+Spending!P11+'Student Loans'!C14),MAX('Tax Information'!$C$6+'Data Input'!C69*'Tax Information'!$C$5,'Mortgage Sheet'!C14+Table1[[#This Row],[Column9]]+Spending!P11+'Student Loans'!C14))+'Tax Information'!$C$4*('Data Input'!C69+2)</f>
        <v>41442.518373399638</v>
      </c>
      <c r="J10" s="6">
        <f>'Tax Information'!E33</f>
        <v>254.48067630119579</v>
      </c>
      <c r="K10" s="6">
        <f>'Tax Information'!C33</f>
        <v>61.455313875858707</v>
      </c>
      <c r="L10" s="18">
        <f>(0.01+0.0765)*(Table1[[#This Row],[Column2]]+Table1[[#This Row],[Column4]]+Table1[[#This Row],[Column5]])</f>
        <v>3637.9366858016861</v>
      </c>
      <c r="M10" s="6">
        <f>(Table1[[#This Row],[Column2]]+Table1[[#This Row],[Column4]]+Table1[[#This Row],[Column5]])</f>
        <v>42057.071512158225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38103.198836179487</v>
      </c>
      <c r="O10" s="7">
        <f>1-(Table1[[#This Row],[Column13]]/Table1[[#This Row],[Column12]])</f>
        <v>9.4012077727183563E-2</v>
      </c>
      <c r="P1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Input'!$F$10)+P9</f>
        <v>0</v>
      </c>
      <c r="Q10" s="6">
        <f>Table1[[#This Row],[Column12]]/12</f>
        <v>3504.7559593465189</v>
      </c>
      <c r="R10" s="6">
        <f>Table1[[#This Row],[Column13]]/12</f>
        <v>3175.2665696816239</v>
      </c>
      <c r="S10" s="18">
        <f>Table1[[#This Row],[Column13]]/'Data Input'!$I$5</f>
        <v>1587.6332848408119</v>
      </c>
      <c r="T1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Sheet'!B14/12,'Mortgage Sheet'!$K$2))</f>
        <v>-383.48513275539926</v>
      </c>
      <c r="U10" s="18">
        <f>Spending!T11+12*(Table1[[#This Row],[Column17]]-Table1[[#This Row],[Column19]])+IF(Table1[[#This Row],[Column1]]='Data Input'!$I$4,'Data Input'!$C$44,0)</f>
        <v>89410.216178591814</v>
      </c>
      <c r="V10" s="14">
        <f>Table1[[#This Row],[Column17]]-Table1[[#This Row],[Column20]]/12</f>
        <v>-4275.5847785343603</v>
      </c>
      <c r="W10" s="18">
        <f>W9+12*Table1[[#This Row],[Column21]]</f>
        <v>-404358.14472153957</v>
      </c>
      <c r="Y10" s="16"/>
      <c r="Z10" s="16"/>
      <c r="AB10" s="16"/>
    </row>
    <row r="11" spans="1:28">
      <c r="A11" s="16">
        <f t="shared" si="0"/>
        <v>2025</v>
      </c>
      <c r="B11" s="11">
        <f>IF('Data Input'!$C$16+'Data Input'!$I$3&gt;Table1[[#This Row],[Column1]],('Data Input'!$C$6)*(1+'Data Input'!$C$15)^(Table1[[#This Row],[Column1]]-'Data Input'!$I$3),0)</f>
        <v>42699.354372644557</v>
      </c>
      <c r="C1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1" s="11">
        <f>IF('Data Input'!$F$16+'Data Input'!$I$3&gt;Table1[[#This Row],[Column1]],('Data Input'!$F$6)*(1+'Data Input'!$F$15)^(Table1[[#This Row],[Column1]]-'Data Input'!$I$3),0)</f>
        <v>0</v>
      </c>
      <c r="F11" s="11">
        <f>Table1[[#This Row],[Column2]]+Table1[[#This Row],[Column4]]+Table1[[#This Row],[Column5]]-Table1[[#This Row],[Column3]]-Table1[[#This Row],[Column23]]</f>
        <v>23250.043888877946</v>
      </c>
      <c r="G11" s="11">
        <f>Table1[[#This Row],[Column2]]+Table1[[#This Row],[Column4]]+Table1[[#This Row],[Column5]]-Table1[[#This Row],[Column3]]-Table1[[#This Row],[Column8]]</f>
        <v>3237.043011100388</v>
      </c>
      <c r="H11" s="11">
        <f>IF(Table1[[#This Row],[Column1]]&lt;'Data Input'!$I$4,MAX('Tax Information'!$C$15+'Data Input'!C70*'Tax Information'!$C$5,Spending!P12+'Student Loans'!B15),MAX('Tax Information'!$C$15+'Data Input'!C70*'Tax Information'!$C$5,'Mortgage Sheet'!C15+Spending!P12+'Student Loans'!C15))+'Tax Information'!$C$13*('Data Input'!C70+2)</f>
        <v>20449.310483766611</v>
      </c>
      <c r="I11" s="11">
        <f>IF(Table1[[#This Row],[Column1]]&lt;'Data Input'!$I$4,MAX('Tax Information'!$C$6+'Data Input'!C70*'Tax Information'!$C$5,Table1[[#This Row],[Column9]]+Spending!P12+'Student Loans'!C15),MAX('Tax Information'!$C$6+'Data Input'!C70*'Tax Information'!$C$5,'Mortgage Sheet'!C15+Table1[[#This Row],[Column9]]+Spending!P12+'Student Loans'!C15))+'Tax Information'!$C$4*('Data Input'!C70+2)</f>
        <v>40462.311361544169</v>
      </c>
      <c r="J11" s="6">
        <f>'Tax Information'!E34</f>
        <v>308.00087777755891</v>
      </c>
      <c r="K11" s="6">
        <f>'Tax Information'!C34</f>
        <v>323.70430111003884</v>
      </c>
      <c r="L11" s="18">
        <f>(0.01+0.0765)*(Table1[[#This Row],[Column2]]+Table1[[#This Row],[Column4]]+Table1[[#This Row],[Column5]])</f>
        <v>3779.9941532337539</v>
      </c>
      <c r="M11" s="6">
        <f>(Table1[[#This Row],[Column2]]+Table1[[#This Row],[Column4]]+Table1[[#This Row],[Column5]])</f>
        <v>43699.354372644557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39287.655040523205</v>
      </c>
      <c r="O11" s="7">
        <f>1-(Table1[[#This Row],[Column13]]/Table1[[#This Row],[Column12]])</f>
        <v>0.10095570965421496</v>
      </c>
      <c r="P1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Input'!$F$10)+P10</f>
        <v>0</v>
      </c>
      <c r="Q11" s="6">
        <f>Table1[[#This Row],[Column12]]/12</f>
        <v>3641.6128643870466</v>
      </c>
      <c r="R11" s="6">
        <f>Table1[[#This Row],[Column13]]/12</f>
        <v>3273.9712533769339</v>
      </c>
      <c r="S11" s="18">
        <f>Table1[[#This Row],[Column13]]/'Data Input'!$I$5</f>
        <v>1636.9856266884669</v>
      </c>
      <c r="T1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Sheet'!B15/12,'Mortgage Sheet'!$K$2))</f>
        <v>-284.78044906008927</v>
      </c>
      <c r="U11" s="18">
        <f>Spending!T12+12*(Table1[[#This Row],[Column17]]-Table1[[#This Row],[Column19]])+IF(Table1[[#This Row],[Column1]]='Data Input'!$I$4,'Data Input'!$C$44,0)</f>
        <v>89787.268136085273</v>
      </c>
      <c r="V11" s="14">
        <f>Table1[[#This Row],[Column17]]-Table1[[#This Row],[Column20]]/12</f>
        <v>-4208.3010912968384</v>
      </c>
      <c r="W11" s="18">
        <f>W10+12*Table1[[#This Row],[Column21]]</f>
        <v>-454857.75781710166</v>
      </c>
      <c r="Y11" s="17"/>
    </row>
    <row r="12" spans="1:28">
      <c r="A12" s="16">
        <f t="shared" si="0"/>
        <v>2026</v>
      </c>
      <c r="B12" s="11">
        <f>IF('Data Input'!$C$16+'Data Input'!$I$3&gt;Table1[[#This Row],[Column1]],('Data Input'!$C$6)*(1+'Data Input'!$C$15)^(Table1[[#This Row],[Column1]]-'Data Input'!$I$3),0)</f>
        <v>44407.328547550336</v>
      </c>
      <c r="C1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2" s="11">
        <f>IF('Data Input'!$F$16+'Data Input'!$I$3&gt;Table1[[#This Row],[Column1]],('Data Input'!$F$6)*(1+'Data Input'!$F$15)^(Table1[[#This Row],[Column1]]-'Data Input'!$I$3),0)</f>
        <v>0</v>
      </c>
      <c r="F12" s="11">
        <f>Table1[[#This Row],[Column2]]+Table1[[#This Row],[Column4]]+Table1[[#This Row],[Column5]]-Table1[[#This Row],[Column3]]-Table1[[#This Row],[Column23]]</f>
        <v>26035.81888478106</v>
      </c>
      <c r="G12" s="11">
        <f>Table1[[#This Row],[Column2]]+Table1[[#This Row],[Column4]]+Table1[[#This Row],[Column5]]-Table1[[#This Row],[Column3]]-Table1[[#This Row],[Column8]]</f>
        <v>5967.1025070854375</v>
      </c>
      <c r="H12" s="11">
        <f>IF(Table1[[#This Row],[Column1]]&lt;'Data Input'!$I$4,MAX('Tax Information'!$C$15+'Data Input'!C71*'Tax Information'!$C$5,Spending!P13+'Student Loans'!B16),MAX('Tax Information'!$C$15+'Data Input'!C71*'Tax Information'!$C$5,'Mortgage Sheet'!C16+Spending!P13+'Student Loans'!C16))+'Tax Information'!$C$13*('Data Input'!C71+2)</f>
        <v>19371.509662769276</v>
      </c>
      <c r="I12" s="11">
        <f>IF(Table1[[#This Row],[Column1]]&lt;'Data Input'!$I$4,MAX('Tax Information'!$C$6+'Data Input'!C71*'Tax Information'!$C$5,Table1[[#This Row],[Column9]]+Spending!P13+'Student Loans'!C16),MAX('Tax Information'!$C$6+'Data Input'!C71*'Tax Information'!$C$5,'Mortgage Sheet'!C16+Table1[[#This Row],[Column9]]+Spending!P13+'Student Loans'!C16))+'Tax Information'!$C$4*('Data Input'!C71+2)</f>
        <v>39440.226040464899</v>
      </c>
      <c r="J12" s="6">
        <f>'Tax Information'!E35</f>
        <v>363.71637769562119</v>
      </c>
      <c r="K12" s="6">
        <f>'Tax Information'!C35</f>
        <v>596.71025070854375</v>
      </c>
      <c r="L12" s="18">
        <f>(0.01+0.0765)*(Table1[[#This Row],[Column2]]+Table1[[#This Row],[Column4]]+Table1[[#This Row],[Column5]])</f>
        <v>3927.7339193631037</v>
      </c>
      <c r="M12" s="6">
        <f>(Table1[[#This Row],[Column2]]+Table1[[#This Row],[Column4]]+Table1[[#This Row],[Column5]])</f>
        <v>45407.328547550336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40519.167999783065</v>
      </c>
      <c r="O12" s="7">
        <f>1-(Table1[[#This Row],[Column13]]/Table1[[#This Row],[Column12]])</f>
        <v>0.1076513572616018</v>
      </c>
      <c r="P1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Input'!$F$10)+P11</f>
        <v>0</v>
      </c>
      <c r="Q12" s="6">
        <f>Table1[[#This Row],[Column12]]/12</f>
        <v>3783.9440456291945</v>
      </c>
      <c r="R12" s="6">
        <f>Table1[[#This Row],[Column13]]/12</f>
        <v>3376.5973333152556</v>
      </c>
      <c r="S12" s="18">
        <f>Table1[[#This Row],[Column13]]/'Data Input'!$I$5</f>
        <v>1688.2986666576278</v>
      </c>
      <c r="T1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Sheet'!B16/12,'Mortgage Sheet'!$K$2))</f>
        <v>-182.15436912176756</v>
      </c>
      <c r="U12" s="18">
        <f>Spending!T13+12*(Table1[[#This Row],[Column17]]-Table1[[#This Row],[Column19]])+IF(Table1[[#This Row],[Column1]]='Data Input'!$I$4,'Data Input'!$C$44,0)</f>
        <v>84768.090613153676</v>
      </c>
      <c r="V12" s="14">
        <f>Table1[[#This Row],[Column17]]-Table1[[#This Row],[Column20]]/12</f>
        <v>-3687.4102177808841</v>
      </c>
      <c r="W12" s="18">
        <f>W11+12*Table1[[#This Row],[Column21]]</f>
        <v>-499106.68043047225</v>
      </c>
      <c r="Z12" s="18"/>
      <c r="AB12" s="16"/>
    </row>
    <row r="13" spans="1:28">
      <c r="A13" s="16">
        <f t="shared" si="0"/>
        <v>2027</v>
      </c>
      <c r="B13" s="11">
        <f>IF('Data Input'!$C$16+'Data Input'!$I$3&gt;Table1[[#This Row],[Column1]],('Data Input'!$C$6)*(1+'Data Input'!$C$15)^(Table1[[#This Row],[Column1]]-'Data Input'!$I$3),0)</f>
        <v>46183.621689452346</v>
      </c>
      <c r="C1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3" s="11">
        <f>IF('Data Input'!$F$16+'Data Input'!$I$3&gt;Table1[[#This Row],[Column1]],('Data Input'!$F$6)*(1+'Data Input'!$F$15)^(Table1[[#This Row],[Column1]]-'Data Input'!$I$3),0)</f>
        <v>0</v>
      </c>
      <c r="F13" s="11">
        <f>Table1[[#This Row],[Column2]]+Table1[[#This Row],[Column4]]+Table1[[#This Row],[Column5]]-Table1[[#This Row],[Column3]]-Table1[[#This Row],[Column23]]</f>
        <v>28935.801661784608</v>
      </c>
      <c r="G13" s="11">
        <f>Table1[[#This Row],[Column2]]+Table1[[#This Row],[Column4]]+Table1[[#This Row],[Column5]]-Table1[[#This Row],[Column3]]-Table1[[#This Row],[Column8]]</f>
        <v>8809.0856285489135</v>
      </c>
      <c r="H13" s="11">
        <f>IF(Table1[[#This Row],[Column1]]&lt;'Data Input'!$I$4,MAX('Tax Information'!$C$15+'Data Input'!C72*'Tax Information'!$C$5,Spending!P14+'Student Loans'!B17),MAX('Tax Information'!$C$15+'Data Input'!C72*'Tax Information'!$C$5,'Mortgage Sheet'!C17+Spending!P14+'Student Loans'!C17))+'Tax Information'!$C$13*('Data Input'!C72+2)</f>
        <v>18247.820027667738</v>
      </c>
      <c r="I13" s="11">
        <f>IF(Table1[[#This Row],[Column1]]&lt;'Data Input'!$I$4,MAX('Tax Information'!$C$6+'Data Input'!C72*'Tax Information'!$C$5,Table1[[#This Row],[Column9]]+Spending!P14+'Student Loans'!C17),MAX('Tax Information'!$C$6+'Data Input'!C72*'Tax Information'!$C$5,'Mortgage Sheet'!C17+Table1[[#This Row],[Column9]]+Spending!P14+'Student Loans'!C17))+'Tax Information'!$C$4*('Data Input'!C72+2)</f>
        <v>38374.536060903432</v>
      </c>
      <c r="J13" s="6">
        <f>'Tax Information'!E36</f>
        <v>421.71603323569218</v>
      </c>
      <c r="K13" s="6">
        <f>'Tax Information'!C36</f>
        <v>880.90856285489144</v>
      </c>
      <c r="L13" s="18">
        <f>(0.01+0.0765)*(Table1[[#This Row],[Column2]]+Table1[[#This Row],[Column4]]+Table1[[#This Row],[Column5]])</f>
        <v>4081.3832761376275</v>
      </c>
      <c r="M13" s="6">
        <f>(Table1[[#This Row],[Column2]]+Table1[[#This Row],[Column4]]+Table1[[#This Row],[Column5]])</f>
        <v>47183.621689452346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41799.613817224134</v>
      </c>
      <c r="O13" s="7">
        <f>1-(Table1[[#This Row],[Column13]]/Table1[[#This Row],[Column12]])</f>
        <v>0.11410755850121146</v>
      </c>
      <c r="P1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Input'!$F$10)+P12</f>
        <v>0</v>
      </c>
      <c r="Q13" s="6">
        <f>Table1[[#This Row],[Column12]]/12</f>
        <v>3931.968474121029</v>
      </c>
      <c r="R13" s="6">
        <f>Table1[[#This Row],[Column13]]/12</f>
        <v>3483.3011514353443</v>
      </c>
      <c r="S13" s="18">
        <f>Table1[[#This Row],[Column13]]/'Data Input'!$I$5</f>
        <v>1741.6505757176722</v>
      </c>
      <c r="T1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Sheet'!B17/12,'Mortgage Sheet'!$K$2))</f>
        <v>-75.450551001678832</v>
      </c>
      <c r="U13" s="18">
        <f>Spending!T14+12*(Table1[[#This Row],[Column17]]-Table1[[#This Row],[Column19]])+IF(Table1[[#This Row],[Column1]]='Data Input'!$I$4,'Data Input'!$C$44,0)</f>
        <v>85152.721314992785</v>
      </c>
      <c r="V13" s="14">
        <f>Table1[[#This Row],[Column17]]-Table1[[#This Row],[Column20]]/12</f>
        <v>-3612.7589581473881</v>
      </c>
      <c r="W13" s="18">
        <f>W12+12*Table1[[#This Row],[Column21]]</f>
        <v>-542459.78792824096</v>
      </c>
    </row>
    <row r="14" spans="1:28">
      <c r="A14" s="16">
        <f t="shared" si="0"/>
        <v>2028</v>
      </c>
      <c r="B14" s="11">
        <f>IF('Data Input'!$C$16+'Data Input'!$I$3&gt;Table1[[#This Row],[Column1]],('Data Input'!$C$6)*(1+'Data Input'!$C$15)^(Table1[[#This Row],[Column1]]-'Data Input'!$I$3),0)</f>
        <v>48030.96655703045</v>
      </c>
      <c r="C1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4" s="11">
        <f>IF('Data Input'!$F$16+'Data Input'!$I$3&gt;Table1[[#This Row],[Column1]],('Data Input'!$F$6)*(1+'Data Input'!$F$15)^(Table1[[#This Row],[Column1]]-'Data Input'!$I$3),0)</f>
        <v>0</v>
      </c>
      <c r="F14" s="11">
        <f>Table1[[#This Row],[Column2]]+Table1[[#This Row],[Column4]]+Table1[[#This Row],[Column5]]-Table1[[#This Row],[Column3]]-Table1[[#This Row],[Column23]]</f>
        <v>31954.614335114784</v>
      </c>
      <c r="G14" s="11">
        <f>Table1[[#This Row],[Column2]]+Table1[[#This Row],[Column4]]+Table1[[#This Row],[Column5]]-Table1[[#This Row],[Column3]]-Table1[[#This Row],[Column8]]</f>
        <v>11767.522048412487</v>
      </c>
      <c r="H14" s="11">
        <f>IF(Table1[[#This Row],[Column1]]&lt;'Data Input'!$I$4,MAX('Tax Information'!$C$15+'Data Input'!C73*'Tax Information'!$C$5,Spending!P15+'Student Loans'!B18),MAX('Tax Information'!$C$15+'Data Input'!C73*'Tax Information'!$C$5,'Mortgage Sheet'!C18+Spending!P15+'Student Loans'!C18))+'Tax Information'!$C$13*('Data Input'!C73+2)</f>
        <v>17076.352221915666</v>
      </c>
      <c r="I14" s="11">
        <f>IF(Table1[[#This Row],[Column1]]&lt;'Data Input'!$I$4,MAX('Tax Information'!$C$6+'Data Input'!C73*'Tax Information'!$C$5,Table1[[#This Row],[Column9]]+Spending!P15+'Student Loans'!C18),MAX('Tax Information'!$C$6+'Data Input'!C73*'Tax Information'!$C$5,'Mortgage Sheet'!C18+Table1[[#This Row],[Column9]]+Spending!P15+'Student Loans'!C18))+'Tax Information'!$C$4*('Data Input'!C73+2)</f>
        <v>37263.444508617962</v>
      </c>
      <c r="J14" s="6">
        <f>'Tax Information'!E37</f>
        <v>482.09228670229567</v>
      </c>
      <c r="K14" s="6">
        <f>'Tax Information'!C37</f>
        <v>1176.7522048412488</v>
      </c>
      <c r="L14" s="18">
        <f>(0.01+0.0765)*(Table1[[#This Row],[Column2]]+Table1[[#This Row],[Column4]]+Table1[[#This Row],[Column5]])</f>
        <v>4241.1786071831339</v>
      </c>
      <c r="M14" s="6">
        <f>(Table1[[#This Row],[Column2]]+Table1[[#This Row],[Column4]]+Table1[[#This Row],[Column5]])</f>
        <v>49030.96655703045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43130.943458303773</v>
      </c>
      <c r="O14" s="7">
        <f>1-(Table1[[#This Row],[Column13]]/Table1[[#This Row],[Column12]])</f>
        <v>0.12033258801586244</v>
      </c>
      <c r="P1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Input'!$F$10)+P13</f>
        <v>0</v>
      </c>
      <c r="Q14" s="6">
        <f>Table1[[#This Row],[Column12]]/12</f>
        <v>4085.9138797525375</v>
      </c>
      <c r="R14" s="6">
        <f>Table1[[#This Row],[Column13]]/12</f>
        <v>3594.2452881919812</v>
      </c>
      <c r="S14" s="18">
        <f>Table1[[#This Row],[Column13]]/'Data Input'!$I$5</f>
        <v>1797.1226440959906</v>
      </c>
      <c r="T1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Sheet'!B18/12,'Mortgage Sheet'!$K$2))</f>
        <v>35.493585754958076</v>
      </c>
      <c r="U14" s="18">
        <f>Spending!T15+12*(Table1[[#This Row],[Column17]]-Table1[[#This Row],[Column19]])+IF(Table1[[#This Row],[Column1]]='Data Input'!$I$4,'Data Input'!$C$44,0)</f>
        <v>85541.198323850287</v>
      </c>
      <c r="V14" s="14">
        <f>Table1[[#This Row],[Column17]]-Table1[[#This Row],[Column20]]/12</f>
        <v>-3534.1879054622091</v>
      </c>
      <c r="W14" s="18">
        <f>W13+12*Table1[[#This Row],[Column21]]</f>
        <v>-584870.04279378743</v>
      </c>
      <c r="Y14" s="16"/>
      <c r="Z14" s="16"/>
    </row>
    <row r="15" spans="1:28">
      <c r="A15" s="16">
        <f t="shared" si="0"/>
        <v>2029</v>
      </c>
      <c r="B15" s="11">
        <f>IF('Data Input'!$C$16+'Data Input'!$I$3&gt;Table1[[#This Row],[Column1]],('Data Input'!$C$6)*(1+'Data Input'!$C$15)^(Table1[[#This Row],[Column1]]-'Data Input'!$I$3),0)</f>
        <v>49952.205219311669</v>
      </c>
      <c r="C1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5" s="11">
        <f>IF('Data Input'!$F$16+'Data Input'!$I$3&gt;Table1[[#This Row],[Column1]],('Data Input'!$F$6)*(1+'Data Input'!$F$15)^(Table1[[#This Row],[Column1]]-'Data Input'!$I$3),0)</f>
        <v>0</v>
      </c>
      <c r="F15" s="11">
        <f>Table1[[#This Row],[Column2]]+Table1[[#This Row],[Column4]]+Table1[[#This Row],[Column5]]-Table1[[#This Row],[Column3]]-Table1[[#This Row],[Column23]]</f>
        <v>35097.065503400336</v>
      </c>
      <c r="G15" s="11">
        <f>Table1[[#This Row],[Column2]]+Table1[[#This Row],[Column4]]+Table1[[#This Row],[Column5]]-Table1[[#This Row],[Column3]]-Table1[[#This Row],[Column8]]</f>
        <v>14847.124193332333</v>
      </c>
      <c r="H15" s="11">
        <f>IF(Table1[[#This Row],[Column1]]&lt;'Data Input'!$I$4,MAX('Tax Information'!$C$15+'Data Input'!C74*'Tax Information'!$C$5,Spending!P16+'Student Loans'!B19),MAX('Tax Information'!$C$15+'Data Input'!C74*'Tax Information'!$C$5,'Mortgage Sheet'!C19+Spending!P16+'Student Loans'!C19))+'Tax Information'!$C$13*('Data Input'!C74+2)</f>
        <v>15855.139715911333</v>
      </c>
      <c r="I15" s="11">
        <f>IF(Table1[[#This Row],[Column1]]&lt;'Data Input'!$I$4,MAX('Tax Information'!$C$6+'Data Input'!C74*'Tax Information'!$C$5,Table1[[#This Row],[Column9]]+Spending!P16+'Student Loans'!C19),MAX('Tax Information'!$C$6+'Data Input'!C74*'Tax Information'!$C$5,'Mortgage Sheet'!C19+Table1[[#This Row],[Column9]]+Spending!P16+'Student Loans'!C19))+'Tax Information'!$C$4*('Data Input'!C74+2)</f>
        <v>36105.081025979336</v>
      </c>
      <c r="J15" s="6">
        <f>'Tax Information'!E38</f>
        <v>544.94131006800671</v>
      </c>
      <c r="K15" s="6">
        <f>'Tax Information'!C38</f>
        <v>1484.7124193332334</v>
      </c>
      <c r="L15" s="18">
        <f>(0.01+0.0765)*(Table1[[#This Row],[Column2]]+Table1[[#This Row],[Column4]]+Table1[[#This Row],[Column5]])</f>
        <v>4407.3657514704591</v>
      </c>
      <c r="M15" s="6">
        <f>(Table1[[#This Row],[Column2]]+Table1[[#This Row],[Column4]]+Table1[[#This Row],[Column5]])</f>
        <v>50952.205219311669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44515.18573843997</v>
      </c>
      <c r="O15" s="7">
        <f>1-(Table1[[#This Row],[Column13]]/Table1[[#This Row],[Column12]])</f>
        <v>0.12633446291804407</v>
      </c>
      <c r="P1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Input'!$F$10)+P14</f>
        <v>0</v>
      </c>
      <c r="Q15" s="6">
        <f>Table1[[#This Row],[Column12]]/12</f>
        <v>4246.0171016093054</v>
      </c>
      <c r="R15" s="6">
        <f>Table1[[#This Row],[Column13]]/12</f>
        <v>3709.598811536664</v>
      </c>
      <c r="S15" s="18">
        <f>Table1[[#This Row],[Column13]]/'Data Input'!$I$5</f>
        <v>1854.799405768332</v>
      </c>
      <c r="T1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Sheet'!B19/12,'Mortgage Sheet'!$K$2))</f>
        <v>150.84710909964087</v>
      </c>
      <c r="U15" s="18">
        <f>Spending!T16+12*(Table1[[#This Row],[Column17]]-Table1[[#This Row],[Column19]])+IF(Table1[[#This Row],[Column1]]='Data Input'!$I$4,'Data Input'!$C$44,0)</f>
        <v>85933.560102796328</v>
      </c>
      <c r="V15" s="14">
        <f>Table1[[#This Row],[Column17]]-Table1[[#This Row],[Column20]]/12</f>
        <v>-3451.5311970296966</v>
      </c>
      <c r="W15" s="18">
        <f>W14+12*Table1[[#This Row],[Column21]]</f>
        <v>-626288.41715814383</v>
      </c>
      <c r="Z15" s="16"/>
    </row>
    <row r="16" spans="1:28">
      <c r="A16" s="16">
        <f t="shared" si="0"/>
        <v>2030</v>
      </c>
      <c r="B16" s="11">
        <f>IF('Data Input'!$C$16+'Data Input'!$I$3&gt;Table1[[#This Row],[Column1]],('Data Input'!$C$6)*(1+'Data Input'!$C$15)^(Table1[[#This Row],[Column1]]-'Data Input'!$I$3),0)</f>
        <v>51950.293428084136</v>
      </c>
      <c r="C1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6" s="11">
        <f>IF('Data Input'!$F$16+'Data Input'!$I$3&gt;Table1[[#This Row],[Column1]],('Data Input'!$F$6)*(1+'Data Input'!$F$15)^(Table1[[#This Row],[Column1]]-'Data Input'!$I$3),0)</f>
        <v>0</v>
      </c>
      <c r="F16" s="11">
        <f>Table1[[#This Row],[Column2]]+Table1[[#This Row],[Column4]]+Table1[[#This Row],[Column5]]-Table1[[#This Row],[Column3]]-Table1[[#This Row],[Column23]]</f>
        <v>38368.157767213401</v>
      </c>
      <c r="G16" s="11">
        <f>Table1[[#This Row],[Column2]]+Table1[[#This Row],[Column4]]+Table1[[#This Row],[Column5]]-Table1[[#This Row],[Column3]]-Table1[[#This Row],[Column8]]</f>
        <v>16950.293428084136</v>
      </c>
      <c r="H16" s="11">
        <f>IF(Table1[[#This Row],[Column1]]&lt;'Data Input'!$I$4,MAX('Tax Information'!$C$15+'Data Input'!C75*'Tax Information'!$C$5,Spending!P17+'Student Loans'!B20),MAX('Tax Information'!$C$15+'Data Input'!C75*'Tax Information'!$C$5,'Mortgage Sheet'!C20+Spending!P17+'Student Loans'!C20))+'Tax Information'!$C$13*('Data Input'!C75+2)</f>
        <v>14582.135660870734</v>
      </c>
      <c r="I16" s="11">
        <f>IF(Table1[[#This Row],[Column1]]&lt;'Data Input'!$I$4,MAX('Tax Information'!$C$6+'Data Input'!C75*'Tax Information'!$C$5,Table1[[#This Row],[Column9]]+Spending!P17+'Student Loans'!C20),MAX('Tax Information'!$C$6+'Data Input'!C75*'Tax Information'!$C$5,'Mortgage Sheet'!C20+Table1[[#This Row],[Column9]]+Spending!P17+'Student Loans'!C20))+'Tax Information'!$C$4*('Data Input'!C75+2)</f>
        <v>36000</v>
      </c>
      <c r="J16" s="6">
        <f>'Tax Information'!E39</f>
        <v>1266.6526213770721</v>
      </c>
      <c r="K16" s="6">
        <f>'Tax Information'!C39</f>
        <v>1695.0293428084137</v>
      </c>
      <c r="L16" s="18">
        <f>(0.01+0.0765)*(Table1[[#This Row],[Column2]]+Table1[[#This Row],[Column4]]+Table1[[#This Row],[Column5]])</f>
        <v>4580.2003815292774</v>
      </c>
      <c r="M16" s="6">
        <f>(Table1[[#This Row],[Column2]]+Table1[[#This Row],[Column4]]+Table1[[#This Row],[Column5]])</f>
        <v>52950.293428084136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45408.411082369377</v>
      </c>
      <c r="O16" s="7">
        <f>1-(Table1[[#This Row],[Column13]]/Table1[[#This Row],[Column12]])</f>
        <v>0.14243324932576562</v>
      </c>
      <c r="P1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Input'!$F$10)+P15</f>
        <v>0</v>
      </c>
      <c r="Q16" s="6">
        <f>Table1[[#This Row],[Column12]]/12</f>
        <v>4412.5244523403444</v>
      </c>
      <c r="R16" s="6">
        <f>Table1[[#This Row],[Column13]]/12</f>
        <v>3784.0342568641149</v>
      </c>
      <c r="S16" s="18">
        <f>Table1[[#This Row],[Column13]]/'Data Input'!$I$5</f>
        <v>1892.0171284320575</v>
      </c>
      <c r="T1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Sheet'!B20/12,'Mortgage Sheet'!$K$2))</f>
        <v>225.28255442709178</v>
      </c>
      <c r="U16" s="18">
        <f>Spending!T17+12*(Table1[[#This Row],[Column17]]-Table1[[#This Row],[Column19]])+IF(Table1[[#This Row],[Column1]]='Data Input'!$I$4,'Data Input'!$C$44,0)</f>
        <v>86329.845499531846</v>
      </c>
      <c r="V16" s="14">
        <f>Table1[[#This Row],[Column17]]-Table1[[#This Row],[Column20]]/12</f>
        <v>-3410.1195347635389</v>
      </c>
      <c r="W16" s="18">
        <f>W15+12*Table1[[#This Row],[Column21]]</f>
        <v>-667209.85157530627</v>
      </c>
    </row>
    <row r="17" spans="1:31">
      <c r="A17" s="16">
        <f t="shared" si="0"/>
        <v>2031</v>
      </c>
      <c r="B17" s="11">
        <f>IF('Data Input'!$C$16+'Data Input'!$I$3&gt;Table1[[#This Row],[Column1]],('Data Input'!$C$6)*(1+'Data Input'!$C$15)^(Table1[[#This Row],[Column1]]-'Data Input'!$I$3),0)</f>
        <v>54028.305165207501</v>
      </c>
      <c r="C1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7" s="11">
        <f>IF('Data Input'!$F$16+'Data Input'!$I$3&gt;Table1[[#This Row],[Column1]],('Data Input'!$F$6)*(1+'Data Input'!$F$15)^(Table1[[#This Row],[Column1]]-'Data Input'!$I$3),0)</f>
        <v>0</v>
      </c>
      <c r="F17" s="11">
        <f>Table1[[#This Row],[Column2]]+Table1[[#This Row],[Column4]]+Table1[[#This Row],[Column5]]-Table1[[#This Row],[Column3]]-Table1[[#This Row],[Column23]]</f>
        <v>41654.745482607759</v>
      </c>
      <c r="G17" s="11">
        <f>Table1[[#This Row],[Column2]]+Table1[[#This Row],[Column4]]+Table1[[#This Row],[Column5]]-Table1[[#This Row],[Column3]]-Table1[[#This Row],[Column8]]</f>
        <v>19028.305165207501</v>
      </c>
      <c r="H17" s="11">
        <f>IF(Table1[[#This Row],[Column1]]&lt;'Data Input'!$I$4,MAX('Tax Information'!$C$15+'Data Input'!C76*'Tax Information'!$C$5,Spending!P18+'Student Loans'!B21),MAX('Tax Information'!$C$15+'Data Input'!C76*'Tax Information'!$C$5,'Mortgage Sheet'!C21+Spending!P18+'Student Loans'!C21))+'Tax Information'!$C$13*('Data Input'!C76+2)</f>
        <v>13373.559682599738</v>
      </c>
      <c r="I17" s="11">
        <f>IF(Table1[[#This Row],[Column1]]&lt;'Data Input'!$I$4,MAX('Tax Information'!$C$6+'Data Input'!C76*'Tax Information'!$C$5,Table1[[#This Row],[Column9]]+Spending!P18+'Student Loans'!C21),MAX('Tax Information'!$C$6+'Data Input'!C76*'Tax Information'!$C$5,'Mortgage Sheet'!C21+Table1[[#This Row],[Column9]]+Spending!P18+'Student Loans'!C21))+'Tax Information'!$C$4*('Data Input'!C76+2)</f>
        <v>36000</v>
      </c>
      <c r="J17" s="6">
        <f>'Tax Information'!E40</f>
        <v>1529.5796386086208</v>
      </c>
      <c r="K17" s="6">
        <f>'Tax Information'!C40</f>
        <v>1926.5957747811251</v>
      </c>
      <c r="L17" s="18">
        <f>(0.01+0.0765)*(Table1[[#This Row],[Column2]]+Table1[[#This Row],[Column4]]+Table1[[#This Row],[Column5]])</f>
        <v>4759.9483967904489</v>
      </c>
      <c r="M17" s="6">
        <f>(Table1[[#This Row],[Column2]]+Table1[[#This Row],[Column4]]+Table1[[#This Row],[Column5]])</f>
        <v>55028.305165207501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46812.181355027307</v>
      </c>
      <c r="O17" s="7">
        <f>1-(Table1[[#This Row],[Column13]]/Table1[[#This Row],[Column12]])</f>
        <v>0.14930722989765943</v>
      </c>
      <c r="P1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Input'!$F$10)+P16</f>
        <v>0</v>
      </c>
      <c r="Q17" s="6">
        <f>Table1[[#This Row],[Column12]]/12</f>
        <v>4585.6920971006248</v>
      </c>
      <c r="R17" s="6">
        <f>Table1[[#This Row],[Column13]]/12</f>
        <v>3901.0151129189421</v>
      </c>
      <c r="S17" s="18">
        <f>Table1[[#This Row],[Column13]]/'Data Input'!$I$5</f>
        <v>1950.5075564594711</v>
      </c>
      <c r="T1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Sheet'!B21/12,'Mortgage Sheet'!$K$2))</f>
        <v>3301.0151129177329</v>
      </c>
      <c r="U17" s="18">
        <f>Spending!T18+12*(Table1[[#This Row],[Column17]]-Table1[[#This Row],[Column19]])+IF(Table1[[#This Row],[Column1]]='Data Input'!$I$4,'Data Input'!$C$44,0)</f>
        <v>51225.073321004944</v>
      </c>
      <c r="V17" s="14">
        <f>Table1[[#This Row],[Column17]]-Table1[[#This Row],[Column20]]/12</f>
        <v>-367.7409971648035</v>
      </c>
      <c r="W17" s="18">
        <f>W16+12*Table1[[#This Row],[Column21]]</f>
        <v>-671622.74354128388</v>
      </c>
    </row>
    <row r="18" spans="1:31">
      <c r="A18" s="16">
        <f t="shared" si="0"/>
        <v>2032</v>
      </c>
      <c r="B18" s="11">
        <f>IF('Data Input'!$C$16+'Data Input'!$I$3&gt;Table1[[#This Row],[Column1]],('Data Input'!$C$6)*(1+'Data Input'!$C$15)^(Table1[[#This Row],[Column1]]-'Data Input'!$I$3),0)</f>
        <v>56189.437371815809</v>
      </c>
      <c r="C1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8" s="11">
        <f>IF('Data Input'!$F$16+'Data Input'!$I$3&gt;Table1[[#This Row],[Column1]],('Data Input'!$F$6)*(1+'Data Input'!$F$15)^(Table1[[#This Row],[Column1]]-'Data Input'!$I$3),0)</f>
        <v>0</v>
      </c>
      <c r="F18" s="11">
        <f>Table1[[#This Row],[Column2]]+Table1[[#This Row],[Column4]]+Table1[[#This Row],[Column5]]-Table1[[#This Row],[Column3]]-Table1[[#This Row],[Column23]]</f>
        <v>43747.59209239007</v>
      </c>
      <c r="G18" s="11">
        <f>Table1[[#This Row],[Column2]]+Table1[[#This Row],[Column4]]+Table1[[#This Row],[Column5]]-Table1[[#This Row],[Column3]]-Table1[[#This Row],[Column8]]</f>
        <v>21189.437371815809</v>
      </c>
      <c r="H18" s="11">
        <f>IF(Table1[[#This Row],[Column1]]&lt;'Data Input'!$I$4,MAX('Tax Information'!$C$15+'Data Input'!C77*'Tax Information'!$C$5,Spending!P19+'Student Loans'!B22),MAX('Tax Information'!$C$15+'Data Input'!C77*'Tax Information'!$C$5,'Mortgage Sheet'!C22+Spending!P19+'Student Loans'!C22))+'Tax Information'!$C$13*('Data Input'!C77+2)</f>
        <v>13441.845279425735</v>
      </c>
      <c r="I18" s="11">
        <f>IF(Table1[[#This Row],[Column1]]&lt;'Data Input'!$I$4,MAX('Tax Information'!$C$6+'Data Input'!C77*'Tax Information'!$C$5,Table1[[#This Row],[Column9]]+Spending!P19+'Student Loans'!C22),MAX('Tax Information'!$C$6+'Data Input'!C77*'Tax Information'!$C$5,'Mortgage Sheet'!C22+Table1[[#This Row],[Column9]]+Spending!P19+'Student Loans'!C22))+'Tax Information'!$C$4*('Data Input'!C77+2)</f>
        <v>36000</v>
      </c>
      <c r="J18" s="6">
        <f>'Tax Information'!E41</f>
        <v>1697.0073673912057</v>
      </c>
      <c r="K18" s="6">
        <f>'Tax Information'!C41</f>
        <v>2250.7656057723716</v>
      </c>
      <c r="L18" s="18">
        <f>(0.01+0.0765)*(Table1[[#This Row],[Column2]]+Table1[[#This Row],[Column4]]+Table1[[#This Row],[Column5]])</f>
        <v>4946.8863326620667</v>
      </c>
      <c r="M18" s="6">
        <f>(Table1[[#This Row],[Column2]]+Table1[[#This Row],[Column4]]+Table1[[#This Row],[Column5]])</f>
        <v>57189.437371815809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48294.778065990162</v>
      </c>
      <c r="O18" s="7">
        <f>1-(Table1[[#This Row],[Column13]]/Table1[[#This Row],[Column12]])</f>
        <v>0.15552975714723727</v>
      </c>
      <c r="P1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Input'!$F$10)+P17</f>
        <v>0</v>
      </c>
      <c r="Q18" s="6">
        <f>Table1[[#This Row],[Column12]]/12</f>
        <v>4765.7864476513178</v>
      </c>
      <c r="R18" s="6">
        <f>Table1[[#This Row],[Column13]]/12</f>
        <v>4024.5648388325135</v>
      </c>
      <c r="S18" s="18">
        <f>Table1[[#This Row],[Column13]]/'Data Input'!$I$5</f>
        <v>2012.2824194162567</v>
      </c>
      <c r="T1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Sheet'!B22/12,'Mortgage Sheet'!$K$2))</f>
        <v>3424.5648388325135</v>
      </c>
      <c r="U18" s="18">
        <f>Spending!T19+12*(Table1[[#This Row],[Column17]]-Table1[[#This Row],[Column19]])+IF(Table1[[#This Row],[Column1]]='Data Input'!$I$4,'Data Input'!$C$44,0)</f>
        <v>51629.324054200355</v>
      </c>
      <c r="V18" s="14">
        <f>Table1[[#This Row],[Column17]]-Table1[[#This Row],[Column20]]/12</f>
        <v>-277.87883235084973</v>
      </c>
      <c r="W18" s="18">
        <f>W17+12*Table1[[#This Row],[Column21]]</f>
        <v>-674957.28952949413</v>
      </c>
    </row>
    <row r="19" spans="1:31">
      <c r="A19" s="16">
        <f t="shared" si="0"/>
        <v>2033</v>
      </c>
      <c r="B19" s="11">
        <f>IF('Data Input'!$C$16+'Data Input'!$I$3&gt;Table1[[#This Row],[Column1]],('Data Input'!$C$6)*(1+'Data Input'!$C$15)^(Table1[[#This Row],[Column1]]-'Data Input'!$I$3),0)</f>
        <v>58437.014866688449</v>
      </c>
      <c r="C1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19" s="11">
        <f>IF('Data Input'!$F$16+'Data Input'!$I$3&gt;Table1[[#This Row],[Column1]],('Data Input'!$F$6)*(1+'Data Input'!$F$15)^(Table1[[#This Row],[Column1]]-'Data Input'!$I$3),0)</f>
        <v>0</v>
      </c>
      <c r="F19" s="11">
        <f>Table1[[#This Row],[Column2]]+Table1[[#This Row],[Column4]]+Table1[[#This Row],[Column5]]-Table1[[#This Row],[Column3]]-Table1[[#This Row],[Column23]]</f>
        <v>45926.201134468458</v>
      </c>
      <c r="G19" s="11">
        <f>Table1[[#This Row],[Column2]]+Table1[[#This Row],[Column4]]+Table1[[#This Row],[Column5]]-Table1[[#This Row],[Column3]]-Table1[[#This Row],[Column8]]</f>
        <v>23437.014866688449</v>
      </c>
      <c r="H19" s="11">
        <f>IF(Table1[[#This Row],[Column1]]&lt;'Data Input'!$I$4,MAX('Tax Information'!$C$15+'Data Input'!C78*'Tax Information'!$C$5,Spending!P20+'Student Loans'!B23),MAX('Tax Information'!$C$15+'Data Input'!C78*'Tax Information'!$C$5,'Mortgage Sheet'!C23+Spending!P20+'Student Loans'!C23))+'Tax Information'!$C$13*('Data Input'!C78+2)</f>
        <v>13510.813732219991</v>
      </c>
      <c r="I19" s="11">
        <f>IF(Table1[[#This Row],[Column1]]&lt;'Data Input'!$I$4,MAX('Tax Information'!$C$6+'Data Input'!C78*'Tax Information'!$C$5,Table1[[#This Row],[Column9]]+Spending!P20+'Student Loans'!C23),MAX('Tax Information'!$C$6+'Data Input'!C78*'Tax Information'!$C$5,'Mortgage Sheet'!C23+Table1[[#This Row],[Column9]]+Spending!P20+'Student Loans'!C23))+'Tax Information'!$C$4*('Data Input'!C78+2)</f>
        <v>36000</v>
      </c>
      <c r="J19" s="6">
        <f>'Tax Information'!E42</f>
        <v>1871.2960907574766</v>
      </c>
      <c r="K19" s="6">
        <f>'Tax Information'!C42</f>
        <v>2587.9022300032675</v>
      </c>
      <c r="L19" s="18">
        <f>(0.01+0.0765)*(Table1[[#This Row],[Column2]]+Table1[[#This Row],[Column4]]+Table1[[#This Row],[Column5]])</f>
        <v>5141.3017859685506</v>
      </c>
      <c r="M19" s="6">
        <f>(Table1[[#This Row],[Column2]]+Table1[[#This Row],[Column4]]+Table1[[#This Row],[Column5]])</f>
        <v>59437.014866688449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49836.514759959158</v>
      </c>
      <c r="O19" s="7">
        <f>1-(Table1[[#This Row],[Column13]]/Table1[[#This Row],[Column12]])</f>
        <v>0.16152392794729509</v>
      </c>
      <c r="P1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Input'!$F$10)+P18</f>
        <v>0</v>
      </c>
      <c r="Q19" s="6">
        <f>Table1[[#This Row],[Column12]]/12</f>
        <v>4953.0845722240374</v>
      </c>
      <c r="R19" s="6">
        <f>Table1[[#This Row],[Column13]]/12</f>
        <v>4153.0428966632635</v>
      </c>
      <c r="S19" s="18">
        <f>Table1[[#This Row],[Column13]]/'Data Input'!$I$5</f>
        <v>2076.5214483316317</v>
      </c>
      <c r="T1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Sheet'!B23/12,'Mortgage Sheet'!$K$2))</f>
        <v>3553.0428966632635</v>
      </c>
      <c r="U19" s="18">
        <f>Spending!T20+12*(Table1[[#This Row],[Column17]]-Table1[[#This Row],[Column19]])+IF(Table1[[#This Row],[Column1]]='Data Input'!$I$4,'Data Input'!$C$44,0)</f>
        <v>52037.61729474234</v>
      </c>
      <c r="V19" s="14">
        <f>Table1[[#This Row],[Column17]]-Table1[[#This Row],[Column20]]/12</f>
        <v>-183.42521123193183</v>
      </c>
      <c r="W19" s="18">
        <f>W18+12*Table1[[#This Row],[Column21]]</f>
        <v>-677158.39206427732</v>
      </c>
      <c r="AB19" s="17"/>
      <c r="AE19" s="18"/>
    </row>
    <row r="20" spans="1:31">
      <c r="A20" s="16">
        <f t="shared" si="0"/>
        <v>2034</v>
      </c>
      <c r="B20" s="11">
        <f>IF('Data Input'!$C$16+'Data Input'!$I$3&gt;Table1[[#This Row],[Column1]],('Data Input'!$C$6)*(1+'Data Input'!$C$15)^(Table1[[#This Row],[Column1]]-'Data Input'!$I$3),0)</f>
        <v>60774.495461355989</v>
      </c>
      <c r="C2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0" s="11">
        <f>IF('Data Input'!$F$16+'Data Input'!$I$3&gt;Table1[[#This Row],[Column1]],('Data Input'!$F$6)*(1+'Data Input'!$F$15)^(Table1[[#This Row],[Column1]]-'Data Input'!$I$3),0)</f>
        <v>0</v>
      </c>
      <c r="F20" s="11">
        <f>Table1[[#This Row],[Column2]]+Table1[[#This Row],[Column4]]+Table1[[#This Row],[Column5]]-Table1[[#This Row],[Column3]]-Table1[[#This Row],[Column23]]</f>
        <v>48194.023591813799</v>
      </c>
      <c r="G20" s="11">
        <f>Table1[[#This Row],[Column2]]+Table1[[#This Row],[Column4]]+Table1[[#This Row],[Column5]]-Table1[[#This Row],[Column3]]-Table1[[#This Row],[Column8]]</f>
        <v>25774.495461355989</v>
      </c>
      <c r="H20" s="11">
        <f>IF(Table1[[#This Row],[Column1]]&lt;'Data Input'!$I$4,MAX('Tax Information'!$C$15+'Data Input'!C79*'Tax Information'!$C$5,Spending!P21+'Student Loans'!B24),MAX('Tax Information'!$C$15+'Data Input'!C79*'Tax Information'!$C$5,'Mortgage Sheet'!C24+Spending!P21+'Student Loans'!C24))+'Tax Information'!$C$13*('Data Input'!C79+2)</f>
        <v>13580.471869542193</v>
      </c>
      <c r="I20" s="11">
        <f>IF(Table1[[#This Row],[Column1]]&lt;'Data Input'!$I$4,MAX('Tax Information'!$C$6+'Data Input'!C79*'Tax Information'!$C$5,Table1[[#This Row],[Column9]]+Spending!P21+'Student Loans'!C24),MAX('Tax Information'!$C$6+'Data Input'!C79*'Tax Information'!$C$5,'Mortgage Sheet'!C24+Table1[[#This Row],[Column9]]+Spending!P21+'Student Loans'!C24))+'Tax Information'!$C$4*('Data Input'!C79+2)</f>
        <v>36000</v>
      </c>
      <c r="J20" s="6">
        <f>'Tax Information'!E43</f>
        <v>2052.7218873451038</v>
      </c>
      <c r="K20" s="6">
        <f>'Tax Information'!C43</f>
        <v>2938.5243192033986</v>
      </c>
      <c r="L20" s="18">
        <f>(0.01+0.0765)*(Table1[[#This Row],[Column2]]+Table1[[#This Row],[Column4]]+Table1[[#This Row],[Column5]])</f>
        <v>5343.493857407293</v>
      </c>
      <c r="M20" s="6">
        <f>(Table1[[#This Row],[Column2]]+Table1[[#This Row],[Column4]]+Table1[[#This Row],[Column5]])</f>
        <v>61774.495461355989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51439.755397400193</v>
      </c>
      <c r="O20" s="7">
        <f>1-(Table1[[#This Row],[Column13]]/Table1[[#This Row],[Column12]])</f>
        <v>0.16729784657522384</v>
      </c>
      <c r="P2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Input'!$F$10)+P19</f>
        <v>0</v>
      </c>
      <c r="Q20" s="6">
        <f>Table1[[#This Row],[Column12]]/12</f>
        <v>5147.8746217796661</v>
      </c>
      <c r="R20" s="6">
        <f>Table1[[#This Row],[Column13]]/12</f>
        <v>4286.6462831166828</v>
      </c>
      <c r="S20" s="18">
        <f>Table1[[#This Row],[Column13]]/'Data Input'!$I$5</f>
        <v>2143.3231415583414</v>
      </c>
      <c r="T2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Sheet'!B24/12,'Mortgage Sheet'!$K$2))</f>
        <v>3686.6462831166828</v>
      </c>
      <c r="U20" s="18">
        <f>Spending!T21+12*(Table1[[#This Row],[Column17]]-Table1[[#This Row],[Column19]])+IF(Table1[[#This Row],[Column1]]='Data Input'!$I$4,'Data Input'!$C$44,0)</f>
        <v>52449.99346768979</v>
      </c>
      <c r="V20" s="14">
        <f>Table1[[#This Row],[Column17]]-Table1[[#This Row],[Column20]]/12</f>
        <v>-84.186505857466727</v>
      </c>
      <c r="W20" s="18">
        <f>W19+12*Table1[[#This Row],[Column21]]</f>
        <v>-678168.63013456692</v>
      </c>
    </row>
    <row r="21" spans="1:31">
      <c r="A21" s="16">
        <f t="shared" si="0"/>
        <v>2035</v>
      </c>
      <c r="B21" s="11">
        <f>IF('Data Input'!$C$16+'Data Input'!$I$3&gt;Table1[[#This Row],[Column1]],('Data Input'!$C$6)*(1+'Data Input'!$C$15)^(Table1[[#This Row],[Column1]]-'Data Input'!$I$3),0)</f>
        <v>63205.475279810227</v>
      </c>
      <c r="C2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1" s="11">
        <f>IF('Data Input'!$F$16+'Data Input'!$I$3&gt;Table1[[#This Row],[Column1]],('Data Input'!$F$6)*(1+'Data Input'!$F$15)^(Table1[[#This Row],[Column1]]-'Data Input'!$I$3),0)</f>
        <v>0</v>
      </c>
      <c r="F21" s="11">
        <f>Table1[[#This Row],[Column2]]+Table1[[#This Row],[Column4]]+Table1[[#This Row],[Column5]]-Table1[[#This Row],[Column3]]-Table1[[#This Row],[Column23]]</f>
        <v>50554.648691572613</v>
      </c>
      <c r="G21" s="11">
        <f>Table1[[#This Row],[Column2]]+Table1[[#This Row],[Column4]]+Table1[[#This Row],[Column5]]-Table1[[#This Row],[Column3]]-Table1[[#This Row],[Column8]]</f>
        <v>28205.475279810227</v>
      </c>
      <c r="H21" s="11">
        <f>IF(Table1[[#This Row],[Column1]]&lt;'Data Input'!$I$4,MAX('Tax Information'!$C$15+'Data Input'!C80*'Tax Information'!$C$5,Spending!P22+'Student Loans'!B25),MAX('Tax Information'!$C$15+'Data Input'!C80*'Tax Information'!$C$5,'Mortgage Sheet'!C25+Spending!P22+'Student Loans'!C25))+'Tax Information'!$C$13*('Data Input'!C80+2)</f>
        <v>13650.826588237614</v>
      </c>
      <c r="I21" s="11">
        <f>IF(Table1[[#This Row],[Column1]]&lt;'Data Input'!$I$4,MAX('Tax Information'!$C$6+'Data Input'!C80*'Tax Information'!$C$5,Table1[[#This Row],[Column9]]+Spending!P22+'Student Loans'!C25),MAX('Tax Information'!$C$6+'Data Input'!C80*'Tax Information'!$C$5,'Mortgage Sheet'!C25+Table1[[#This Row],[Column9]]+Spending!P22+'Student Loans'!C25))+'Tax Information'!$C$4*('Data Input'!C80+2)</f>
        <v>36000</v>
      </c>
      <c r="J21" s="6">
        <f>'Tax Information'!E44</f>
        <v>2241.5718953258092</v>
      </c>
      <c r="K21" s="6">
        <f>'Tax Information'!C44</f>
        <v>3303.1712919715337</v>
      </c>
      <c r="L21" s="18">
        <f>(0.01+0.0765)*(Table1[[#This Row],[Column2]]+Table1[[#This Row],[Column4]]+Table1[[#This Row],[Column5]])</f>
        <v>5553.7736117035838</v>
      </c>
      <c r="M21" s="6">
        <f>(Table1[[#This Row],[Column2]]+Table1[[#This Row],[Column4]]+Table1[[#This Row],[Column5]])</f>
        <v>64205.475279810227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53106.958480809299</v>
      </c>
      <c r="O21" s="7">
        <f>1-(Table1[[#This Row],[Column13]]/Table1[[#This Row],[Column12]])</f>
        <v>0.1728593511789005</v>
      </c>
      <c r="P2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Input'!$F$10)+P20</f>
        <v>0</v>
      </c>
      <c r="Q21" s="6">
        <f>Table1[[#This Row],[Column12]]/12</f>
        <v>5350.4562733175189</v>
      </c>
      <c r="R21" s="6">
        <f>Table1[[#This Row],[Column13]]/12</f>
        <v>4425.5798734007749</v>
      </c>
      <c r="S21" s="18">
        <f>Table1[[#This Row],[Column13]]/'Data Input'!$I$5</f>
        <v>2212.7899367003874</v>
      </c>
      <c r="T2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Sheet'!B25/12,'Mortgage Sheet'!$K$2))</f>
        <v>3825.5798734007749</v>
      </c>
      <c r="U21" s="18">
        <f>Spending!T22+12*(Table1[[#This Row],[Column17]]-Table1[[#This Row],[Column19]])+IF(Table1[[#This Row],[Column1]]='Data Input'!$I$4,'Data Input'!$C$44,0)</f>
        <v>52866.493402366679</v>
      </c>
      <c r="V21" s="14">
        <f>Table1[[#This Row],[Column17]]-Table1[[#This Row],[Column20]]/12</f>
        <v>20.038756536884648</v>
      </c>
      <c r="W21" s="18">
        <f>W20+12*Table1[[#This Row],[Column21]]</f>
        <v>-677928.16505612433</v>
      </c>
    </row>
    <row r="22" spans="1:31">
      <c r="A22" s="16">
        <f t="shared" si="0"/>
        <v>2036</v>
      </c>
      <c r="B22" s="11">
        <f>IF('Data Input'!$C$16+'Data Input'!$I$3&gt;Table1[[#This Row],[Column1]],('Data Input'!$C$6)*(1+'Data Input'!$C$15)^(Table1[[#This Row],[Column1]]-'Data Input'!$I$3),0)</f>
        <v>65733.694291002641</v>
      </c>
      <c r="C2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2" s="11">
        <f>IF('Data Input'!$F$16+'Data Input'!$I$3&gt;Table1[[#This Row],[Column1]],('Data Input'!$F$6)*(1+'Data Input'!$F$15)^(Table1[[#This Row],[Column1]]-'Data Input'!$I$3),0)</f>
        <v>0</v>
      </c>
      <c r="F22" s="11">
        <f>Table1[[#This Row],[Column2]]+Table1[[#This Row],[Column4]]+Table1[[#This Row],[Column5]]-Table1[[#This Row],[Column3]]-Table1[[#This Row],[Column23]]</f>
        <v>53011.80943688265</v>
      </c>
      <c r="G22" s="11">
        <f>Table1[[#This Row],[Column2]]+Table1[[#This Row],[Column4]]+Table1[[#This Row],[Column5]]-Table1[[#This Row],[Column3]]-Table1[[#This Row],[Column8]]</f>
        <v>30733.694291002641</v>
      </c>
      <c r="H22" s="11">
        <f>IF(Table1[[#This Row],[Column1]]&lt;'Data Input'!$I$4,MAX('Tax Information'!$C$15+'Data Input'!C81*'Tax Information'!$C$5,Spending!P23+'Student Loans'!B26),MAX('Tax Information'!$C$15+'Data Input'!C81*'Tax Information'!$C$5,'Mortgage Sheet'!C26+Spending!P23+'Student Loans'!C26))+'Tax Information'!$C$13*('Data Input'!C81+2)</f>
        <v>13721.884854119991</v>
      </c>
      <c r="I22" s="11">
        <f>IF(Table1[[#This Row],[Column1]]&lt;'Data Input'!$I$4,MAX('Tax Information'!$C$6+'Data Input'!C81*'Tax Information'!$C$5,Table1[[#This Row],[Column9]]+Spending!P23+'Student Loans'!C26),MAX('Tax Information'!$C$6+'Data Input'!C81*'Tax Information'!$C$5,'Mortgage Sheet'!C26+Table1[[#This Row],[Column9]]+Spending!P23+'Student Loans'!C26))+'Tax Information'!$C$4*('Data Input'!C81+2)</f>
        <v>36000</v>
      </c>
      <c r="J22" s="6">
        <f>'Tax Information'!E45</f>
        <v>2438.144754950612</v>
      </c>
      <c r="K22" s="6">
        <f>'Tax Information'!C45</f>
        <v>3682.4041436503958</v>
      </c>
      <c r="L22" s="18">
        <f>(0.01+0.0765)*(Table1[[#This Row],[Column2]]+Table1[[#This Row],[Column4]]+Table1[[#This Row],[Column5]])</f>
        <v>5772.464556171728</v>
      </c>
      <c r="M22" s="6">
        <f>(Table1[[#This Row],[Column2]]+Table1[[#This Row],[Column4]]+Table1[[#This Row],[Column5]])</f>
        <v>66733.694291002641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54840.680836229905</v>
      </c>
      <c r="O22" s="7">
        <f>1-(Table1[[#This Row],[Column13]]/Table1[[#This Row],[Column12]])</f>
        <v>0.17821602087412403</v>
      </c>
      <c r="P2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Input'!$F$10)+P21</f>
        <v>0</v>
      </c>
      <c r="Q22" s="6">
        <f>Table1[[#This Row],[Column12]]/12</f>
        <v>5561.1411909168864</v>
      </c>
      <c r="R22" s="6">
        <f>Table1[[#This Row],[Column13]]/12</f>
        <v>4570.0567363524924</v>
      </c>
      <c r="S22" s="18">
        <f>Table1[[#This Row],[Column13]]/'Data Input'!$I$5</f>
        <v>2285.0283681762462</v>
      </c>
      <c r="T2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Sheet'!B26/12,'Mortgage Sheet'!$K$2))</f>
        <v>3970.0567363524924</v>
      </c>
      <c r="U22" s="18">
        <f>Spending!T23+12*(Table1[[#This Row],[Column17]]-Table1[[#This Row],[Column19]])+IF(Table1[[#This Row],[Column1]]='Data Input'!$I$4,'Data Input'!$C$44,0)</f>
        <v>53287.158336390356</v>
      </c>
      <c r="V22" s="14">
        <f>Table1[[#This Row],[Column17]]-Table1[[#This Row],[Column20]]/12</f>
        <v>129.46020831996248</v>
      </c>
      <c r="W22" s="18">
        <f>W21+12*Table1[[#This Row],[Column21]]</f>
        <v>-676374.64255628479</v>
      </c>
    </row>
    <row r="23" spans="1:31">
      <c r="A23" s="16">
        <f t="shared" si="0"/>
        <v>2037</v>
      </c>
      <c r="B23" s="11">
        <f>IF('Data Input'!$C$16+'Data Input'!$I$3&gt;Table1[[#This Row],[Column1]],('Data Input'!$C$6)*(1+'Data Input'!$C$15)^(Table1[[#This Row],[Column1]]-'Data Input'!$I$3),0)</f>
        <v>68363.042062642766</v>
      </c>
      <c r="C2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3" s="11">
        <f>IF('Data Input'!$F$16+'Data Input'!$I$3&gt;Table1[[#This Row],[Column1]],('Data Input'!$F$6)*(1+'Data Input'!$F$15)^(Table1[[#This Row],[Column1]]-'Data Input'!$I$3),0)</f>
        <v>0</v>
      </c>
      <c r="F23" s="11">
        <f>Table1[[#This Row],[Column2]]+Table1[[#This Row],[Column4]]+Table1[[#This Row],[Column5]]-Table1[[#This Row],[Column3]]-Table1[[#This Row],[Column23]]</f>
        <v>55569.388359981574</v>
      </c>
      <c r="G23" s="11">
        <f>Table1[[#This Row],[Column2]]+Table1[[#This Row],[Column4]]+Table1[[#This Row],[Column5]]-Table1[[#This Row],[Column3]]-Table1[[#This Row],[Column8]]</f>
        <v>33221.637291183048</v>
      </c>
      <c r="H23" s="11">
        <f>IF(Table1[[#This Row],[Column1]]&lt;'Data Input'!$I$4,MAX('Tax Information'!$C$15+'Data Input'!C82*'Tax Information'!$C$5,Spending!P24+'Student Loans'!B27),MAX('Tax Information'!$C$15+'Data Input'!C82*'Tax Information'!$C$5,'Mortgage Sheet'!C27+Spending!P24+'Student Loans'!C27))+'Tax Information'!$C$13*('Data Input'!C82+2)</f>
        <v>13793.65370266119</v>
      </c>
      <c r="I23" s="11">
        <f>IF(Table1[[#This Row],[Column1]]&lt;'Data Input'!$I$4,MAX('Tax Information'!$C$6+'Data Input'!C82*'Tax Information'!$C$5,Table1[[#This Row],[Column9]]+Spending!P24+'Student Loans'!C27),MAX('Tax Information'!$C$6+'Data Input'!C82*'Tax Information'!$C$5,'Mortgage Sheet'!C27+Table1[[#This Row],[Column9]]+Spending!P24+'Student Loans'!C27))+'Tax Information'!$C$4*('Data Input'!C82+2)</f>
        <v>36141.404771459718</v>
      </c>
      <c r="J23" s="6">
        <f>'Tax Information'!E46</f>
        <v>2642.7510687985259</v>
      </c>
      <c r="K23" s="6">
        <f>'Tax Information'!C46</f>
        <v>4055.5955936774571</v>
      </c>
      <c r="L23" s="18">
        <f>(0.01+0.0765)*(Table1[[#This Row],[Column2]]+Table1[[#This Row],[Column4]]+Table1[[#This Row],[Column5]])</f>
        <v>5999.9031384185992</v>
      </c>
      <c r="M23" s="6">
        <f>(Table1[[#This Row],[Column2]]+Table1[[#This Row],[Column4]]+Table1[[#This Row],[Column5]])</f>
        <v>69363.042062642766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56664.792261748182</v>
      </c>
      <c r="O23" s="7">
        <f>1-(Table1[[#This Row],[Column13]]/Table1[[#This Row],[Column12]])</f>
        <v>0.18306939002800093</v>
      </c>
      <c r="P2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Input'!$F$10)+P22</f>
        <v>0</v>
      </c>
      <c r="Q23" s="6">
        <f>Table1[[#This Row],[Column12]]/12</f>
        <v>5780.2535052202302</v>
      </c>
      <c r="R23" s="6">
        <f>Table1[[#This Row],[Column13]]/12</f>
        <v>4722.0660218123485</v>
      </c>
      <c r="S23" s="18">
        <f>Table1[[#This Row],[Column13]]/'Data Input'!$I$5</f>
        <v>2361.0330109061742</v>
      </c>
      <c r="T2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Sheet'!B27/12,'Mortgage Sheet'!$K$2))</f>
        <v>4122.0660218123485</v>
      </c>
      <c r="U23" s="18">
        <f>Spending!T24+12*(Table1[[#This Row],[Column17]]-Table1[[#This Row],[Column19]])+IF(Table1[[#This Row],[Column1]]='Data Input'!$I$4,'Data Input'!$C$44,0)</f>
        <v>53712.029919754241</v>
      </c>
      <c r="V23" s="14">
        <f>Table1[[#This Row],[Column17]]-Table1[[#This Row],[Column20]]/12</f>
        <v>246.06352849949508</v>
      </c>
      <c r="W23" s="18">
        <f>W22+12*Table1[[#This Row],[Column21]]</f>
        <v>-673421.88021429081</v>
      </c>
    </row>
    <row r="24" spans="1:31">
      <c r="A24" s="16">
        <f t="shared" si="0"/>
        <v>2038</v>
      </c>
      <c r="B24" s="11">
        <f>IF('Data Input'!$C$16+'Data Input'!$I$3&gt;Table1[[#This Row],[Column1]],('Data Input'!$C$6)*(1+'Data Input'!$C$15)^(Table1[[#This Row],[Column1]]-'Data Input'!$I$3),0)</f>
        <v>71097.563745148465</v>
      </c>
      <c r="C2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4" s="11">
        <f>IF('Data Input'!$F$16+'Data Input'!$I$3&gt;Table1[[#This Row],[Column1]],('Data Input'!$F$6)*(1+'Data Input'!$F$15)^(Table1[[#This Row],[Column1]]-'Data Input'!$I$3),0)</f>
        <v>0</v>
      </c>
      <c r="F24" s="11">
        <f>Table1[[#This Row],[Column2]]+Table1[[#This Row],[Column4]]+Table1[[#This Row],[Column5]]-Table1[[#This Row],[Column3]]-Table1[[#This Row],[Column23]]</f>
        <v>58340.423505460662</v>
      </c>
      <c r="G24" s="11">
        <f>Table1[[#This Row],[Column2]]+Table1[[#This Row],[Column4]]+Table1[[#This Row],[Column5]]-Table1[[#This Row],[Column3]]-Table1[[#This Row],[Column8]]</f>
        <v>39711.989625023809</v>
      </c>
      <c r="H24" s="11">
        <f>IF(Table1[[#This Row],[Column1]]&lt;'Data Input'!$I$4,MAX('Tax Information'!$C$15+'Data Input'!C83*'Tax Information'!$C$5,Spending!P25+'Student Loans'!B28),MAX('Tax Information'!$C$15+'Data Input'!C83*'Tax Information'!$C$5,'Mortgage Sheet'!C28+Spending!P25+'Student Loans'!C28))+'Tax Information'!$C$13*('Data Input'!C83+2)</f>
        <v>13757.140239687802</v>
      </c>
      <c r="I24" s="11">
        <f>IF(Table1[[#This Row],[Column1]]&lt;'Data Input'!$I$4,MAX('Tax Information'!$C$6+'Data Input'!C83*'Tax Information'!$C$5,Table1[[#This Row],[Column9]]+Spending!P25+'Student Loans'!C28),MAX('Tax Information'!$C$6+'Data Input'!C83*'Tax Information'!$C$5,'Mortgage Sheet'!C28+Table1[[#This Row],[Column9]]+Spending!P25+'Student Loans'!C28))+'Tax Information'!$C$4*('Data Input'!C83+2)</f>
        <v>32385.574120124656</v>
      </c>
      <c r="J24" s="6">
        <f>'Tax Information'!E47</f>
        <v>2864.4338804368526</v>
      </c>
      <c r="K24" s="6">
        <f>'Tax Information'!C47</f>
        <v>5029.148443753571</v>
      </c>
      <c r="L24" s="18">
        <f>(0.01+0.0765)*(Table1[[#This Row],[Column2]]+Table1[[#This Row],[Column4]]+Table1[[#This Row],[Column5]])</f>
        <v>6236.4392639553416</v>
      </c>
      <c r="M24" s="6">
        <f>(Table1[[#This Row],[Column2]]+Table1[[#This Row],[Column4]]+Table1[[#This Row],[Column5]])</f>
        <v>72097.563745148465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57967.542157002696</v>
      </c>
      <c r="O24" s="7">
        <f>1-(Table1[[#This Row],[Column13]]/Table1[[#This Row],[Column12]])</f>
        <v>0.19598473033142672</v>
      </c>
      <c r="P2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Input'!$F$10)+P23</f>
        <v>0</v>
      </c>
      <c r="Q24" s="6">
        <f>Table1[[#This Row],[Column12]]/12</f>
        <v>6008.1303120957054</v>
      </c>
      <c r="R24" s="6">
        <f>Table1[[#This Row],[Column13]]/12</f>
        <v>4830.6285130835577</v>
      </c>
      <c r="S24" s="18">
        <f>Table1[[#This Row],[Column13]]/'Data Input'!$I$5</f>
        <v>2415.3142565417788</v>
      </c>
      <c r="T2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Sheet'!B28/12,'Mortgage Sheet'!$K$2))</f>
        <v>4230.6285130835577</v>
      </c>
      <c r="U24" s="18">
        <f>Spending!T25+12*(Table1[[#This Row],[Column17]]-Table1[[#This Row],[Column19]])+IF(Table1[[#This Row],[Column1]]='Data Input'!$I$4,'Data Input'!$C$44,0)</f>
        <v>54141.150218951792</v>
      </c>
      <c r="V24" s="14">
        <f>Table1[[#This Row],[Column17]]-Table1[[#This Row],[Column20]]/12</f>
        <v>318.86599483757527</v>
      </c>
      <c r="W24" s="18">
        <f>W23+12*Table1[[#This Row],[Column21]]</f>
        <v>-669595.48827623995</v>
      </c>
    </row>
    <row r="25" spans="1:31">
      <c r="A25" s="16">
        <f t="shared" si="0"/>
        <v>2039</v>
      </c>
      <c r="B25" s="11">
        <f>IF('Data Input'!$C$16+'Data Input'!$I$3&gt;Table1[[#This Row],[Column1]],('Data Input'!$C$6)*(1+'Data Input'!$C$15)^(Table1[[#This Row],[Column1]]-'Data Input'!$I$3),0)</f>
        <v>73941.4662949544</v>
      </c>
      <c r="C2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5" s="11">
        <f>IF('Data Input'!$F$16+'Data Input'!$I$3&gt;Table1[[#This Row],[Column1]],('Data Input'!$F$6)*(1+'Data Input'!$F$15)^(Table1[[#This Row],[Column1]]-'Data Input'!$I$3),0)</f>
        <v>0</v>
      </c>
      <c r="F25" s="11">
        <f>Table1[[#This Row],[Column2]]+Table1[[#This Row],[Column4]]+Table1[[#This Row],[Column5]]-Table1[[#This Row],[Column3]]-Table1[[#This Row],[Column23]]</f>
        <v>61111.114652869721</v>
      </c>
      <c r="G25" s="11">
        <f>Table1[[#This Row],[Column2]]+Table1[[#This Row],[Column4]]+Table1[[#This Row],[Column5]]-Table1[[#This Row],[Column3]]-Table1[[#This Row],[Column8]]</f>
        <v>43756.727773697537</v>
      </c>
      <c r="H25" s="11">
        <f>IF(Table1[[#This Row],[Column1]]&lt;'Data Input'!$I$4,MAX('Tax Information'!$C$15+'Data Input'!C84*'Tax Information'!$C$5,Spending!P26+'Student Loans'!B29),MAX('Tax Information'!$C$15+'Data Input'!C84*'Tax Information'!$C$5,'Mortgage Sheet'!C29+Spending!P26+'Student Loans'!C29))+'Tax Information'!$C$13*('Data Input'!C84+2)</f>
        <v>13830.351642084679</v>
      </c>
      <c r="I25" s="11">
        <f>IF(Table1[[#This Row],[Column1]]&lt;'Data Input'!$I$4,MAX('Tax Information'!$C$6+'Data Input'!C84*'Tax Information'!$C$5,Table1[[#This Row],[Column9]]+Spending!P26+'Student Loans'!C29),MAX('Tax Information'!$C$6+'Data Input'!C84*'Tax Information'!$C$5,'Mortgage Sheet'!C29+Table1[[#This Row],[Column9]]+Spending!P26+'Student Loans'!C29))+'Tax Information'!$C$4*('Data Input'!C84+2)</f>
        <v>31184.738521256862</v>
      </c>
      <c r="J25" s="6">
        <f>'Tax Information'!E48</f>
        <v>1590.3868791721832</v>
      </c>
      <c r="K25" s="6">
        <f>'Tax Information'!C48</f>
        <v>5635.8591660546299</v>
      </c>
      <c r="L25" s="18">
        <f>(0.01+0.0765)*(Table1[[#This Row],[Column2]]+Table1[[#This Row],[Column4]]+Table1[[#This Row],[Column5]])</f>
        <v>6482.4368345135554</v>
      </c>
      <c r="M25" s="6">
        <f>(Table1[[#This Row],[Column2]]+Table1[[#This Row],[Column4]]+Table1[[#This Row],[Column5]])</f>
        <v>74941.4662949544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61232.783415214028</v>
      </c>
      <c r="O25" s="7">
        <f>1-(Table1[[#This Row],[Column13]]/Table1[[#This Row],[Column12]])</f>
        <v>0.18292520226099895</v>
      </c>
      <c r="P2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Input'!$F$10)+P24</f>
        <v>0</v>
      </c>
      <c r="Q25" s="6">
        <f>Table1[[#This Row],[Column12]]/12</f>
        <v>6245.1221912461997</v>
      </c>
      <c r="R25" s="6">
        <f>Table1[[#This Row],[Column13]]/12</f>
        <v>5102.7319512678359</v>
      </c>
      <c r="S25" s="18">
        <f>Table1[[#This Row],[Column13]]/'Data Input'!$I$5</f>
        <v>2551.365975633918</v>
      </c>
      <c r="T2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Sheet'!B29/12,'Mortgage Sheet'!$K$2))</f>
        <v>4502.7319512678359</v>
      </c>
      <c r="U25" s="18">
        <f>Spending!T26+12*(Table1[[#This Row],[Column17]]-Table1[[#This Row],[Column19]])+IF(Table1[[#This Row],[Column1]]='Data Input'!$I$4,'Data Input'!$C$44,0)</f>
        <v>54574.561721141305</v>
      </c>
      <c r="V25" s="14">
        <f>Table1[[#This Row],[Column17]]-Table1[[#This Row],[Column20]]/12</f>
        <v>554.85180783939359</v>
      </c>
      <c r="W25" s="18">
        <f>W24+12*Table1[[#This Row],[Column21]]</f>
        <v>-662937.26658216724</v>
      </c>
    </row>
    <row r="26" spans="1:31">
      <c r="A26" s="16">
        <f t="shared" si="0"/>
        <v>2040</v>
      </c>
      <c r="B26" s="11">
        <f>IF('Data Input'!$C$16+'Data Input'!$I$3&gt;Table1[[#This Row],[Column1]],('Data Input'!$C$6)*(1+'Data Input'!$C$15)^(Table1[[#This Row],[Column1]]-'Data Input'!$I$3),0)</f>
        <v>76899.124946752578</v>
      </c>
      <c r="C2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6" s="11">
        <f>IF('Data Input'!$F$16+'Data Input'!$I$3&gt;Table1[[#This Row],[Column1]],('Data Input'!$F$6)*(1+'Data Input'!$F$15)^(Table1[[#This Row],[Column1]]-'Data Input'!$I$3),0)</f>
        <v>0</v>
      </c>
      <c r="F26" s="11">
        <f>Table1[[#This Row],[Column2]]+Table1[[#This Row],[Column4]]+Table1[[#This Row],[Column5]]-Table1[[#This Row],[Column3]]-Table1[[#This Row],[Column23]]</f>
        <v>64103.829788247051</v>
      </c>
      <c r="G26" s="11">
        <f>Table1[[#This Row],[Column2]]+Table1[[#This Row],[Column4]]+Table1[[#This Row],[Column5]]-Table1[[#This Row],[Column3]]-Table1[[#This Row],[Column8]]</f>
        <v>50510.880000952224</v>
      </c>
      <c r="H26" s="11">
        <f>IF(Table1[[#This Row],[Column1]]&lt;'Data Input'!$I$4,MAX('Tax Information'!$C$15+'Data Input'!C85*'Tax Information'!$C$5,Spending!P27+'Student Loans'!B30),MAX('Tax Information'!$C$15+'Data Input'!C85*'Tax Information'!$C$5,'Mortgage Sheet'!C30+Spending!P27+'Student Loans'!C30))+'Tax Information'!$C$13*('Data Input'!C85+2)</f>
        <v>13795.295158505527</v>
      </c>
      <c r="I26" s="11">
        <f>IF(Table1[[#This Row],[Column1]]&lt;'Data Input'!$I$4,MAX('Tax Information'!$C$6+'Data Input'!C85*'Tax Information'!$C$5,Table1[[#This Row],[Column9]]+Spending!P27+'Student Loans'!C30),MAX('Tax Information'!$C$6+'Data Input'!C85*'Tax Information'!$C$5,'Mortgage Sheet'!C30+Table1[[#This Row],[Column9]]+Spending!P27+'Student Loans'!C30))+'Tax Information'!$C$4*('Data Input'!C85+2)</f>
        <v>27388.24494580035</v>
      </c>
      <c r="J26" s="6">
        <f>'Tax Information'!E49</f>
        <v>1769.949787294823</v>
      </c>
      <c r="K26" s="6">
        <f>'Tax Information'!C49</f>
        <v>6648.9820001428334</v>
      </c>
      <c r="L26" s="18">
        <f>(0.01+0.0765)*(Table1[[#This Row],[Column2]]+Table1[[#This Row],[Column4]]+Table1[[#This Row],[Column5]])</f>
        <v>6738.2743078940975</v>
      </c>
      <c r="M26" s="6">
        <f>(Table1[[#This Row],[Column2]]+Table1[[#This Row],[Column4]]+Table1[[#This Row],[Column5]])</f>
        <v>77899.124946752578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62741.918851420822</v>
      </c>
      <c r="O26" s="7">
        <f>1-(Table1[[#This Row],[Column13]]/Table1[[#This Row],[Column12]])</f>
        <v>0.19457479279378764</v>
      </c>
      <c r="P2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Input'!$F$10)+P25</f>
        <v>0</v>
      </c>
      <c r="Q26" s="6">
        <f>Table1[[#This Row],[Column12]]/12</f>
        <v>6491.5937455627145</v>
      </c>
      <c r="R26" s="6">
        <f>Table1[[#This Row],[Column13]]/12</f>
        <v>5228.4932376184015</v>
      </c>
      <c r="S26" s="18">
        <f>Table1[[#This Row],[Column13]]/'Data Input'!$I$5</f>
        <v>2614.2466188092008</v>
      </c>
      <c r="T2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Sheet'!B30/12,'Mortgage Sheet'!$K$2))</f>
        <v>4628.4932376184015</v>
      </c>
      <c r="U26" s="18">
        <f>Spending!T27+12*(Table1[[#This Row],[Column17]]-Table1[[#This Row],[Column19]])+IF(Table1[[#This Row],[Column1]]='Data Input'!$I$4,'Data Input'!$C$44,0)</f>
        <v>55012.30733835273</v>
      </c>
      <c r="V26" s="14">
        <f>Table1[[#This Row],[Column17]]-Table1[[#This Row],[Column20]]/12</f>
        <v>644.13429275567432</v>
      </c>
      <c r="W26" s="18">
        <f>W25+12*Table1[[#This Row],[Column21]]</f>
        <v>-655207.65506909916</v>
      </c>
    </row>
    <row r="27" spans="1:31">
      <c r="A27" s="16">
        <f t="shared" si="0"/>
        <v>2041</v>
      </c>
      <c r="B27" s="11">
        <f>IF('Data Input'!$C$16+'Data Input'!$I$3&gt;Table1[[#This Row],[Column1]],('Data Input'!$C$6)*(1+'Data Input'!$C$15)^(Table1[[#This Row],[Column1]]-'Data Input'!$I$3),0)</f>
        <v>79975.089944622698</v>
      </c>
      <c r="C2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7" s="11">
        <f>IF('Data Input'!$F$16+'Data Input'!$I$3&gt;Table1[[#This Row],[Column1]],('Data Input'!$F$6)*(1+'Data Input'!$F$15)^(Table1[[#This Row],[Column1]]-'Data Input'!$I$3),0)</f>
        <v>0</v>
      </c>
      <c r="F27" s="11">
        <f>Table1[[#This Row],[Column2]]+Table1[[#This Row],[Column4]]+Table1[[#This Row],[Column5]]-Table1[[#This Row],[Column3]]-Table1[[#This Row],[Column23]]</f>
        <v>67105.111834532116</v>
      </c>
      <c r="G27" s="11">
        <f>Table1[[#This Row],[Column2]]+Table1[[#This Row],[Column4]]+Table1[[#This Row],[Column5]]-Table1[[#This Row],[Column3]]-Table1[[#This Row],[Column8]]</f>
        <v>53332.085124460187</v>
      </c>
      <c r="H27" s="11">
        <f>IF(Table1[[#This Row],[Column1]]&lt;'Data Input'!$I$4,MAX('Tax Information'!$C$15+'Data Input'!C86*'Tax Information'!$C$5,Spending!P28+'Student Loans'!B31),MAX('Tax Information'!$C$15+'Data Input'!C86*'Tax Information'!$C$5,'Mortgage Sheet'!C31+Spending!P28+'Student Loans'!C31))+'Tax Information'!$C$13*('Data Input'!C86+2)</f>
        <v>13869.978110090582</v>
      </c>
      <c r="I27" s="11">
        <f>IF(Table1[[#This Row],[Column1]]&lt;'Data Input'!$I$4,MAX('Tax Information'!$C$6+'Data Input'!C86*'Tax Information'!$C$5,Table1[[#This Row],[Column9]]+Spending!P28+'Student Loans'!C31),MAX('Tax Information'!$C$6+'Data Input'!C86*'Tax Information'!$C$5,'Mortgage Sheet'!C31+Table1[[#This Row],[Column9]]+Spending!P28+'Student Loans'!C31))+'Tax Information'!$C$4*('Data Input'!C86+2)</f>
        <v>27643.00482016251</v>
      </c>
      <c r="J27" s="6">
        <f>'Tax Information'!E50</f>
        <v>1950.0267100719268</v>
      </c>
      <c r="K27" s="6">
        <f>'Tax Information'!C50</f>
        <v>7072.1627686690281</v>
      </c>
      <c r="L27" s="18">
        <f>(0.01+0.0765)*(Table1[[#This Row],[Column2]]+Table1[[#This Row],[Column4]]+Table1[[#This Row],[Column5]])</f>
        <v>7004.3452802098627</v>
      </c>
      <c r="M27" s="6">
        <f>(Table1[[#This Row],[Column2]]+Table1[[#This Row],[Column4]]+Table1[[#This Row],[Column5]])</f>
        <v>80975.089944622698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64948.555185671881</v>
      </c>
      <c r="O27" s="7">
        <f>1-(Table1[[#This Row],[Column13]]/Table1[[#This Row],[Column12]])</f>
        <v>0.19791932024911674</v>
      </c>
      <c r="P2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Input'!$F$10)+P26</f>
        <v>0</v>
      </c>
      <c r="Q27" s="6">
        <f>Table1[[#This Row],[Column12]]/12</f>
        <v>6747.9241620518915</v>
      </c>
      <c r="R27" s="6">
        <f>Table1[[#This Row],[Column13]]/12</f>
        <v>5412.3795988059901</v>
      </c>
      <c r="S27" s="18">
        <f>Table1[[#This Row],[Column13]]/'Data Input'!$I$5</f>
        <v>2706.189799402995</v>
      </c>
      <c r="T2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Sheet'!B31/12,'Mortgage Sheet'!$K$2))</f>
        <v>4812.3795988059901</v>
      </c>
      <c r="U27" s="18">
        <f>Spending!T28+12*(Table1[[#This Row],[Column17]]-Table1[[#This Row],[Column19]])+IF(Table1[[#This Row],[Column1]]='Data Input'!$I$4,'Data Input'!$C$44,0)</f>
        <v>55454.430411736255</v>
      </c>
      <c r="V27" s="14">
        <f>Table1[[#This Row],[Column17]]-Table1[[#This Row],[Column20]]/12</f>
        <v>791.17706449463549</v>
      </c>
      <c r="W27" s="18">
        <f>W26+12*Table1[[#This Row],[Column21]]</f>
        <v>-645713.53029516351</v>
      </c>
      <c r="Z27" s="16"/>
    </row>
    <row r="28" spans="1:31">
      <c r="A28" s="16">
        <f t="shared" si="0"/>
        <v>2042</v>
      </c>
      <c r="B28" s="11">
        <f>IF('Data Input'!$C$16+'Data Input'!$I$3&gt;Table1[[#This Row],[Column1]],('Data Input'!$C$6)*(1+'Data Input'!$C$15)^(Table1[[#This Row],[Column1]]-'Data Input'!$I$3),0)</f>
        <v>83174.093542407601</v>
      </c>
      <c r="C2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8" s="11">
        <f>IF('Data Input'!$F$16+'Data Input'!$I$3&gt;Table1[[#This Row],[Column1]],('Data Input'!$F$6)*(1+'Data Input'!$F$15)^(Table1[[#This Row],[Column1]]-'Data Input'!$I$3),0)</f>
        <v>0</v>
      </c>
      <c r="F28" s="11">
        <f>Table1[[#This Row],[Column2]]+Table1[[#This Row],[Column4]]+Table1[[#This Row],[Column5]]-Table1[[#This Row],[Column3]]-Table1[[#This Row],[Column23]]</f>
        <v>70337.685651216103</v>
      </c>
      <c r="G28" s="11">
        <f>Table1[[#This Row],[Column2]]+Table1[[#This Row],[Column4]]+Table1[[#This Row],[Column5]]-Table1[[#This Row],[Column3]]-Table1[[#This Row],[Column8]]</f>
        <v>60311.704512143144</v>
      </c>
      <c r="H28" s="11">
        <f>IF(Table1[[#This Row],[Column1]]&lt;'Data Input'!$I$4,MAX('Tax Information'!$C$15+'Data Input'!C87*'Tax Information'!$C$5,Spending!P29+'Student Loans'!B32),MAX('Tax Information'!$C$15+'Data Input'!C87*'Tax Information'!$C$5,'Mortgage Sheet'!C32+Spending!P29+'Student Loans'!C32))+'Tax Information'!$C$13*('Data Input'!C87+2)</f>
        <v>13836.407891191491</v>
      </c>
      <c r="I28" s="11">
        <f>IF(Table1[[#This Row],[Column1]]&lt;'Data Input'!$I$4,MAX('Tax Information'!$C$6+'Data Input'!C87*'Tax Information'!$C$5,Table1[[#This Row],[Column9]]+Spending!P29+'Student Loans'!C32),MAX('Tax Information'!$C$6+'Data Input'!C87*'Tax Information'!$C$5,'Mortgage Sheet'!C32+Table1[[#This Row],[Column9]]+Spending!P29+'Student Loans'!C32))+'Tax Information'!$C$4*('Data Input'!C87+2)</f>
        <v>23862.389030264458</v>
      </c>
      <c r="J28" s="6">
        <f>'Tax Information'!E51</f>
        <v>2143.981139072966</v>
      </c>
      <c r="K28" s="6">
        <f>'Tax Information'!C51</f>
        <v>8119.1056768214712</v>
      </c>
      <c r="L28" s="18">
        <f>(0.01+0.0765)*(Table1[[#This Row],[Column2]]+Table1[[#This Row],[Column4]]+Table1[[#This Row],[Column5]])</f>
        <v>7281.0590914182567</v>
      </c>
      <c r="M28" s="6">
        <f>(Table1[[#This Row],[Column2]]+Table1[[#This Row],[Column4]]+Table1[[#This Row],[Column5]])</f>
        <v>84174.093542407601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66629.947635094912</v>
      </c>
      <c r="O28" s="7">
        <f>1-(Table1[[#This Row],[Column13]]/Table1[[#This Row],[Column12]])</f>
        <v>0.20842690629598293</v>
      </c>
      <c r="P2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Input'!$F$10)+P27</f>
        <v>0</v>
      </c>
      <c r="Q28" s="6">
        <f>Table1[[#This Row],[Column12]]/12</f>
        <v>7014.5077952006332</v>
      </c>
      <c r="R28" s="6">
        <f>Table1[[#This Row],[Column13]]/12</f>
        <v>5552.4956362579096</v>
      </c>
      <c r="S28" s="18">
        <f>Table1[[#This Row],[Column13]]/'Data Input'!$I$5</f>
        <v>2776.2478181289548</v>
      </c>
      <c r="T2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Sheet'!B32/12,'Mortgage Sheet'!$K$2))</f>
        <v>4952.4956362579096</v>
      </c>
      <c r="U28" s="18">
        <f>Spending!T29+12*(Table1[[#This Row],[Column17]]-Table1[[#This Row],[Column19]])+IF(Table1[[#This Row],[Column1]]='Data Input'!$I$4,'Data Input'!$C$44,0)</f>
        <v>55900.974715853627</v>
      </c>
      <c r="V28" s="14">
        <f>Table1[[#This Row],[Column17]]-Table1[[#This Row],[Column20]]/12</f>
        <v>894.08107660344103</v>
      </c>
      <c r="W28" s="18">
        <f>W27+12*Table1[[#This Row],[Column21]]</f>
        <v>-634984.55737592222</v>
      </c>
    </row>
    <row r="29" spans="1:31">
      <c r="A29" s="16">
        <f t="shared" si="0"/>
        <v>2043</v>
      </c>
      <c r="B29" s="11">
        <f>IF('Data Input'!$C$16+'Data Input'!$I$3&gt;Table1[[#This Row],[Column1]],('Data Input'!$C$6)*(1+'Data Input'!$C$15)^(Table1[[#This Row],[Column1]]-'Data Input'!$I$3),0)</f>
        <v>86501.05728410391</v>
      </c>
      <c r="C2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29" s="11">
        <f>IF('Data Input'!$F$16+'Data Input'!$I$3&gt;Table1[[#This Row],[Column1]],('Data Input'!$F$6)*(1+'Data Input'!$F$15)^(Table1[[#This Row],[Column1]]-'Data Input'!$I$3),0)</f>
        <v>0</v>
      </c>
      <c r="F29" s="11">
        <f>Table1[[#This Row],[Column2]]+Table1[[#This Row],[Column4]]+Table1[[#This Row],[Column5]]-Table1[[#This Row],[Column3]]-Table1[[#This Row],[Column23]]</f>
        <v>73588.46531400051</v>
      </c>
      <c r="G29" s="11">
        <f>Table1[[#This Row],[Column2]]+Table1[[#This Row],[Column4]]+Table1[[#This Row],[Column5]]-Table1[[#This Row],[Column3]]-Table1[[#This Row],[Column8]]</f>
        <v>63367.437395160472</v>
      </c>
      <c r="H29" s="11">
        <f>IF(Table1[[#This Row],[Column1]]&lt;'Data Input'!$I$4,MAX('Tax Information'!$C$15+'Data Input'!C88*'Tax Information'!$C$5,Spending!P30+'Student Loans'!B33),MAX('Tax Information'!$C$15+'Data Input'!C88*'Tax Information'!$C$5,'Mortgage Sheet'!C33+Spending!P30+'Student Loans'!C33))+'Tax Information'!$C$13*('Data Input'!C88+2)</f>
        <v>13912.591970103405</v>
      </c>
      <c r="I29" s="11">
        <f>IF(Table1[[#This Row],[Column1]]&lt;'Data Input'!$I$4,MAX('Tax Information'!$C$6+'Data Input'!C88*'Tax Information'!$C$5,Table1[[#This Row],[Column9]]+Spending!P30+'Student Loans'!C33),MAX('Tax Information'!$C$6+'Data Input'!C88*'Tax Information'!$C$5,'Mortgage Sheet'!C33+Table1[[#This Row],[Column9]]+Spending!P30+'Student Loans'!C33))+'Tax Information'!$C$4*('Data Input'!C88+2)</f>
        <v>24133.619888943438</v>
      </c>
      <c r="J29" s="6">
        <f>'Tax Information'!E52</f>
        <v>2339.0279188400305</v>
      </c>
      <c r="K29" s="6">
        <f>'Tax Information'!C52</f>
        <v>8577.4656092740697</v>
      </c>
      <c r="L29" s="18">
        <f>(0.01+0.0765)*(Table1[[#This Row],[Column2]]+Table1[[#This Row],[Column4]]+Table1[[#This Row],[Column5]])</f>
        <v>7568.8414550749876</v>
      </c>
      <c r="M29" s="6">
        <f>(Table1[[#This Row],[Column2]]+Table1[[#This Row],[Column4]]+Table1[[#This Row],[Column5]])</f>
        <v>87501.05728410391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69015.722300914815</v>
      </c>
      <c r="O29" s="7">
        <f>1-(Table1[[#This Row],[Column13]]/Table1[[#This Row],[Column12]])</f>
        <v>0.21125841854881544</v>
      </c>
      <c r="P2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Input'!$F$10)+P28</f>
        <v>0</v>
      </c>
      <c r="Q29" s="6">
        <f>Table1[[#This Row],[Column12]]/12</f>
        <v>7291.7547736753259</v>
      </c>
      <c r="R29" s="6">
        <f>Table1[[#This Row],[Column13]]/12</f>
        <v>5751.3101917429012</v>
      </c>
      <c r="S29" s="18">
        <f>Table1[[#This Row],[Column13]]/'Data Input'!$I$5</f>
        <v>2875.6550958714506</v>
      </c>
      <c r="T2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Sheet'!B33/12,'Mortgage Sheet'!$K$2))</f>
        <v>5151.3101917429012</v>
      </c>
      <c r="U29" s="18">
        <f>Spending!T30+12*(Table1[[#This Row],[Column17]]-Table1[[#This Row],[Column19]])+IF(Table1[[#This Row],[Column1]]='Data Input'!$I$4,'Data Input'!$C$44,0)</f>
        <v>56351.984463012159</v>
      </c>
      <c r="V29" s="14">
        <f>Table1[[#This Row],[Column17]]-Table1[[#This Row],[Column20]]/12</f>
        <v>1055.311486491888</v>
      </c>
      <c r="W29" s="18">
        <f>W28+12*Table1[[#This Row],[Column21]]</f>
        <v>-622320.8195380196</v>
      </c>
    </row>
    <row r="30" spans="1:31">
      <c r="A30" s="16">
        <f t="shared" si="0"/>
        <v>2044</v>
      </c>
      <c r="B30" s="11">
        <f>IF('Data Input'!$C$16+'Data Input'!$I$3&gt;Table1[[#This Row],[Column1]],('Data Input'!$C$6)*(1+'Data Input'!$C$15)^(Table1[[#This Row],[Column1]]-'Data Input'!$I$3),0)</f>
        <v>89961.099575468077</v>
      </c>
      <c r="C3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0" s="11">
        <f>IF('Data Input'!$F$16+'Data Input'!$I$3&gt;Table1[[#This Row],[Column1]],('Data Input'!$F$6)*(1+'Data Input'!$F$15)^(Table1[[#This Row],[Column1]]-'Data Input'!$I$3),0)</f>
        <v>0</v>
      </c>
      <c r="F30" s="11">
        <f>Table1[[#This Row],[Column2]]+Table1[[#This Row],[Column4]]+Table1[[#This Row],[Column5]]-Table1[[#This Row],[Column3]]-Table1[[#This Row],[Column23]]</f>
        <v>76971.561685663633</v>
      </c>
      <c r="G30" s="11">
        <f>Table1[[#This Row],[Column2]]+Table1[[#This Row],[Column4]]+Table1[[#This Row],[Column5]]-Table1[[#This Row],[Column3]]-Table1[[#This Row],[Column8]]</f>
        <v>66547.547984523815</v>
      </c>
      <c r="H30" s="11">
        <f>IF(Table1[[#This Row],[Column1]]&lt;'Data Input'!$I$4,MAX('Tax Information'!$C$15+'Data Input'!C89*'Tax Information'!$C$5,Spending!P31+'Student Loans'!B34),MAX('Tax Information'!$C$15+'Data Input'!C89*'Tax Information'!$C$5,'Mortgage Sheet'!C34+Spending!P31+'Student Loans'!C34))+'Tax Information'!$C$13*('Data Input'!C89+2)</f>
        <v>13989.53788980444</v>
      </c>
      <c r="I30" s="11">
        <f>IF(Table1[[#This Row],[Column1]]&lt;'Data Input'!$I$4,MAX('Tax Information'!$C$6+'Data Input'!C89*'Tax Information'!$C$5,Table1[[#This Row],[Column9]]+Spending!P31+'Student Loans'!C34),MAX('Tax Information'!$C$6+'Data Input'!C89*'Tax Information'!$C$5,'Mortgage Sheet'!C34+Table1[[#This Row],[Column9]]+Spending!P31+'Student Loans'!C34))+'Tax Information'!$C$4*('Data Input'!C89+2)</f>
        <v>24413.551590944258</v>
      </c>
      <c r="J30" s="18">
        <f>'Tax Information'!E53</f>
        <v>2542.0137011398178</v>
      </c>
      <c r="K30" s="6">
        <f>'Tax Information'!C53</f>
        <v>9054.4821976785715</v>
      </c>
      <c r="L30" s="18">
        <f>(0.01+0.0765)*(Table1[[#This Row],[Column2]]+Table1[[#This Row],[Column4]]+Table1[[#This Row],[Column5]])</f>
        <v>7868.1351132779882</v>
      </c>
      <c r="M30" s="6">
        <f>(Table1[[#This Row],[Column2]]+Table1[[#This Row],[Column4]]+Table1[[#This Row],[Column5]])</f>
        <v>90961.099575468077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71496.468563371702</v>
      </c>
      <c r="O30" s="7">
        <f>1-(Table1[[#This Row],[Column13]]/Table1[[#This Row],[Column12]])</f>
        <v>0.21398851930046292</v>
      </c>
      <c r="P3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Input'!$F$10)+P29</f>
        <v>0</v>
      </c>
      <c r="Q30" s="6">
        <f>Table1[[#This Row],[Column12]]/12</f>
        <v>7580.0916312890067</v>
      </c>
      <c r="R30" s="6">
        <f>Table1[[#This Row],[Column13]]/12</f>
        <v>5958.0390469476415</v>
      </c>
      <c r="S30" s="18">
        <f>Table1[[#This Row],[Column13]]/'Data Input'!$I$5</f>
        <v>2979.0195234738208</v>
      </c>
      <c r="T3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Sheet'!B34/12,'Mortgage Sheet'!$K$2))</f>
        <v>5358.0390469476415</v>
      </c>
      <c r="U30" s="18">
        <f>Spending!T31+12*(Table1[[#This Row],[Column17]]-Table1[[#This Row],[Column19]])+IF(Table1[[#This Row],[Column1]]='Data Input'!$I$4,'Data Input'!$C$44,0)</f>
        <v>56807.504307642266</v>
      </c>
      <c r="V30" s="14">
        <f>Table1[[#This Row],[Column17]]-Table1[[#This Row],[Column20]]/12</f>
        <v>1224.0803546441193</v>
      </c>
      <c r="W30" s="18">
        <f>W29+12*Table1[[#This Row],[Column21]]</f>
        <v>-607631.85528229014</v>
      </c>
    </row>
    <row r="31" spans="1:31">
      <c r="A31" s="16">
        <f t="shared" si="0"/>
        <v>2045</v>
      </c>
      <c r="B31" s="11">
        <f>IF('Data Input'!$C$16+'Data Input'!$I$3&gt;Table1[[#This Row],[Column1]],('Data Input'!$C$6)*(1+'Data Input'!$C$15)^(Table1[[#This Row],[Column1]]-'Data Input'!$I$3),0)</f>
        <v>93559.54355848681</v>
      </c>
      <c r="C3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1" s="11">
        <f>IF('Data Input'!$F$16+'Data Input'!$I$3&gt;Table1[[#This Row],[Column1]],('Data Input'!$F$6)*(1+'Data Input'!$F$15)^(Table1[[#This Row],[Column1]]-'Data Input'!$I$3),0)</f>
        <v>0</v>
      </c>
      <c r="F31" s="11">
        <f>Table1[[#This Row],[Column2]]+Table1[[#This Row],[Column4]]+Table1[[#This Row],[Column5]]-Table1[[#This Row],[Column3]]-Table1[[#This Row],[Column23]]</f>
        <v>80492.290289784331</v>
      </c>
      <c r="G31" s="11">
        <f>Table1[[#This Row],[Column2]]+Table1[[#This Row],[Column4]]+Table1[[#This Row],[Column5]]-Table1[[#This Row],[Column3]]-Table1[[#This Row],[Column8]]</f>
        <v>69857.032872397278</v>
      </c>
      <c r="H31" s="11">
        <f>IF(Table1[[#This Row],[Column1]]&lt;'Data Input'!$I$4,MAX('Tax Information'!$C$15+'Data Input'!C90*'Tax Information'!$C$5,Spending!P32+'Student Loans'!B35),MAX('Tax Information'!$C$15+'Data Input'!C90*'Tax Information'!$C$5,'Mortgage Sheet'!C35+Spending!P32+'Student Loans'!C35))+'Tax Information'!$C$13*('Data Input'!C90+2)</f>
        <v>14067.253268702481</v>
      </c>
      <c r="I31" s="11">
        <f>IF(Table1[[#This Row],[Column1]]&lt;'Data Input'!$I$4,MAX('Tax Information'!$C$6+'Data Input'!C90*'Tax Information'!$C$5,Table1[[#This Row],[Column9]]+Spending!P32+'Student Loans'!C35),MAX('Tax Information'!$C$6+'Data Input'!C90*'Tax Information'!$C$5,'Mortgage Sheet'!C35+Table1[[#This Row],[Column9]]+Spending!P32+'Student Loans'!C35))+'Tax Information'!$C$4*('Data Input'!C90+2)</f>
        <v>24702.510686089539</v>
      </c>
      <c r="J31" s="18">
        <f>'Tax Information'!E54</f>
        <v>2753.2574173870598</v>
      </c>
      <c r="K31" s="18">
        <f>'Tax Information'!C54</f>
        <v>9550.9049308595913</v>
      </c>
      <c r="L31" s="18">
        <f>(0.01+0.0765)*(Table1[[#This Row],[Column2]]+Table1[[#This Row],[Column4]]+Table1[[#This Row],[Column5]])</f>
        <v>8179.4005178091084</v>
      </c>
      <c r="M31" s="6">
        <f>(Table1[[#This Row],[Column2]]+Table1[[#This Row],[Column4]]+Table1[[#This Row],[Column5]])</f>
        <v>94559.54355848681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74075.980692431054</v>
      </c>
      <c r="O31" s="7">
        <f>1-(Table1[[#This Row],[Column13]]/Table1[[#This Row],[Column12]])</f>
        <v>0.21662078829077991</v>
      </c>
      <c r="P3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Input'!$F$10)+P30</f>
        <v>0</v>
      </c>
      <c r="Q31" s="6">
        <f>Table1[[#This Row],[Column12]]/12</f>
        <v>7879.9619632072345</v>
      </c>
      <c r="R31" s="6">
        <f>Table1[[#This Row],[Column13]]/12</f>
        <v>6172.9983910359215</v>
      </c>
      <c r="S31" s="18">
        <f>Table1[[#This Row],[Column13]]/'Data Input'!$I$5</f>
        <v>3086.4991955179607</v>
      </c>
      <c r="T3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Sheet'!B35/12,'Mortgage Sheet'!$K$2))</f>
        <v>5572.9983910359215</v>
      </c>
      <c r="U31" s="18">
        <f>Spending!T32+12*(Table1[[#This Row],[Column17]]-Table1[[#This Row],[Column19]])+IF(Table1[[#This Row],[Column1]]='Data Input'!$I$4,'Data Input'!$C$44,0)</f>
        <v>57267.579350718697</v>
      </c>
      <c r="V31" s="14">
        <f>Table1[[#This Row],[Column17]]-Table1[[#This Row],[Column20]]/12</f>
        <v>1400.7001118093631</v>
      </c>
      <c r="W31" s="18">
        <f>W30+12*Table1[[#This Row],[Column21]]</f>
        <v>-590823.45394057781</v>
      </c>
    </row>
    <row r="32" spans="1:31">
      <c r="A32" s="16">
        <f t="shared" si="0"/>
        <v>2046</v>
      </c>
      <c r="B32" s="11">
        <f>IF('Data Input'!$C$16+'Data Input'!$I$3&gt;Table1[[#This Row],[Column1]],('Data Input'!$C$6)*(1+'Data Input'!$C$15)^(Table1[[#This Row],[Column1]]-'Data Input'!$I$3),0)</f>
        <v>97301.925300826275</v>
      </c>
      <c r="C3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2" s="11">
        <f>IF('Data Input'!$F$16+'Data Input'!$I$3&gt;Table1[[#This Row],[Column1]],('Data Input'!$F$6)*(1+'Data Input'!$F$15)^(Table1[[#This Row],[Column1]]-'Data Input'!$I$3),0)</f>
        <v>0</v>
      </c>
      <c r="F32" s="11">
        <f>Table1[[#This Row],[Column2]]+Table1[[#This Row],[Column4]]+Table1[[#This Row],[Column5]]-Table1[[#This Row],[Column3]]-Table1[[#This Row],[Column23]]</f>
        <v>84156.179499436766</v>
      </c>
      <c r="G32" s="11">
        <f>Table1[[#This Row],[Column2]]+Table1[[#This Row],[Column4]]+Table1[[#This Row],[Column5]]-Table1[[#This Row],[Column3]]-Table1[[#This Row],[Column8]]</f>
        <v>73248.885139481834</v>
      </c>
      <c r="H32" s="11">
        <f>IF(Table1[[#This Row],[Column1]]&lt;'Data Input'!$I$4,MAX('Tax Information'!$C$15+'Data Input'!C91*'Tax Information'!$C$5,Spending!P33+'Student Loans'!B36),MAX('Tax Information'!$C$15+'Data Input'!C91*'Tax Information'!$C$5,'Mortgage Sheet'!C36+Spending!P33+'Student Loans'!C36))+'Tax Information'!$C$13*('Data Input'!C91+2)</f>
        <v>14145.745801389507</v>
      </c>
      <c r="I32" s="11">
        <f>IF(Table1[[#This Row],[Column1]]&lt;'Data Input'!$I$4,MAX('Tax Information'!$C$6+'Data Input'!C91*'Tax Information'!$C$5,Table1[[#This Row],[Column9]]+Spending!P33+'Student Loans'!C36),MAX('Tax Information'!$C$6+'Data Input'!C91*'Tax Information'!$C$5,'Mortgage Sheet'!C36+Table1[[#This Row],[Column9]]+Spending!P33+'Student Loans'!C36))+'Tax Information'!$C$4*('Data Input'!C91+2)</f>
        <v>25053.040161344448</v>
      </c>
      <c r="J32" s="18">
        <f>'Tax Information'!E55</f>
        <v>3025.2943599549412</v>
      </c>
      <c r="K32" s="18">
        <f>'Tax Information'!C55</f>
        <v>10059.682770922274</v>
      </c>
      <c r="L32" s="18">
        <f>(0.01+0.0765)*(Table1[[#This Row],[Column2]]+Table1[[#This Row],[Column4]]+Table1[[#This Row],[Column5]])</f>
        <v>8503.1165385214717</v>
      </c>
      <c r="M32" s="18">
        <f>(Table1[[#This Row],[Column2]]+Table1[[#This Row],[Column4]]+Table1[[#This Row],[Column5]])</f>
        <v>98301.925300826275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76713.831631427587</v>
      </c>
      <c r="O32" s="7">
        <f>1-(Table1[[#This Row],[Column13]]/Table1[[#This Row],[Column12]])</f>
        <v>0.21961007989756254</v>
      </c>
      <c r="P3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Input'!$F$10)+P31</f>
        <v>0</v>
      </c>
      <c r="Q32" s="18">
        <f>Table1[[#This Row],[Column12]]/12</f>
        <v>8191.8271084021899</v>
      </c>
      <c r="R32" s="18">
        <f>Table1[[#This Row],[Column13]]/12</f>
        <v>6392.8193026189656</v>
      </c>
      <c r="S32" s="18">
        <f>Table1[[#This Row],[Column13]]/'Data Input'!$I$5</f>
        <v>3196.4096513094828</v>
      </c>
      <c r="T3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Sheet'!B36/12,'Mortgage Sheet'!$K$2))</f>
        <v>5792.8193026189656</v>
      </c>
      <c r="U32" s="18">
        <f>Spending!T33+12*(Table1[[#This Row],[Column17]]-Table1[[#This Row],[Column19]])+IF(Table1[[#This Row],[Column1]]='Data Input'!$I$4,'Data Input'!$C$44,0)</f>
        <v>57732.255144225877</v>
      </c>
      <c r="V32" s="14">
        <f>Table1[[#This Row],[Column17]]-Table1[[#This Row],[Column20]]/12</f>
        <v>1581.7980406001425</v>
      </c>
      <c r="W32" s="18">
        <f>W31+12*Table1[[#This Row],[Column21]]</f>
        <v>-571841.87745337607</v>
      </c>
    </row>
    <row r="33" spans="1:26">
      <c r="A33" s="16">
        <f t="shared" si="0"/>
        <v>2047</v>
      </c>
      <c r="B33" s="11">
        <f>IF('Data Input'!$C$16+'Data Input'!$I$3&gt;Table1[[#This Row],[Column1]],('Data Input'!$C$6)*(1+'Data Input'!$C$15)^(Table1[[#This Row],[Column1]]-'Data Input'!$I$3),0)</f>
        <v>101194.00231285932</v>
      </c>
      <c r="C3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3" s="11">
        <f>IF('Data Input'!$F$16+'Data Input'!$I$3&gt;Table1[[#This Row],[Column1]],('Data Input'!$F$6)*(1+'Data Input'!$F$15)^(Table1[[#This Row],[Column1]]-'Data Input'!$I$3),0)</f>
        <v>0</v>
      </c>
      <c r="F33" s="11">
        <f>Table1[[#This Row],[Column2]]+Table1[[#This Row],[Column4]]+Table1[[#This Row],[Column5]]-Table1[[#This Row],[Column3]]-Table1[[#This Row],[Column23]]</f>
        <v>87968.979053455914</v>
      </c>
      <c r="G33" s="11">
        <f>Table1[[#This Row],[Column2]]+Table1[[#This Row],[Column4]]+Table1[[#This Row],[Column5]]-Table1[[#This Row],[Column3]]-Table1[[#This Row],[Column8]]</f>
        <v>76756.66072917945</v>
      </c>
      <c r="H33" s="11">
        <f>IF(Table1[[#This Row],[Column1]]&lt;'Data Input'!$I$4,MAX('Tax Information'!$C$15+'Data Input'!C92*'Tax Information'!$C$5,Spending!P34+'Student Loans'!B37),MAX('Tax Information'!$C$15+'Data Input'!C92*'Tax Information'!$C$5,'Mortgage Sheet'!C37+Spending!P34+'Student Loans'!C37))+'Tax Information'!$C$13*('Data Input'!C92+2)</f>
        <v>14225.023259403402</v>
      </c>
      <c r="I33" s="11">
        <f>IF(Table1[[#This Row],[Column1]]&lt;'Data Input'!$I$4,MAX('Tax Information'!$C$6+'Data Input'!C92*'Tax Information'!$C$5,Table1[[#This Row],[Column9]]+Spending!P34+'Student Loans'!C37),MAX('Tax Information'!$C$6+'Data Input'!C92*'Tax Information'!$C$5,'Mortgage Sheet'!C37+Table1[[#This Row],[Column9]]+Spending!P34+'Student Loans'!C37))+'Tax Information'!$C$4*('Data Input'!C92+2)</f>
        <v>25437.341583679874</v>
      </c>
      <c r="J33" s="18">
        <f>'Tax Information'!E56</f>
        <v>3330.318324276473</v>
      </c>
      <c r="K33" s="18">
        <f>'Tax Information'!C56</f>
        <v>10731.415182294862</v>
      </c>
      <c r="L33" s="18">
        <f>(0.01+0.0765)*(Table1[[#This Row],[Column2]]+Table1[[#This Row],[Column4]]+Table1[[#This Row],[Column5]])</f>
        <v>8839.7812000623308</v>
      </c>
      <c r="M33" s="18">
        <f>(Table1[[#This Row],[Column2]]+Table1[[#This Row],[Column4]]+Table1[[#This Row],[Column5]])</f>
        <v>102194.00231285932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79292.487606225652</v>
      </c>
      <c r="O33" s="7">
        <f>1-(Table1[[#This Row],[Column13]]/Table1[[#This Row],[Column12]])</f>
        <v>0.22409842249374268</v>
      </c>
      <c r="P3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Input'!$F$10)+P32</f>
        <v>0</v>
      </c>
      <c r="Q33" s="18">
        <f>Table1[[#This Row],[Column12]]/12</f>
        <v>8516.1668594049424</v>
      </c>
      <c r="R33" s="18">
        <f>Table1[[#This Row],[Column13]]/12</f>
        <v>6607.707300518804</v>
      </c>
      <c r="S33" s="18">
        <f>Table1[[#This Row],[Column13]]/'Data Input'!$I$5</f>
        <v>3303.853650259402</v>
      </c>
      <c r="T3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Sheet'!B37/12,'Mortgage Sheet'!$K$2))</f>
        <v>6007.707300518804</v>
      </c>
      <c r="U33" s="18">
        <f>Spending!T34+12*(Table1[[#This Row],[Column17]]-Table1[[#This Row],[Column19]])+IF(Table1[[#This Row],[Column1]]='Data Input'!$I$4,'Data Input'!$C$44,0)</f>
        <v>58201.577695668129</v>
      </c>
      <c r="V33" s="14">
        <f>Table1[[#This Row],[Column17]]-Table1[[#This Row],[Column20]]/12</f>
        <v>1757.5758258797932</v>
      </c>
      <c r="W33" s="18">
        <f>W32+12*Table1[[#This Row],[Column21]]</f>
        <v>-550750.96754281851</v>
      </c>
    </row>
    <row r="34" spans="1:26">
      <c r="A34" s="16">
        <f t="shared" si="0"/>
        <v>2048</v>
      </c>
      <c r="B34" s="11">
        <f>IF('Data Input'!$C$16+'Data Input'!$I$3&gt;Table1[[#This Row],[Column1]],('Data Input'!$C$6)*(1+'Data Input'!$C$15)^(Table1[[#This Row],[Column1]]-'Data Input'!$I$3),0)</f>
        <v>105241.76240537371</v>
      </c>
      <c r="C3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4" s="11">
        <f>IF('Data Input'!$F$16+'Data Input'!$I$3&gt;Table1[[#This Row],[Column1]],('Data Input'!$F$6)*(1+'Data Input'!$F$15)^(Table1[[#This Row],[Column1]]-'Data Input'!$I$3),0)</f>
        <v>0</v>
      </c>
      <c r="F34" s="11">
        <f>Table1[[#This Row],[Column2]]+Table1[[#This Row],[Column4]]+Table1[[#This Row],[Column5]]-Table1[[#This Row],[Column3]]-Table1[[#This Row],[Column23]]</f>
        <v>91936.66891337627</v>
      </c>
      <c r="G34" s="11">
        <f>Table1[[#This Row],[Column2]]+Table1[[#This Row],[Column4]]+Table1[[#This Row],[Column5]]-Table1[[#This Row],[Column3]]-Table1[[#This Row],[Column8]]</f>
        <v>80406.935400306174</v>
      </c>
      <c r="H34" s="11">
        <f>IF(Table1[[#This Row],[Column1]]&lt;'Data Input'!$I$4,MAX('Tax Information'!$C$15+'Data Input'!C93*'Tax Information'!$C$5,Spending!P35+'Student Loans'!B38),MAX('Tax Information'!$C$15+'Data Input'!C93*'Tax Information'!$C$5,'Mortgage Sheet'!C38+Spending!P35+'Student Loans'!C38))+'Tax Information'!$C$13*('Data Input'!C93+2)</f>
        <v>14305.093491997439</v>
      </c>
      <c r="I34" s="11">
        <f>IF(Table1[[#This Row],[Column1]]&lt;'Data Input'!$I$4,MAX('Tax Information'!$C$6+'Data Input'!C93*'Tax Information'!$C$5,Table1[[#This Row],[Column9]]+Spending!P35+'Student Loans'!C38),MAX('Tax Information'!$C$6+'Data Input'!C93*'Tax Information'!$C$5,'Mortgage Sheet'!C38+Table1[[#This Row],[Column9]]+Spending!P35+'Student Loans'!C38))+'Tax Information'!$C$4*('Data Input'!C93+2)</f>
        <v>25834.827005067538</v>
      </c>
      <c r="J34" s="18">
        <f>'Tax Information'!E57</f>
        <v>3647.7335130701017</v>
      </c>
      <c r="K34" s="18">
        <f>'Tax Information'!C57</f>
        <v>11643.983850076544</v>
      </c>
      <c r="L34" s="18">
        <f>(0.01+0.0765)*(Table1[[#This Row],[Column2]]+Table1[[#This Row],[Column4]]+Table1[[#This Row],[Column5]])</f>
        <v>9189.9124480648243</v>
      </c>
      <c r="M34" s="18">
        <f>(Table1[[#This Row],[Column2]]+Table1[[#This Row],[Column4]]+Table1[[#This Row],[Column5]])</f>
        <v>106241.76240537371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81760.132594162249</v>
      </c>
      <c r="O34" s="7">
        <f>1-(Table1[[#This Row],[Column13]]/Table1[[#This Row],[Column12]])</f>
        <v>0.23043320495569242</v>
      </c>
      <c r="P3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Input'!$F$10)+P33</f>
        <v>0</v>
      </c>
      <c r="Q34" s="18">
        <f>Table1[[#This Row],[Column12]]/12</f>
        <v>8853.4802004478097</v>
      </c>
      <c r="R34" s="18">
        <f>Table1[[#This Row],[Column13]]/12</f>
        <v>6813.3443828468544</v>
      </c>
      <c r="S34" s="18">
        <f>Table1[[#This Row],[Column13]]/'Data Input'!$I$5</f>
        <v>3406.6721914234272</v>
      </c>
      <c r="T3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Sheet'!B38/12,'Mortgage Sheet'!$K$2))</f>
        <v>6213.3443828468544</v>
      </c>
      <c r="U34" s="18">
        <f>Spending!T35+12*(Table1[[#This Row],[Column17]]-Table1[[#This Row],[Column19]])+IF(Table1[[#This Row],[Column1]]='Data Input'!$I$4,'Data Input'!$C$44,0)</f>
        <v>58675.593472624831</v>
      </c>
      <c r="V34" s="14">
        <f>Table1[[#This Row],[Column17]]-Table1[[#This Row],[Column20]]/12</f>
        <v>1923.7115934614521</v>
      </c>
      <c r="W34" s="18">
        <f>W33+12*Table1[[#This Row],[Column21]]</f>
        <v>-527666.42842128105</v>
      </c>
    </row>
    <row r="35" spans="1:26">
      <c r="A35" s="16">
        <f t="shared" si="0"/>
        <v>2049</v>
      </c>
      <c r="B35" s="11">
        <f>IF('Data Input'!$C$16+'Data Input'!$I$3&gt;Table1[[#This Row],[Column1]],('Data Input'!$C$6)*(1+'Data Input'!$C$15)^(Table1[[#This Row],[Column1]]-'Data Input'!$I$3),0)</f>
        <v>109451.43290158865</v>
      </c>
      <c r="C3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5" s="11">
        <f>IF('Data Input'!$F$16+'Data Input'!$I$3&gt;Table1[[#This Row],[Column1]],('Data Input'!$F$6)*(1+'Data Input'!$F$15)^(Table1[[#This Row],[Column1]]-'Data Input'!$I$3),0)</f>
        <v>0</v>
      </c>
      <c r="F35" s="11">
        <f>Table1[[#This Row],[Column2]]+Table1[[#This Row],[Column4]]+Table1[[#This Row],[Column5]]-Table1[[#This Row],[Column3]]-Table1[[#This Row],[Column23]]</f>
        <v>96065.468474671245</v>
      </c>
      <c r="G35" s="11">
        <f>Table1[[#This Row],[Column2]]+Table1[[#This Row],[Column4]]+Table1[[#This Row],[Column5]]-Table1[[#This Row],[Column3]]-Table1[[#This Row],[Column8]]</f>
        <v>84205.430996697542</v>
      </c>
      <c r="H35" s="11">
        <f>IF(Table1[[#This Row],[Column1]]&lt;'Data Input'!$I$4,MAX('Tax Information'!$C$15+'Data Input'!C94*'Tax Information'!$C$5,Spending!P36+'Student Loans'!B39),MAX('Tax Information'!$C$15+'Data Input'!C94*'Tax Information'!$C$5,'Mortgage Sheet'!C39+Spending!P36+'Student Loans'!C39))+'Tax Information'!$C$13*('Data Input'!C94+2)</f>
        <v>14385.96442691741</v>
      </c>
      <c r="I35" s="11">
        <f>IF(Table1[[#This Row],[Column1]]&lt;'Data Input'!$I$4,MAX('Tax Information'!$C$6+'Data Input'!C94*'Tax Information'!$C$5,Table1[[#This Row],[Column9]]+Spending!P36+'Student Loans'!C39),MAX('Tax Information'!$C$6+'Data Input'!C94*'Tax Information'!$C$5,'Mortgage Sheet'!C39+Table1[[#This Row],[Column9]]+Spending!P36+'Student Loans'!C39))+'Tax Information'!$C$4*('Data Input'!C94+2)</f>
        <v>26246.001904891109</v>
      </c>
      <c r="J35" s="18">
        <f>'Tax Information'!E58</f>
        <v>3978.0374779736994</v>
      </c>
      <c r="K35" s="18">
        <f>'Tax Information'!C58</f>
        <v>12593.607749174385</v>
      </c>
      <c r="L35" s="18">
        <f>(0.01+0.0765)*(Table1[[#This Row],[Column2]]+Table1[[#This Row],[Column4]]+Table1[[#This Row],[Column5]])</f>
        <v>9554.048945987417</v>
      </c>
      <c r="M35" s="18">
        <f>(Table1[[#This Row],[Column2]]+Table1[[#This Row],[Column4]]+Table1[[#This Row],[Column5]])</f>
        <v>110451.43290158865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84325.738728453143</v>
      </c>
      <c r="O35" s="7">
        <f>1-(Table1[[#This Row],[Column13]]/Table1[[#This Row],[Column12]])</f>
        <v>0.23653558389245422</v>
      </c>
      <c r="P3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Input'!$F$10)+P34</f>
        <v>0</v>
      </c>
      <c r="Q35" s="18">
        <f>Table1[[#This Row],[Column12]]/12</f>
        <v>9204.2860751323879</v>
      </c>
      <c r="R35" s="18">
        <f>Table1[[#This Row],[Column13]]/12</f>
        <v>7027.1448940377622</v>
      </c>
      <c r="S35" s="18">
        <f>Table1[[#This Row],[Column13]]/'Data Input'!$I$5</f>
        <v>3513.5724470188811</v>
      </c>
      <c r="T3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Sheet'!B39/12,'Mortgage Sheet'!$K$2))</f>
        <v>6427.1448940377622</v>
      </c>
      <c r="U35" s="18">
        <f>Spending!T36+12*(Table1[[#This Row],[Column17]]-Table1[[#This Row],[Column19]])+IF(Table1[[#This Row],[Column1]]='Data Input'!$I$4,'Data Input'!$C$44,0)</f>
        <v>59154.349407351066</v>
      </c>
      <c r="V35" s="14">
        <f>Table1[[#This Row],[Column17]]-Table1[[#This Row],[Column20]]/12</f>
        <v>2097.6157767585064</v>
      </c>
      <c r="W35" s="18">
        <f>W34+12*Table1[[#This Row],[Column21]]</f>
        <v>-502495.03910017898</v>
      </c>
    </row>
    <row r="36" spans="1:26">
      <c r="A36" s="16">
        <f t="shared" si="0"/>
        <v>2050</v>
      </c>
      <c r="B36" s="11">
        <f>IF('Data Input'!$C$16+'Data Input'!$I$3&gt;Table1[[#This Row],[Column1]],('Data Input'!$C$6)*(1+'Data Input'!$C$15)^(Table1[[#This Row],[Column1]]-'Data Input'!$I$3),0)</f>
        <v>113829.49021765222</v>
      </c>
      <c r="C3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6" s="11">
        <f>IF('Data Input'!$F$16+'Data Input'!$I$3&gt;Table1[[#This Row],[Column1]],('Data Input'!$F$6)*(1+'Data Input'!$F$15)^(Table1[[#This Row],[Column1]]-'Data Input'!$I$3),0)</f>
        <v>0</v>
      </c>
      <c r="F36" s="11">
        <f>Table1[[#This Row],[Column2]]+Table1[[#This Row],[Column4]]+Table1[[#This Row],[Column5]]-Table1[[#This Row],[Column3]]-Table1[[#This Row],[Column23]]</f>
        <v>100361.84614646563</v>
      </c>
      <c r="G36" s="11">
        <f>Table1[[#This Row],[Column2]]+Table1[[#This Row],[Column4]]+Table1[[#This Row],[Column5]]-Table1[[#This Row],[Column3]]-Table1[[#This Row],[Column8]]</f>
        <v>88158.098454748382</v>
      </c>
      <c r="H36" s="11">
        <f>IF(Table1[[#This Row],[Column1]]&lt;'Data Input'!$I$4,MAX('Tax Information'!$C$15+'Data Input'!C95*'Tax Information'!$C$5,Spending!P37+'Student Loans'!B40),MAX('Tax Information'!$C$15+'Data Input'!C95*'Tax Information'!$C$5,'Mortgage Sheet'!C40+Spending!P37+'Student Loans'!C40))+'Tax Information'!$C$13*('Data Input'!C95+2)</f>
        <v>14467.644071186585</v>
      </c>
      <c r="I36" s="11">
        <f>IF(Table1[[#This Row],[Column1]]&lt;'Data Input'!$I$4,MAX('Tax Information'!$C$6+'Data Input'!C95*'Tax Information'!$C$5,Table1[[#This Row],[Column9]]+Spending!P37+'Student Loans'!C40),MAX('Tax Information'!$C$6+'Data Input'!C95*'Tax Information'!$C$5,'Mortgage Sheet'!C40+Table1[[#This Row],[Column9]]+Spending!P37+'Student Loans'!C40))+'Tax Information'!$C$4*('Data Input'!C95+2)</f>
        <v>26671.391762903833</v>
      </c>
      <c r="J36" s="18">
        <f>'Tax Information'!E59</f>
        <v>4321.7476917172498</v>
      </c>
      <c r="K36" s="18">
        <f>'Tax Information'!C59</f>
        <v>13581.774613687096</v>
      </c>
      <c r="L36" s="18">
        <f>(0.01+0.0765)*(Table1[[#This Row],[Column2]]+Table1[[#This Row],[Column4]]+Table1[[#This Row],[Column5]])</f>
        <v>9932.7509038269163</v>
      </c>
      <c r="M36" s="18">
        <f>(Table1[[#This Row],[Column2]]+Table1[[#This Row],[Column4]]+Table1[[#This Row],[Column5]])</f>
        <v>114829.49021765222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86993.21700842095</v>
      </c>
      <c r="O36" s="7">
        <f>1-(Table1[[#This Row],[Column13]]/Table1[[#This Row],[Column12]])</f>
        <v>0.2424139753339436</v>
      </c>
      <c r="P3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Input'!$F$10)+P35</f>
        <v>0</v>
      </c>
      <c r="Q36" s="18">
        <f>Table1[[#This Row],[Column12]]/12</f>
        <v>9569.1241848043519</v>
      </c>
      <c r="R36" s="18">
        <f>Table1[[#This Row],[Column13]]/12</f>
        <v>7249.4347507017455</v>
      </c>
      <c r="S36" s="18">
        <f>Table1[[#This Row],[Column13]]/'Data Input'!$I$5</f>
        <v>3624.7173753508728</v>
      </c>
      <c r="T3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Sheet'!B40/12,'Mortgage Sheet'!$K$2))</f>
        <v>6649.4347507017455</v>
      </c>
      <c r="U36" s="18">
        <f>Spending!T37+12*(Table1[[#This Row],[Column17]]-Table1[[#This Row],[Column19]])+IF(Table1[[#This Row],[Column1]]='Data Input'!$I$4,'Data Input'!$C$44,0)</f>
        <v>59637.892901424602</v>
      </c>
      <c r="V36" s="14">
        <f>Table1[[#This Row],[Column17]]-Table1[[#This Row],[Column20]]/12</f>
        <v>2279.6103422496953</v>
      </c>
      <c r="W36" s="18">
        <f>W35+12*Table1[[#This Row],[Column21]]</f>
        <v>-475139.71499318263</v>
      </c>
    </row>
    <row r="37" spans="1:26">
      <c r="A37" s="16">
        <f t="shared" si="0"/>
        <v>2051</v>
      </c>
      <c r="B37" s="11">
        <f>IF('Data Input'!$C$16+'Data Input'!$I$3&gt;Table1[[#This Row],[Column1]],('Data Input'!$C$6)*(1+'Data Input'!$C$15)^(Table1[[#This Row],[Column1]]-'Data Input'!$I$3),0)</f>
        <v>118382.66982635831</v>
      </c>
      <c r="C3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7" s="11">
        <f>IF('Data Input'!$F$16+'Data Input'!$I$3&gt;Table1[[#This Row],[Column1]],('Data Input'!$F$6)*(1+'Data Input'!$F$15)^(Table1[[#This Row],[Column1]]-'Data Input'!$I$3),0)</f>
        <v>0</v>
      </c>
      <c r="F37" s="11">
        <f>Table1[[#This Row],[Column2]]+Table1[[#This Row],[Column4]]+Table1[[#This Row],[Column5]]-Table1[[#This Row],[Column3]]-Table1[[#This Row],[Column23]]</f>
        <v>104832.52931445985</v>
      </c>
      <c r="G37" s="11">
        <f>Table1[[#This Row],[Column2]]+Table1[[#This Row],[Column4]]+Table1[[#This Row],[Column5]]-Table1[[#This Row],[Column3]]-Table1[[#This Row],[Column8]]</f>
        <v>92248.084088215095</v>
      </c>
      <c r="H37" s="11">
        <f>IF(Table1[[#This Row],[Column1]]&lt;'Data Input'!$I$4,MAX('Tax Information'!$C$15+'Data Input'!C96*'Tax Information'!$C$5,Spending!P38+'Student Loans'!B41),MAX('Tax Information'!$C$15+'Data Input'!C96*'Tax Information'!$C$5,'Mortgage Sheet'!C41+Spending!P38+'Student Loans'!C41))+'Tax Information'!$C$13*('Data Input'!C96+2)</f>
        <v>14550.140511898451</v>
      </c>
      <c r="I37" s="11">
        <f>IF(Table1[[#This Row],[Column1]]&lt;'Data Input'!$I$4,MAX('Tax Information'!$C$6+'Data Input'!C96*'Tax Information'!$C$5,Table1[[#This Row],[Column9]]+Spending!P38+'Student Loans'!C41),MAX('Tax Information'!$C$6+'Data Input'!C96*'Tax Information'!$C$5,'Mortgage Sheet'!C41+Table1[[#This Row],[Column9]]+Spending!P38+'Student Loans'!C41))+'Tax Information'!$C$4*('Data Input'!C96+2)</f>
        <v>27134.585738143218</v>
      </c>
      <c r="J37" s="18">
        <f>'Tax Information'!E60</f>
        <v>4702.4452262447667</v>
      </c>
      <c r="K37" s="18">
        <f>'Tax Information'!C60</f>
        <v>14604.271022053774</v>
      </c>
      <c r="L37" s="18">
        <f>(0.01+0.0765)*(Table1[[#This Row],[Column2]]+Table1[[#This Row],[Column4]]+Table1[[#This Row],[Column5]])</f>
        <v>10326.600939979993</v>
      </c>
      <c r="M37" s="18">
        <f>(Table1[[#This Row],[Column2]]+Table1[[#This Row],[Column4]]+Table1[[#This Row],[Column5]])</f>
        <v>119382.66982635831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89749.352638079785</v>
      </c>
      <c r="O37" s="7">
        <f>1-(Table1[[#This Row],[Column13]]/Table1[[#This Row],[Column12]])</f>
        <v>0.24822126386836618</v>
      </c>
      <c r="P3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Input'!$F$10)+P36</f>
        <v>0</v>
      </c>
      <c r="Q37" s="18">
        <f>Table1[[#This Row],[Column12]]/12</f>
        <v>9948.5558188631931</v>
      </c>
      <c r="R37" s="18">
        <f>Table1[[#This Row],[Column13]]/12</f>
        <v>7479.1127198399818</v>
      </c>
      <c r="S37" s="18">
        <f>Table1[[#This Row],[Column13]]/'Data Input'!$I$5</f>
        <v>3739.5563599199909</v>
      </c>
      <c r="T3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Sheet'!B41/12,'Mortgage Sheet'!$K$2))</f>
        <v>6879.1127198399818</v>
      </c>
      <c r="U37" s="18">
        <f>Spending!T38+12*(Table1[[#This Row],[Column17]]-Table1[[#This Row],[Column19]])+IF(Table1[[#This Row],[Column1]]='Data Input'!$I$4,'Data Input'!$C$44,0)</f>
        <v>60126.27183043884</v>
      </c>
      <c r="V37" s="14">
        <f>Table1[[#This Row],[Column17]]-Table1[[#This Row],[Column20]]/12</f>
        <v>2468.5900673034121</v>
      </c>
      <c r="W37" s="18">
        <f>W36+12*Table1[[#This Row],[Column21]]</f>
        <v>-445516.63418554165</v>
      </c>
      <c r="X37" s="16"/>
      <c r="Y37" s="16"/>
      <c r="Z37" s="16"/>
    </row>
    <row r="38" spans="1:26">
      <c r="A38" s="16">
        <f t="shared" si="0"/>
        <v>2052</v>
      </c>
      <c r="B38" s="11">
        <f>IF('Data Input'!$C$16+'Data Input'!$I$3&gt;Table1[[#This Row],[Column1]],('Data Input'!$C$6)*(1+'Data Input'!$C$15)^(Table1[[#This Row],[Column1]]-'Data Input'!$I$3),0)</f>
        <v>123117.97661941263</v>
      </c>
      <c r="C3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8" s="11">
        <f>IF('Data Input'!$F$16+'Data Input'!$I$3&gt;Table1[[#This Row],[Column1]],('Data Input'!$F$6)*(1+'Data Input'!$F$15)^(Table1[[#This Row],[Column1]]-'Data Input'!$I$3),0)</f>
        <v>0</v>
      </c>
      <c r="F38" s="11">
        <f>Table1[[#This Row],[Column2]]+Table1[[#This Row],[Column4]]+Table1[[#This Row],[Column5]]-Table1[[#This Row],[Column3]]-Table1[[#This Row],[Column23]]</f>
        <v>109484.51470239519</v>
      </c>
      <c r="G38" s="11">
        <f>Table1[[#This Row],[Column2]]+Table1[[#This Row],[Column4]]+Table1[[#This Row],[Column5]]-Table1[[#This Row],[Column3]]-Table1[[#This Row],[Column8]]</f>
        <v>96467.434835072432</v>
      </c>
      <c r="H38" s="11">
        <f>IF(Table1[[#This Row],[Column1]]&lt;'Data Input'!$I$4,MAX('Tax Information'!$C$15+'Data Input'!C97*'Tax Information'!$C$5,Spending!P39+'Student Loans'!B42),MAX('Tax Information'!$C$15+'Data Input'!C97*'Tax Information'!$C$5,'Mortgage Sheet'!C42+Spending!P39+'Student Loans'!C42))+'Tax Information'!$C$13*('Data Input'!C97+2)</f>
        <v>14633.461917017436</v>
      </c>
      <c r="I38" s="11">
        <f>IF(Table1[[#This Row],[Column1]]&lt;'Data Input'!$I$4,MAX('Tax Information'!$C$6+'Data Input'!C97*'Tax Information'!$C$5,Table1[[#This Row],[Column9]]+Spending!P39+'Student Loans'!C42),MAX('Tax Information'!$C$6+'Data Input'!C97*'Tax Information'!$C$5,'Mortgage Sheet'!C42+Table1[[#This Row],[Column9]]+Spending!P39+'Student Loans'!C42))+'Tax Information'!$C$4*('Data Input'!C97+2)</f>
        <v>27650.541784340188</v>
      </c>
      <c r="J38" s="18">
        <f>'Tax Information'!E61</f>
        <v>5135.0798673227528</v>
      </c>
      <c r="K38" s="18">
        <f>'Tax Information'!C61</f>
        <v>15659.108708768108</v>
      </c>
      <c r="L38" s="18">
        <f>(0.01+0.0765)*(Table1[[#This Row],[Column2]]+Table1[[#This Row],[Column4]]+Table1[[#This Row],[Column5]])</f>
        <v>10736.204977579191</v>
      </c>
      <c r="M38" s="18">
        <f>(Table1[[#This Row],[Column2]]+Table1[[#This Row],[Column4]]+Table1[[#This Row],[Column5]])</f>
        <v>124117.97661941263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92587.583065742569</v>
      </c>
      <c r="O38" s="7">
        <f>1-(Table1[[#This Row],[Column13]]/Table1[[#This Row],[Column12]])</f>
        <v>0.25403567164450991</v>
      </c>
      <c r="P3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Input'!$F$10)+P37</f>
        <v>0</v>
      </c>
      <c r="Q38" s="18">
        <f>Table1[[#This Row],[Column12]]/12</f>
        <v>10343.164718284386</v>
      </c>
      <c r="R38" s="18">
        <f>Table1[[#This Row],[Column13]]/12</f>
        <v>7715.631922145214</v>
      </c>
      <c r="S38" s="18">
        <f>Table1[[#This Row],[Column13]]/'Data Input'!$I$5</f>
        <v>3857.815961072607</v>
      </c>
      <c r="T3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Sheet'!B42/12,'Mortgage Sheet'!$K$2))</f>
        <v>7115.631922145214</v>
      </c>
      <c r="U38" s="18">
        <f>Spending!T39+12*(Table1[[#This Row],[Column17]]-Table1[[#This Row],[Column19]])+IF(Table1[[#This Row],[Column1]]='Data Input'!$I$4,'Data Input'!$C$44,0)</f>
        <v>60619.534548743213</v>
      </c>
      <c r="V38" s="14">
        <f>Table1[[#This Row],[Column17]]-Table1[[#This Row],[Column20]]/12</f>
        <v>2664.0040430832796</v>
      </c>
      <c r="W38" s="18">
        <f>W37+12*Table1[[#This Row],[Column21]]</f>
        <v>-413548.58566854231</v>
      </c>
      <c r="X38" s="16"/>
      <c r="Y38" s="16"/>
      <c r="Z38" s="16"/>
    </row>
    <row r="39" spans="1:26">
      <c r="A39" s="16">
        <f t="shared" si="0"/>
        <v>2053</v>
      </c>
      <c r="B39" s="11">
        <f>IF('Data Input'!$C$16+'Data Input'!$I$3&gt;Table1[[#This Row],[Column1]],('Data Input'!$C$6)*(1+'Data Input'!$C$15)^(Table1[[#This Row],[Column1]]-'Data Input'!$I$3),0)</f>
        <v>128042.69568418917</v>
      </c>
      <c r="C3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39" s="11">
        <f>IF('Data Input'!$F$16+'Data Input'!$I$3&gt;Table1[[#This Row],[Column1]],('Data Input'!$F$6)*(1+'Data Input'!$F$15)^(Table1[[#This Row],[Column1]]-'Data Input'!$I$3),0)</f>
        <v>0</v>
      </c>
      <c r="F39" s="11">
        <f>Table1[[#This Row],[Column2]]+Table1[[#This Row],[Column4]]+Table1[[#This Row],[Column5]]-Table1[[#This Row],[Column3]]-Table1[[#This Row],[Column23]]</f>
        <v>114325.07914800156</v>
      </c>
      <c r="G39" s="11">
        <f>Table1[[#This Row],[Column2]]+Table1[[#This Row],[Column4]]+Table1[[#This Row],[Column5]]-Table1[[#This Row],[Column3]]-Table1[[#This Row],[Column8]]</f>
        <v>100857.82678723741</v>
      </c>
      <c r="H39" s="11">
        <f>IF(Table1[[#This Row],[Column1]]&lt;'Data Input'!$I$4,MAX('Tax Information'!$C$15+'Data Input'!C98*'Tax Information'!$C$5,Spending!P40+'Student Loans'!B43),MAX('Tax Information'!$C$15+'Data Input'!C98*'Tax Information'!$C$5,'Mortgage Sheet'!C43+Spending!P40+'Student Loans'!C43))+'Tax Information'!$C$13*('Data Input'!C98+2)</f>
        <v>14717.616536187608</v>
      </c>
      <c r="I39" s="11">
        <f>IF(Table1[[#This Row],[Column1]]&lt;'Data Input'!$I$4,MAX('Tax Information'!$C$6+'Data Input'!C98*'Tax Information'!$C$5,Table1[[#This Row],[Column9]]+Spending!P40+'Student Loans'!C43),MAX('Tax Information'!$C$6+'Data Input'!C98*'Tax Information'!$C$5,'Mortgage Sheet'!C43+Table1[[#This Row],[Column9]]+Spending!P40+'Student Loans'!C43))+'Tax Information'!$C$4*('Data Input'!C98+2)</f>
        <v>28184.868896951753</v>
      </c>
      <c r="J39" s="18">
        <f>'Tax Information'!E62</f>
        <v>5585.2523607641451</v>
      </c>
      <c r="K39" s="18">
        <f>'Tax Information'!C62</f>
        <v>16756.706696809353</v>
      </c>
      <c r="L39" s="18">
        <f>(0.01+0.0765)*(Table1[[#This Row],[Column2]]+Table1[[#This Row],[Column4]]+Table1[[#This Row],[Column5]])</f>
        <v>11162.193176682362</v>
      </c>
      <c r="M39" s="18">
        <f>(Table1[[#This Row],[Column2]]+Table1[[#This Row],[Column4]]+Table1[[#This Row],[Column5]])</f>
        <v>129042.69568418917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95538.543449933306</v>
      </c>
      <c r="O39" s="7">
        <f>1-(Table1[[#This Row],[Column13]]/Table1[[#This Row],[Column12]])</f>
        <v>0.25963617744201328</v>
      </c>
      <c r="P3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Input'!$F$10)+P38</f>
        <v>0</v>
      </c>
      <c r="Q39" s="18">
        <f>Table1[[#This Row],[Column12]]/12</f>
        <v>10753.557973682431</v>
      </c>
      <c r="R39" s="18">
        <f>Table1[[#This Row],[Column13]]/12</f>
        <v>7961.5452874944422</v>
      </c>
      <c r="S39" s="18">
        <f>Table1[[#This Row],[Column13]]/'Data Input'!$I$5</f>
        <v>3980.7726437472211</v>
      </c>
      <c r="T3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Sheet'!B43/12,'Mortgage Sheet'!$K$2))</f>
        <v>7361.5452874944422</v>
      </c>
      <c r="U39" s="18">
        <f>Spending!T40+12*(Table1[[#This Row],[Column17]]-Table1[[#This Row],[Column19]])+IF(Table1[[#This Row],[Column1]]='Data Input'!$I$4,'Data Input'!$C$44,0)</f>
        <v>61117.729894230637</v>
      </c>
      <c r="V39" s="14">
        <f>Table1[[#This Row],[Column17]]-Table1[[#This Row],[Column20]]/12</f>
        <v>2868.4011296418894</v>
      </c>
      <c r="W39" s="18">
        <f>W38+12*Table1[[#This Row],[Column21]]</f>
        <v>-379127.77211283962</v>
      </c>
      <c r="X39" s="16"/>
      <c r="Y39" s="16"/>
      <c r="Z39" s="16"/>
    </row>
    <row r="40" spans="1:26">
      <c r="A40" s="16">
        <f t="shared" si="0"/>
        <v>2054</v>
      </c>
      <c r="B40" s="11">
        <f>IF('Data Input'!$C$16+'Data Input'!$I$3&gt;Table1[[#This Row],[Column1]],('Data Input'!$C$6)*(1+'Data Input'!$C$15)^(Table1[[#This Row],[Column1]]-'Data Input'!$I$3),0)</f>
        <v>133164.40351155671</v>
      </c>
      <c r="C4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0" s="11">
        <f>IF('Data Input'!$F$16+'Data Input'!$I$3&gt;Table1[[#This Row],[Column1]],('Data Input'!$F$6)*(1+'Data Input'!$F$15)^(Table1[[#This Row],[Column1]]-'Data Input'!$I$3),0)</f>
        <v>0</v>
      </c>
      <c r="F40" s="11">
        <f>Table1[[#This Row],[Column2]]+Table1[[#This Row],[Column4]]+Table1[[#This Row],[Column5]]-Table1[[#This Row],[Column3]]-Table1[[#This Row],[Column23]]</f>
        <v>119361.79081000722</v>
      </c>
      <c r="G40" s="11">
        <f>Table1[[#This Row],[Column2]]+Table1[[#This Row],[Column4]]+Table1[[#This Row],[Column5]]-Table1[[#This Row],[Column3]]-Table1[[#This Row],[Column8]]</f>
        <v>105426.12426467656</v>
      </c>
      <c r="H40" s="11">
        <f>IF(Table1[[#This Row],[Column1]]&lt;'Data Input'!$I$4,MAX('Tax Information'!$C$15+'Data Input'!C99*'Tax Information'!$C$5,Spending!P41+'Student Loans'!B44),MAX('Tax Information'!$C$15+'Data Input'!C99*'Tax Information'!$C$5,'Mortgage Sheet'!C44+Spending!P41+'Student Loans'!C44))+'Tax Information'!$C$13*('Data Input'!C99+2)</f>
        <v>14802.612701549486</v>
      </c>
      <c r="I40" s="11">
        <f>IF(Table1[[#This Row],[Column1]]&lt;'Data Input'!$I$4,MAX('Tax Information'!$C$6+'Data Input'!C99*'Tax Information'!$C$5,Table1[[#This Row],[Column9]]+Spending!P41+'Student Loans'!C44),MAX('Tax Information'!$C$6+'Data Input'!C99*'Tax Information'!$C$5,'Mortgage Sheet'!C44+Table1[[#This Row],[Column9]]+Spending!P41+'Student Loans'!C44))+'Tax Information'!$C$4*('Data Input'!C99+2)</f>
        <v>28738.279246880156</v>
      </c>
      <c r="J40" s="18">
        <f>'Tax Information'!E63</f>
        <v>6053.6665453306723</v>
      </c>
      <c r="K40" s="18">
        <f>'Tax Information'!C63</f>
        <v>17898.78106616914</v>
      </c>
      <c r="L40" s="18">
        <f>(0.01+0.0765)*(Table1[[#This Row],[Column2]]+Table1[[#This Row],[Column4]]+Table1[[#This Row],[Column5]])</f>
        <v>11605.220903749654</v>
      </c>
      <c r="M40" s="18">
        <f>(Table1[[#This Row],[Column2]]+Table1[[#This Row],[Column4]]+Table1[[#This Row],[Column5]])</f>
        <v>134164.40351155671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98606.734996307248</v>
      </c>
      <c r="O40" s="7">
        <f>1-(Table1[[#This Row],[Column13]]/Table1[[#This Row],[Column12]])</f>
        <v>0.26503057133322683</v>
      </c>
      <c r="P4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Input'!$F$10)+P39</f>
        <v>0</v>
      </c>
      <c r="Q40" s="18">
        <f>Table1[[#This Row],[Column12]]/12</f>
        <v>11180.366959296392</v>
      </c>
      <c r="R40" s="18">
        <f>Table1[[#This Row],[Column13]]/12</f>
        <v>8217.2279163589374</v>
      </c>
      <c r="S40" s="18">
        <f>Table1[[#This Row],[Column13]]/'Data Input'!$I$5</f>
        <v>4108.6139581794687</v>
      </c>
      <c r="T4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Sheet'!B44/12,'Mortgage Sheet'!$K$2))</f>
        <v>7617.2279163589374</v>
      </c>
      <c r="U40" s="18">
        <f>Spending!T41+12*(Table1[[#This Row],[Column17]]-Table1[[#This Row],[Column19]])+IF(Table1[[#This Row],[Column1]]='Data Input'!$I$4,'Data Input'!$C$44,0)</f>
        <v>61620.907193172956</v>
      </c>
      <c r="V40" s="14">
        <f>Table1[[#This Row],[Column17]]-Table1[[#This Row],[Column20]]/12</f>
        <v>3082.152316927858</v>
      </c>
      <c r="W40" s="18">
        <f>W39+12*Table1[[#This Row],[Column21]]</f>
        <v>-342141.94430970534</v>
      </c>
      <c r="X40" s="16"/>
      <c r="Y40" s="16"/>
      <c r="Z40" s="16"/>
    </row>
    <row r="41" spans="1:26">
      <c r="A41" s="16">
        <f t="shared" si="0"/>
        <v>2055</v>
      </c>
      <c r="B41" s="11">
        <f>IF('Data Input'!$C$16+'Data Input'!$I$3&gt;Table1[[#This Row],[Column1]],('Data Input'!$C$6)*(1+'Data Input'!$C$15)^(Table1[[#This Row],[Column1]]-'Data Input'!$I$3),0)</f>
        <v>138490.97965201898</v>
      </c>
      <c r="C4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1000</v>
      </c>
      <c r="E41" s="11">
        <f>IF('Data Input'!$F$16+'Data Input'!$I$3&gt;Table1[[#This Row],[Column1]],('Data Input'!$F$6)*(1+'Data Input'!$F$15)^(Table1[[#This Row],[Column1]]-'Data Input'!$I$3),0)</f>
        <v>0</v>
      </c>
      <c r="F41" s="11">
        <f>Table1[[#This Row],[Column2]]+Table1[[#This Row],[Column4]]+Table1[[#This Row],[Column5]]-Table1[[#This Row],[Column3]]-Table1[[#This Row],[Column23]]</f>
        <v>124602.520823454</v>
      </c>
      <c r="G41" s="11">
        <f>Table1[[#This Row],[Column2]]+Table1[[#This Row],[Column4]]+Table1[[#This Row],[Column5]]-Table1[[#This Row],[Column3]]-Table1[[#This Row],[Column8]]</f>
        <v>110179.46638687278</v>
      </c>
      <c r="H41" s="11">
        <f>IF(Table1[[#This Row],[Column1]]&lt;'Data Input'!$I$4,MAX('Tax Information'!$C$15+'Data Input'!C100*'Tax Information'!$C$5,Spending!P42+'Student Loans'!B45),MAX('Tax Information'!$C$15+'Data Input'!C100*'Tax Information'!$C$5,'Mortgage Sheet'!C45+Spending!P42+'Student Loans'!C45))+'Tax Information'!$C$13*('Data Input'!C100+2)</f>
        <v>14888.458828564981</v>
      </c>
      <c r="I41" s="11">
        <f>IF(Table1[[#This Row],[Column1]]&lt;'Data Input'!$I$4,MAX('Tax Information'!$C$6+'Data Input'!C100*'Tax Information'!$C$5,Table1[[#This Row],[Column9]]+Spending!P42+'Student Loans'!C45),MAX('Tax Information'!$C$6+'Data Input'!C100*'Tax Information'!$C$5,'Mortgage Sheet'!C45+Table1[[#This Row],[Column9]]+Spending!P42+'Student Loans'!C45))+'Tax Information'!$C$4*('Data Input'!C100+2)</f>
        <v>29311.513265146205</v>
      </c>
      <c r="J41" s="18">
        <f>'Tax Information'!E64</f>
        <v>6541.0544365812229</v>
      </c>
      <c r="K41" s="18">
        <f>'Tax Information'!C64</f>
        <v>19087.116596718195</v>
      </c>
      <c r="L41" s="18">
        <f>(0.01+0.0765)*(Table1[[#This Row],[Column2]]+Table1[[#This Row],[Column4]]+Table1[[#This Row],[Column5]])</f>
        <v>12065.969739899641</v>
      </c>
      <c r="M41" s="18">
        <f>(Table1[[#This Row],[Column2]]+Table1[[#This Row],[Column4]]+Table1[[#This Row],[Column5]])</f>
        <v>139490.97965201898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101796.83887881992</v>
      </c>
      <c r="O41" s="7">
        <f>1-(Table1[[#This Row],[Column13]]/Table1[[#This Row],[Column12]])</f>
        <v>0.27022636780695575</v>
      </c>
      <c r="P4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Input'!$F$10)+P40</f>
        <v>0</v>
      </c>
      <c r="Q41" s="18">
        <f>Table1[[#This Row],[Column12]]/12</f>
        <v>11624.248304334915</v>
      </c>
      <c r="R41" s="18">
        <f>Table1[[#This Row],[Column13]]/12</f>
        <v>8483.0699065683275</v>
      </c>
      <c r="S41" s="18">
        <f>Table1[[#This Row],[Column13]]/'Data Input'!$I$5</f>
        <v>4241.5349532841637</v>
      </c>
      <c r="T4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Sheet'!B45/12,'Mortgage Sheet'!$K$2))</f>
        <v>7883.0699065683275</v>
      </c>
      <c r="U41" s="18">
        <f>Spending!T42+12*(Table1[[#This Row],[Column17]]-Table1[[#This Row],[Column19]])+IF(Table1[[#This Row],[Column1]]='Data Input'!$I$4,'Data Input'!$C$44,0)</f>
        <v>62129.116265104698</v>
      </c>
      <c r="V41" s="14">
        <f>Table1[[#This Row],[Column17]]-Table1[[#This Row],[Column20]]/12</f>
        <v>3305.6435511429363</v>
      </c>
      <c r="W41" s="18">
        <f>W40+12*Table1[[#This Row],[Column21]]</f>
        <v>-302474.22169599013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F25" sqref="F25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72">
        <f>'Data Input'!C38</f>
        <v>400000</v>
      </c>
      <c r="H1" s="5" t="s">
        <v>3</v>
      </c>
      <c r="I1" s="4">
        <v>0</v>
      </c>
      <c r="J1" s="5" t="s">
        <v>28</v>
      </c>
      <c r="K1" s="2">
        <f>SUM(F5:F364)</f>
        <v>532575.30643867725</v>
      </c>
    </row>
    <row r="2" spans="1:14">
      <c r="A2" s="87"/>
      <c r="B2" s="74"/>
      <c r="C2" s="74"/>
      <c r="F2" s="5" t="s">
        <v>6</v>
      </c>
      <c r="G2" s="73">
        <f>'Data Input'!C39</f>
        <v>0.04</v>
      </c>
      <c r="H2" s="5" t="s">
        <v>10</v>
      </c>
      <c r="I2" s="3">
        <f>ROUNDUP(12+(K17+SUM(H17:H364))/(SUM(F17:F28)/12)-0.000001,0)</f>
        <v>180</v>
      </c>
      <c r="J2" s="5" t="s">
        <v>29</v>
      </c>
      <c r="K2" s="17">
        <f>('Data Input'!C42+'Data Input'!C43)/12</f>
        <v>600</v>
      </c>
      <c r="L2" s="17">
        <f>'Data Input'!C42</f>
        <v>6000</v>
      </c>
    </row>
    <row r="3" spans="1:14">
      <c r="A3" s="90" t="s">
        <v>150</v>
      </c>
      <c r="B3" s="91">
        <v>360</v>
      </c>
      <c r="C3" s="74"/>
      <c r="F3" s="5" t="s">
        <v>8</v>
      </c>
      <c r="G3" s="3">
        <f>'Data Input'!C40</f>
        <v>15</v>
      </c>
      <c r="H3" s="5" t="s">
        <v>9</v>
      </c>
      <c r="I3" s="2">
        <f>SUM(H5:H364)</f>
        <v>132575.30643867856</v>
      </c>
      <c r="J3" s="5" t="s">
        <v>11</v>
      </c>
      <c r="K3" s="2">
        <f>K2+F5</f>
        <v>3558.7517024370227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127</v>
      </c>
      <c r="D5">
        <v>1</v>
      </c>
      <c r="E5" s="1">
        <v>43101</v>
      </c>
      <c r="F5" s="2">
        <f>I5+$G$1*($G$2/12)*(1+($G$2/12))^($G$3*12)/((1+($G$2/12))^($G$3*12)-1)</f>
        <v>2958.7517024370227</v>
      </c>
      <c r="G5" s="2">
        <f>+F5-H5</f>
        <v>1625.4183691036892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Input'!I4</f>
        <v>2018</v>
      </c>
      <c r="B6" s="18">
        <f>SUM(F5:F16)+$K$2*12</f>
        <v>42705.02042924428</v>
      </c>
      <c r="C6" s="18">
        <f>H6*12+$L$2</f>
        <v>21934.983265235853</v>
      </c>
      <c r="D6">
        <v>2</v>
      </c>
      <c r="E6" s="1">
        <v>43132</v>
      </c>
      <c r="F6" s="2">
        <f>IF( (K6+20)&lt;$F$5, H6+K6,I6+$G$1*($G$2/12)*(1+($G$2/12))^($G$3*12)/((1+($G$2/12))^($G$3*12)-1))</f>
        <v>2958.7517024370227</v>
      </c>
      <c r="G6" s="2">
        <f>+F6-H6</f>
        <v>1630.836430334035</v>
      </c>
      <c r="H6" s="2">
        <f>($G$2/12)*K6</f>
        <v>1327.9152721029877</v>
      </c>
      <c r="I6" s="15">
        <f t="shared" si="0"/>
        <v>0</v>
      </c>
      <c r="J6" s="2">
        <f>IF(K6=0,0,J5+H6)</f>
        <v>2661.2486054363212</v>
      </c>
      <c r="K6" s="2">
        <f>K5-G5</f>
        <v>398374.58163089631</v>
      </c>
      <c r="L6" s="21"/>
      <c r="N6" s="22"/>
    </row>
    <row r="7" spans="1:14">
      <c r="A7">
        <f>A6+1</f>
        <v>2019</v>
      </c>
      <c r="B7" s="18">
        <f>SUM(F17:F28)+$K$2*12</f>
        <v>42705.02042924428</v>
      </c>
      <c r="C7" s="18">
        <f>H18*12+$L$2</f>
        <v>21137.669756176525</v>
      </c>
      <c r="D7">
        <v>3</v>
      </c>
      <c r="E7" s="1">
        <v>43160</v>
      </c>
      <c r="F7" s="2">
        <f>IF( (K7+20)&lt;$F$5, H7+K7,I7+$G$1*($G$2/12)*(1+($G$2/12))^($G$3*12)/((1+($G$2/12))^($G$3*12)-1))</f>
        <v>2958.7517024370227</v>
      </c>
      <c r="G7" s="2">
        <f>+F7-H7</f>
        <v>1636.2725517684817</v>
      </c>
      <c r="H7" s="2">
        <f>($G$2/12)*K7</f>
        <v>1322.479150668541</v>
      </c>
      <c r="I7" s="15">
        <f t="shared" si="0"/>
        <v>0</v>
      </c>
      <c r="J7" s="2">
        <f>IF(K7=0,0,J6+H7)</f>
        <v>3983.7277561048622</v>
      </c>
      <c r="K7" s="2">
        <f>K6-G6</f>
        <v>396743.74520056229</v>
      </c>
      <c r="L7" s="21"/>
    </row>
    <row r="8" spans="1:14">
      <c r="A8" s="16">
        <f t="shared" ref="A8:A45" si="1">A7+1</f>
        <v>2020</v>
      </c>
      <c r="B8" s="18">
        <f>SUM(F29:F40)+$K$2*12</f>
        <v>42705.02042924428</v>
      </c>
      <c r="C8" s="18">
        <f>H30*12+$L$2</f>
        <v>20307.872464567336</v>
      </c>
      <c r="D8">
        <v>4</v>
      </c>
      <c r="E8" s="1">
        <v>43191</v>
      </c>
      <c r="F8" s="2">
        <f>IF( (K8+20)&lt;$F$5, H8+K8,I8+$G$1*($G$2/12)*(1+($G$2/12))^($G$3*12)/((1+($G$2/12))^($G$3*12)-1))</f>
        <v>2958.7517024370227</v>
      </c>
      <c r="G8" s="2">
        <f>+F8-H8</f>
        <v>1641.7267936077099</v>
      </c>
      <c r="H8" s="2">
        <f t="shared" ref="H8:H71" si="2">($G$2/12)*K8</f>
        <v>1317.0249088293128</v>
      </c>
      <c r="I8" s="15">
        <f t="shared" si="0"/>
        <v>0</v>
      </c>
      <c r="J8" s="2">
        <f t="shared" ref="J8:J71" si="3">IF(K8=0,0,J7+H8)</f>
        <v>5300.7526649341753</v>
      </c>
      <c r="K8" s="2">
        <f t="shared" ref="K8:K9" si="4">K7-G7</f>
        <v>395107.47264879383</v>
      </c>
      <c r="L8" s="21"/>
      <c r="M8" s="16"/>
    </row>
    <row r="9" spans="1:14">
      <c r="A9" s="16">
        <f t="shared" si="1"/>
        <v>2021</v>
      </c>
      <c r="B9" s="18">
        <f>SUM(F41:F52)+$K$2*12</f>
        <v>42705.02042924428</v>
      </c>
      <c r="C9" s="18">
        <f>H42*12+$L$2</f>
        <v>19444.267950987316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2958.7517024370227</v>
      </c>
      <c r="G9" s="2">
        <f t="shared" ref="G9:G70" si="6">+F9-H9</f>
        <v>1647.1992162530689</v>
      </c>
      <c r="H9" s="2">
        <f t="shared" si="2"/>
        <v>1311.5524861839538</v>
      </c>
      <c r="I9" s="15">
        <f t="shared" si="0"/>
        <v>0</v>
      </c>
      <c r="J9" s="2">
        <f t="shared" si="3"/>
        <v>6612.3051511181293</v>
      </c>
      <c r="K9" s="2">
        <f t="shared" si="4"/>
        <v>393465.74585518613</v>
      </c>
      <c r="L9" s="21"/>
      <c r="M9" s="16"/>
    </row>
    <row r="10" spans="1:14">
      <c r="A10" s="16">
        <f t="shared" si="1"/>
        <v>2022</v>
      </c>
      <c r="B10" s="18">
        <f>SUM(F53:F64)+$K$2*12</f>
        <v>42705.02042924428</v>
      </c>
      <c r="C10" s="18">
        <f>H54*12+$L$2</f>
        <v>18545.478857051559</v>
      </c>
      <c r="D10">
        <v>6</v>
      </c>
      <c r="E10" s="1">
        <v>43252</v>
      </c>
      <c r="F10" s="2">
        <f t="shared" si="5"/>
        <v>2958.7517024370227</v>
      </c>
      <c r="G10" s="2">
        <f t="shared" si="6"/>
        <v>1652.6898803072456</v>
      </c>
      <c r="H10" s="2">
        <f t="shared" si="2"/>
        <v>1306.0618221297771</v>
      </c>
      <c r="I10" s="15">
        <f t="shared" si="0"/>
        <v>0</v>
      </c>
      <c r="J10" s="2">
        <f t="shared" si="3"/>
        <v>7918.3669732479066</v>
      </c>
      <c r="K10" s="2">
        <f t="shared" ref="K10:K73" si="7">K9-G9</f>
        <v>391818.54663893307</v>
      </c>
      <c r="L10" s="21"/>
      <c r="M10" s="16"/>
    </row>
    <row r="11" spans="1:14">
      <c r="A11" s="16">
        <f t="shared" si="1"/>
        <v>2023</v>
      </c>
      <c r="B11" s="18">
        <f>SUM(F65:F76)+$K$2*12</f>
        <v>42705.02042924428</v>
      </c>
      <c r="C11" s="18">
        <f>H66*12+$L$2</f>
        <v>17610.071708669373</v>
      </c>
      <c r="D11">
        <v>7</v>
      </c>
      <c r="E11" s="1">
        <v>43282</v>
      </c>
      <c r="F11" s="2">
        <f t="shared" si="5"/>
        <v>2958.7517024370227</v>
      </c>
      <c r="G11" s="2">
        <f t="shared" si="6"/>
        <v>1658.1988465749364</v>
      </c>
      <c r="H11" s="2">
        <f t="shared" si="2"/>
        <v>1300.5528558620863</v>
      </c>
      <c r="I11" s="15">
        <f t="shared" si="0"/>
        <v>0</v>
      </c>
      <c r="J11" s="2">
        <f t="shared" si="3"/>
        <v>9218.9198291099929</v>
      </c>
      <c r="K11" s="2">
        <f t="shared" si="7"/>
        <v>390165.85675862583</v>
      </c>
      <c r="L11" s="21"/>
      <c r="M11" s="16"/>
    </row>
    <row r="12" spans="1:14">
      <c r="A12" s="16">
        <f t="shared" si="1"/>
        <v>2024</v>
      </c>
      <c r="B12" s="18">
        <f>SUM(F77:F88)+$K$2*12</f>
        <v>42705.02042924428</v>
      </c>
      <c r="C12" s="18">
        <f>H78*12+$L$2</f>
        <v>16636.554629803897</v>
      </c>
      <c r="D12">
        <v>8</v>
      </c>
      <c r="E12" s="1">
        <v>43313</v>
      </c>
      <c r="F12" s="2">
        <f t="shared" si="5"/>
        <v>2958.7517024370227</v>
      </c>
      <c r="G12" s="2">
        <f t="shared" si="6"/>
        <v>1663.7261760635197</v>
      </c>
      <c r="H12" s="2">
        <f t="shared" si="2"/>
        <v>1295.025526373503</v>
      </c>
      <c r="I12" s="15">
        <f t="shared" si="0"/>
        <v>0</v>
      </c>
      <c r="J12" s="2">
        <f t="shared" si="3"/>
        <v>10513.945355483496</v>
      </c>
      <c r="K12" s="2">
        <f t="shared" si="7"/>
        <v>388507.6579120509</v>
      </c>
      <c r="L12" s="21"/>
      <c r="M12" s="16"/>
    </row>
    <row r="13" spans="1:14">
      <c r="A13" s="16">
        <f t="shared" si="1"/>
        <v>2025</v>
      </c>
      <c r="B13" s="18">
        <f>SUM(F89:F100)+$K$2*12</f>
        <v>42705.02042924428</v>
      </c>
      <c r="C13" s="18">
        <f>H90*12+$L$2</f>
        <v>15623.374963086675</v>
      </c>
      <c r="D13">
        <v>9</v>
      </c>
      <c r="E13" s="1">
        <v>43344</v>
      </c>
      <c r="F13" s="2">
        <f t="shared" si="5"/>
        <v>2958.7517024370227</v>
      </c>
      <c r="G13" s="2">
        <f t="shared" si="6"/>
        <v>1669.2719299837313</v>
      </c>
      <c r="H13" s="2">
        <f t="shared" si="2"/>
        <v>1289.4797724532914</v>
      </c>
      <c r="I13" s="15">
        <f t="shared" si="0"/>
        <v>0</v>
      </c>
      <c r="J13" s="2">
        <f t="shared" si="3"/>
        <v>11803.425127936787</v>
      </c>
      <c r="K13" s="2">
        <f t="shared" si="7"/>
        <v>386843.93173598737</v>
      </c>
      <c r="L13" s="21"/>
      <c r="M13" s="16"/>
    </row>
    <row r="14" spans="1:14">
      <c r="A14" s="16">
        <f t="shared" si="1"/>
        <v>2026</v>
      </c>
      <c r="B14" s="18">
        <f>SUM(F101:F112)+$K$2*12</f>
        <v>42705.02042924428</v>
      </c>
      <c r="C14" s="18">
        <f>H102*12+$L$2</f>
        <v>14568.916793492437</v>
      </c>
      <c r="D14">
        <v>10</v>
      </c>
      <c r="E14" s="1">
        <v>43374</v>
      </c>
      <c r="F14" s="2">
        <f t="shared" si="5"/>
        <v>2958.7517024370227</v>
      </c>
      <c r="G14" s="2">
        <f t="shared" si="6"/>
        <v>1674.836169750344</v>
      </c>
      <c r="H14" s="2">
        <f t="shared" si="2"/>
        <v>1283.9155326866787</v>
      </c>
      <c r="I14" s="15">
        <f t="shared" si="0"/>
        <v>0</v>
      </c>
      <c r="J14" s="2">
        <f t="shared" si="3"/>
        <v>13087.340660623466</v>
      </c>
      <c r="K14" s="2">
        <f t="shared" si="7"/>
        <v>385174.65980600362</v>
      </c>
      <c r="L14" s="21"/>
      <c r="M14" s="16"/>
    </row>
    <row r="15" spans="1:14">
      <c r="A15" s="16">
        <f t="shared" si="1"/>
        <v>2027</v>
      </c>
      <c r="B15" s="18">
        <f>SUM(F113:F124)+$K$2*12</f>
        <v>42705.02042924428</v>
      </c>
      <c r="C15" s="18">
        <f>H114*12+$L$2</f>
        <v>13471.498371124551</v>
      </c>
      <c r="D15">
        <v>11</v>
      </c>
      <c r="E15" s="1">
        <v>43405</v>
      </c>
      <c r="F15" s="2">
        <f t="shared" si="5"/>
        <v>2958.7517024370227</v>
      </c>
      <c r="G15" s="2">
        <f t="shared" si="6"/>
        <v>1680.4189569828452</v>
      </c>
      <c r="H15" s="2">
        <f t="shared" si="2"/>
        <v>1278.3327454541775</v>
      </c>
      <c r="I15" s="15">
        <f t="shared" si="0"/>
        <v>0</v>
      </c>
      <c r="J15" s="2">
        <f t="shared" si="3"/>
        <v>14365.673406077643</v>
      </c>
      <c r="K15" s="2">
        <f t="shared" si="7"/>
        <v>383499.82363625325</v>
      </c>
      <c r="L15" s="21"/>
      <c r="M15" s="16"/>
    </row>
    <row r="16" spans="1:14">
      <c r="A16" s="16">
        <f t="shared" si="1"/>
        <v>2028</v>
      </c>
      <c r="B16" s="18">
        <f>SUM(F125:F136)+$K$2*12</f>
        <v>42705.02042924428</v>
      </c>
      <c r="C16" s="18">
        <f>H126*12+$L$2</f>
        <v>12329.369429000795</v>
      </c>
      <c r="D16">
        <v>12</v>
      </c>
      <c r="E16" s="1">
        <v>43435</v>
      </c>
      <c r="F16" s="2">
        <f t="shared" si="5"/>
        <v>2958.7517024370227</v>
      </c>
      <c r="G16" s="2">
        <f t="shared" si="6"/>
        <v>1686.0203535061212</v>
      </c>
      <c r="H16" s="2">
        <f t="shared" si="2"/>
        <v>1272.7313489309015</v>
      </c>
      <c r="I16" s="15">
        <f t="shared" si="0"/>
        <v>0</v>
      </c>
      <c r="J16" s="2">
        <f t="shared" si="3"/>
        <v>15638.404755008545</v>
      </c>
      <c r="K16" s="2">
        <f t="shared" si="7"/>
        <v>381819.4046792704</v>
      </c>
      <c r="L16" s="21"/>
      <c r="M16" s="16"/>
    </row>
    <row r="17" spans="1:13">
      <c r="A17" s="16">
        <f t="shared" si="1"/>
        <v>2029</v>
      </c>
      <c r="B17" s="18">
        <f>SUM(F137:F148)+$K$2*12</f>
        <v>42705.02042924428</v>
      </c>
      <c r="C17" s="18">
        <f>H138*12+$L$2</f>
        <v>11140.708391561573</v>
      </c>
      <c r="D17">
        <v>13</v>
      </c>
      <c r="E17" s="1">
        <v>43466</v>
      </c>
      <c r="F17" s="2">
        <f t="shared" si="5"/>
        <v>2958.7517024370227</v>
      </c>
      <c r="G17" s="2">
        <f t="shared" si="6"/>
        <v>1691.6404213511416</v>
      </c>
      <c r="H17" s="2">
        <f t="shared" si="2"/>
        <v>1267.111281085881</v>
      </c>
      <c r="I17" s="15">
        <f t="shared" si="0"/>
        <v>0</v>
      </c>
      <c r="J17" s="2">
        <f t="shared" si="3"/>
        <v>16905.516036094425</v>
      </c>
      <c r="K17" s="2">
        <f t="shared" si="7"/>
        <v>380133.38432576426</v>
      </c>
      <c r="L17" s="21"/>
      <c r="M17" s="16"/>
    </row>
    <row r="18" spans="1:13">
      <c r="A18" s="16">
        <f t="shared" si="1"/>
        <v>2030</v>
      </c>
      <c r="B18" s="18">
        <f>SUM(F149:F160)+$K$2*12</f>
        <v>42705.02042924428</v>
      </c>
      <c r="C18" s="18">
        <f>H150*12+$L$2</f>
        <v>9903.6194694484366</v>
      </c>
      <c r="D18">
        <v>14</v>
      </c>
      <c r="E18" s="1">
        <v>43497</v>
      </c>
      <c r="F18" s="2">
        <f t="shared" si="5"/>
        <v>2958.7517024370227</v>
      </c>
      <c r="G18" s="2">
        <f t="shared" si="6"/>
        <v>1697.2792227556456</v>
      </c>
      <c r="H18" s="2">
        <f t="shared" si="2"/>
        <v>1261.4724796813771</v>
      </c>
      <c r="I18" s="15">
        <f t="shared" si="0"/>
        <v>0</v>
      </c>
      <c r="J18" s="2">
        <f t="shared" si="3"/>
        <v>18166.988515775804</v>
      </c>
      <c r="K18" s="2">
        <f t="shared" si="7"/>
        <v>378441.74390441313</v>
      </c>
      <c r="L18" s="21"/>
      <c r="M18" s="16"/>
    </row>
    <row r="19" spans="1:13">
      <c r="A19" s="16">
        <f t="shared" si="1"/>
        <v>2031</v>
      </c>
      <c r="B19" s="18">
        <f>SUM(F161:F172)+$K$2*12</f>
        <v>42705.02042924428</v>
      </c>
      <c r="C19" s="18">
        <f>H162*12+$L$2</f>
        <v>8616.1296359194348</v>
      </c>
      <c r="D19">
        <v>15</v>
      </c>
      <c r="E19" s="1">
        <v>43525</v>
      </c>
      <c r="F19" s="2">
        <f t="shared" si="5"/>
        <v>2958.7517024370227</v>
      </c>
      <c r="G19" s="2">
        <f t="shared" si="6"/>
        <v>1702.936820164831</v>
      </c>
      <c r="H19" s="2">
        <f t="shared" si="2"/>
        <v>1255.8148822721917</v>
      </c>
      <c r="I19" s="15">
        <f t="shared" si="0"/>
        <v>0</v>
      </c>
      <c r="J19" s="2">
        <f t="shared" si="3"/>
        <v>19422.803398047996</v>
      </c>
      <c r="K19" s="2">
        <f t="shared" si="7"/>
        <v>376744.4646816575</v>
      </c>
      <c r="L19" s="21"/>
      <c r="M19" s="16"/>
    </row>
    <row r="20" spans="1:13">
      <c r="A20" s="16">
        <f t="shared" si="1"/>
        <v>2032</v>
      </c>
      <c r="B20" s="18">
        <f>SUM(F173:F184)+$K$2*12</f>
        <v>42705.02042924428</v>
      </c>
      <c r="C20" s="18">
        <f>H174*12+$L$2</f>
        <v>7276.1854800789151</v>
      </c>
      <c r="D20">
        <v>16</v>
      </c>
      <c r="E20" s="1">
        <v>43556</v>
      </c>
      <c r="F20" s="2">
        <f t="shared" si="5"/>
        <v>2958.7517024370227</v>
      </c>
      <c r="G20" s="2">
        <f t="shared" si="6"/>
        <v>1708.6132762320472</v>
      </c>
      <c r="H20" s="2">
        <f t="shared" si="2"/>
        <v>1250.1384262049755</v>
      </c>
      <c r="I20" s="15">
        <f t="shared" si="0"/>
        <v>0</v>
      </c>
      <c r="J20" s="2">
        <f t="shared" si="3"/>
        <v>20672.941824252972</v>
      </c>
      <c r="K20" s="2">
        <f t="shared" si="7"/>
        <v>375041.52786149265</v>
      </c>
      <c r="L20" s="21"/>
      <c r="M20" s="16"/>
    </row>
    <row r="21" spans="1:13">
      <c r="A21" s="16">
        <f t="shared" si="1"/>
        <v>2033</v>
      </c>
      <c r="B21" s="18">
        <f>SUM(F185:F196)+$K$2*12</f>
        <v>7200.0000000145101</v>
      </c>
      <c r="C21" s="18">
        <f>H186*12+$L$2</f>
        <v>6000</v>
      </c>
      <c r="D21">
        <v>17</v>
      </c>
      <c r="E21" s="1">
        <v>43586</v>
      </c>
      <c r="F21" s="2">
        <f t="shared" si="5"/>
        <v>2958.7517024370227</v>
      </c>
      <c r="G21" s="2">
        <f t="shared" si="6"/>
        <v>1714.3086538194873</v>
      </c>
      <c r="H21" s="2">
        <f t="shared" si="2"/>
        <v>1244.4430486175354</v>
      </c>
      <c r="I21" s="15">
        <f t="shared" si="0"/>
        <v>0</v>
      </c>
      <c r="J21" s="2">
        <f t="shared" si="3"/>
        <v>21917.384872870509</v>
      </c>
      <c r="K21" s="2">
        <f t="shared" si="7"/>
        <v>373332.91458526062</v>
      </c>
      <c r="L21" s="21"/>
      <c r="M21" s="16"/>
    </row>
    <row r="22" spans="1:13">
      <c r="A22" s="16">
        <f t="shared" si="1"/>
        <v>2034</v>
      </c>
      <c r="B22" s="18">
        <f>SUM(F197:F208)+$K$2*12</f>
        <v>7200</v>
      </c>
      <c r="C22" s="18">
        <f>H198*12+$L$2</f>
        <v>6000</v>
      </c>
      <c r="D22">
        <v>18</v>
      </c>
      <c r="E22" s="1">
        <v>43617</v>
      </c>
      <c r="F22" s="2">
        <f t="shared" si="5"/>
        <v>2958.7517024370227</v>
      </c>
      <c r="G22" s="2">
        <f t="shared" si="6"/>
        <v>1720.0230159988855</v>
      </c>
      <c r="H22" s="2">
        <f t="shared" si="2"/>
        <v>1238.7286864381372</v>
      </c>
      <c r="I22" s="15">
        <f t="shared" si="0"/>
        <v>0</v>
      </c>
      <c r="J22" s="2">
        <f t="shared" si="3"/>
        <v>23156.113559308647</v>
      </c>
      <c r="K22" s="2">
        <f t="shared" si="7"/>
        <v>371618.60593144112</v>
      </c>
      <c r="L22" s="21"/>
      <c r="M22" s="16"/>
    </row>
    <row r="23" spans="1:13">
      <c r="A23" s="16">
        <f t="shared" si="1"/>
        <v>2035</v>
      </c>
      <c r="B23" s="18">
        <f>SUM(F209:F220)+$K$2*12</f>
        <v>7200</v>
      </c>
      <c r="C23" s="18">
        <f>H210*12+$L$2</f>
        <v>6000</v>
      </c>
      <c r="D23">
        <v>19</v>
      </c>
      <c r="E23" s="1">
        <v>43647</v>
      </c>
      <c r="F23" s="2">
        <f t="shared" si="5"/>
        <v>2958.7517024370227</v>
      </c>
      <c r="G23" s="2">
        <f t="shared" si="6"/>
        <v>1725.7564260522151</v>
      </c>
      <c r="H23" s="2">
        <f t="shared" si="2"/>
        <v>1232.9952763848075</v>
      </c>
      <c r="I23" s="15">
        <f t="shared" si="0"/>
        <v>0</v>
      </c>
      <c r="J23" s="2">
        <f t="shared" si="3"/>
        <v>24389.108835693456</v>
      </c>
      <c r="K23" s="2">
        <f t="shared" si="7"/>
        <v>369898.58291544224</v>
      </c>
      <c r="L23" s="21"/>
      <c r="M23" s="16"/>
    </row>
    <row r="24" spans="1:13">
      <c r="A24" s="16">
        <f t="shared" si="1"/>
        <v>2036</v>
      </c>
      <c r="B24" s="18">
        <f>SUM(F221:F232)+$K$2*12</f>
        <v>7200</v>
      </c>
      <c r="C24" s="18">
        <f>H222*12+$L$2</f>
        <v>6000</v>
      </c>
      <c r="D24">
        <v>20</v>
      </c>
      <c r="E24" s="1">
        <v>43678</v>
      </c>
      <c r="F24" s="2">
        <f t="shared" si="5"/>
        <v>2958.7517024370227</v>
      </c>
      <c r="G24" s="2">
        <f t="shared" si="6"/>
        <v>1731.5089474723891</v>
      </c>
      <c r="H24" s="2">
        <f t="shared" si="2"/>
        <v>1227.2427549646336</v>
      </c>
      <c r="I24" s="15">
        <f t="shared" si="0"/>
        <v>0</v>
      </c>
      <c r="J24" s="2">
        <f t="shared" si="3"/>
        <v>25616.351590658091</v>
      </c>
      <c r="K24" s="2">
        <f t="shared" si="7"/>
        <v>368172.82648939005</v>
      </c>
      <c r="L24" s="21"/>
      <c r="M24" s="16"/>
    </row>
    <row r="25" spans="1:13">
      <c r="A25" s="16">
        <f t="shared" si="1"/>
        <v>2037</v>
      </c>
      <c r="B25" s="18">
        <f>SUM(F234:F245)+$K$2*12</f>
        <v>7200</v>
      </c>
      <c r="C25" s="18">
        <f>H234*12+$L$2</f>
        <v>6000</v>
      </c>
      <c r="D25">
        <v>21</v>
      </c>
      <c r="E25" s="1">
        <v>43709</v>
      </c>
      <c r="F25" s="2">
        <f t="shared" si="5"/>
        <v>2958.7517024370227</v>
      </c>
      <c r="G25" s="2">
        <f t="shared" si="6"/>
        <v>1737.2806439639637</v>
      </c>
      <c r="H25" s="2">
        <f t="shared" si="2"/>
        <v>1221.471058473059</v>
      </c>
      <c r="I25" s="15">
        <f t="shared" si="0"/>
        <v>0</v>
      </c>
      <c r="J25" s="2">
        <f t="shared" si="3"/>
        <v>26837.822649131151</v>
      </c>
      <c r="K25" s="2">
        <f t="shared" si="7"/>
        <v>366441.31754191767</v>
      </c>
      <c r="L25" s="21"/>
      <c r="M25" s="16"/>
    </row>
    <row r="26" spans="1:13">
      <c r="A26" s="16">
        <f t="shared" si="1"/>
        <v>2038</v>
      </c>
      <c r="B26" s="18">
        <f>SUM(F246:F257)+$K$2*12</f>
        <v>7200</v>
      </c>
      <c r="C26" s="18">
        <f>H246*12+$L$2</f>
        <v>6000</v>
      </c>
      <c r="D26">
        <v>22</v>
      </c>
      <c r="E26" s="1">
        <v>43739</v>
      </c>
      <c r="F26" s="2">
        <f t="shared" si="5"/>
        <v>2958.7517024370227</v>
      </c>
      <c r="G26" s="2">
        <f t="shared" si="6"/>
        <v>1743.0715794438436</v>
      </c>
      <c r="H26" s="2">
        <f t="shared" si="2"/>
        <v>1215.6801229931791</v>
      </c>
      <c r="I26" s="15">
        <f t="shared" si="0"/>
        <v>0</v>
      </c>
      <c r="J26" s="2">
        <f t="shared" si="3"/>
        <v>28053.502772124331</v>
      </c>
      <c r="K26" s="2">
        <f t="shared" si="7"/>
        <v>364704.03689795372</v>
      </c>
      <c r="L26" s="21"/>
      <c r="M26" s="16"/>
    </row>
    <row r="27" spans="1:13">
      <c r="A27" s="16">
        <f t="shared" si="1"/>
        <v>2039</v>
      </c>
      <c r="B27" s="18">
        <f>SUM(F258:F269)+$K$2*12</f>
        <v>7200</v>
      </c>
      <c r="C27" s="18">
        <f>H258*12+$L$2</f>
        <v>6000</v>
      </c>
      <c r="D27">
        <v>23</v>
      </c>
      <c r="E27" s="1">
        <v>43770</v>
      </c>
      <c r="F27" s="2">
        <f t="shared" si="5"/>
        <v>2958.7517024370227</v>
      </c>
      <c r="G27" s="2">
        <f t="shared" si="6"/>
        <v>1748.8818180419896</v>
      </c>
      <c r="H27" s="2">
        <f t="shared" si="2"/>
        <v>1209.8698843950331</v>
      </c>
      <c r="I27" s="15">
        <f t="shared" si="0"/>
        <v>0</v>
      </c>
      <c r="J27" s="2">
        <f t="shared" si="3"/>
        <v>29263.372656519365</v>
      </c>
      <c r="K27" s="2">
        <f t="shared" si="7"/>
        <v>362960.9653185099</v>
      </c>
      <c r="L27" s="21"/>
      <c r="M27" s="16"/>
    </row>
    <row r="28" spans="1:13">
      <c r="A28" s="16">
        <f t="shared" si="1"/>
        <v>2040</v>
      </c>
      <c r="B28" s="18">
        <f>SUM(F270:F281)+$K$2*12</f>
        <v>7200</v>
      </c>
      <c r="C28" s="18">
        <f>H270*12+$L$2</f>
        <v>6000</v>
      </c>
      <c r="D28">
        <v>24</v>
      </c>
      <c r="E28" s="1">
        <v>43800</v>
      </c>
      <c r="F28" s="2">
        <f t="shared" si="5"/>
        <v>2958.7517024370227</v>
      </c>
      <c r="G28" s="2">
        <f t="shared" si="6"/>
        <v>1754.7114241021295</v>
      </c>
      <c r="H28" s="2">
        <f t="shared" si="2"/>
        <v>1204.0402783348932</v>
      </c>
      <c r="I28" s="15">
        <f t="shared" si="0"/>
        <v>0</v>
      </c>
      <c r="J28" s="2">
        <f t="shared" si="3"/>
        <v>30467.412934854259</v>
      </c>
      <c r="K28" s="2">
        <f t="shared" si="7"/>
        <v>361212.08350046794</v>
      </c>
      <c r="L28" s="21"/>
      <c r="M28" s="16"/>
    </row>
    <row r="29" spans="1:13">
      <c r="A29" s="16">
        <f t="shared" si="1"/>
        <v>2041</v>
      </c>
      <c r="B29" s="18">
        <f>SUM(F282:F293)+$K$2*12</f>
        <v>7200</v>
      </c>
      <c r="C29" s="18">
        <f>H282*12+$L$2</f>
        <v>6000</v>
      </c>
      <c r="D29">
        <v>25</v>
      </c>
      <c r="E29" s="1">
        <v>43831</v>
      </c>
      <c r="F29" s="2">
        <f t="shared" si="5"/>
        <v>2958.7517024370227</v>
      </c>
      <c r="G29" s="2">
        <f t="shared" si="6"/>
        <v>1760.56046218247</v>
      </c>
      <c r="H29" s="2">
        <f t="shared" si="2"/>
        <v>1198.1912402545527</v>
      </c>
      <c r="I29" s="15">
        <f t="shared" si="0"/>
        <v>0</v>
      </c>
      <c r="J29" s="2">
        <f t="shared" si="3"/>
        <v>31665.604175108812</v>
      </c>
      <c r="K29" s="2">
        <f t="shared" si="7"/>
        <v>359457.37207636581</v>
      </c>
      <c r="L29" s="21"/>
      <c r="M29" s="16"/>
    </row>
    <row r="30" spans="1:13">
      <c r="A30" s="16">
        <f t="shared" si="1"/>
        <v>2042</v>
      </c>
      <c r="B30" s="18">
        <f>SUM(F294:F305)+$K$2*12</f>
        <v>7200</v>
      </c>
      <c r="C30" s="18">
        <f>H294*12+$L$2</f>
        <v>6000</v>
      </c>
      <c r="D30">
        <v>26</v>
      </c>
      <c r="E30" s="1">
        <v>43862</v>
      </c>
      <c r="F30" s="2">
        <f t="shared" si="5"/>
        <v>2958.7517024370227</v>
      </c>
      <c r="G30" s="2">
        <f t="shared" si="6"/>
        <v>1766.4289970564114</v>
      </c>
      <c r="H30" s="2">
        <f t="shared" si="2"/>
        <v>1192.3227053806113</v>
      </c>
      <c r="I30" s="15">
        <f t="shared" si="0"/>
        <v>0</v>
      </c>
      <c r="J30" s="2">
        <f t="shared" si="3"/>
        <v>32857.926880489424</v>
      </c>
      <c r="K30" s="2">
        <f t="shared" si="7"/>
        <v>357696.81161418336</v>
      </c>
      <c r="L30" s="21"/>
      <c r="M30" s="16"/>
    </row>
    <row r="31" spans="1:13">
      <c r="A31" s="16">
        <f t="shared" si="1"/>
        <v>2043</v>
      </c>
      <c r="B31" s="18">
        <f>SUM(F306:F317)+$K$2*12</f>
        <v>7200</v>
      </c>
      <c r="C31" s="18">
        <f>H306*12+$L$2</f>
        <v>6000</v>
      </c>
      <c r="D31">
        <v>27</v>
      </c>
      <c r="E31" s="1">
        <v>43891</v>
      </c>
      <c r="F31" s="2">
        <f t="shared" si="5"/>
        <v>2958.7517024370227</v>
      </c>
      <c r="G31" s="2">
        <f t="shared" si="6"/>
        <v>1772.3170937132661</v>
      </c>
      <c r="H31" s="2">
        <f t="shared" si="2"/>
        <v>1186.4346087237566</v>
      </c>
      <c r="I31" s="15">
        <f t="shared" si="0"/>
        <v>0</v>
      </c>
      <c r="J31" s="2">
        <f t="shared" si="3"/>
        <v>34044.361489213181</v>
      </c>
      <c r="K31" s="2">
        <f t="shared" si="7"/>
        <v>355930.38261712698</v>
      </c>
      <c r="L31" s="21"/>
      <c r="M31" s="16"/>
    </row>
    <row r="32" spans="1:13">
      <c r="A32" s="16">
        <f t="shared" si="1"/>
        <v>2044</v>
      </c>
      <c r="B32" s="18">
        <f>SUM(F318:F329)+$K$2*12</f>
        <v>7200</v>
      </c>
      <c r="C32" s="18">
        <f>H318*12+$L$2</f>
        <v>6000</v>
      </c>
      <c r="D32">
        <v>28</v>
      </c>
      <c r="E32" s="1">
        <v>43922</v>
      </c>
      <c r="F32" s="2">
        <f t="shared" si="5"/>
        <v>2958.7517024370227</v>
      </c>
      <c r="G32" s="2">
        <f t="shared" si="6"/>
        <v>1778.2248173589769</v>
      </c>
      <c r="H32" s="2">
        <f t="shared" si="2"/>
        <v>1180.5268850780458</v>
      </c>
      <c r="I32" s="15">
        <f t="shared" si="0"/>
        <v>0</v>
      </c>
      <c r="J32" s="2">
        <f t="shared" si="3"/>
        <v>35224.888374291229</v>
      </c>
      <c r="K32" s="2">
        <f t="shared" si="7"/>
        <v>354158.06552341371</v>
      </c>
      <c r="L32" s="21"/>
      <c r="M32" s="16"/>
    </row>
    <row r="33" spans="1:13">
      <c r="A33" s="16">
        <f t="shared" si="1"/>
        <v>2045</v>
      </c>
      <c r="B33" s="18">
        <f>SUM(F330:F341)+$K$2*12</f>
        <v>7200</v>
      </c>
      <c r="C33" s="18">
        <f>H330*12+$L$2</f>
        <v>6000</v>
      </c>
      <c r="D33">
        <v>29</v>
      </c>
      <c r="E33" s="1">
        <v>43952</v>
      </c>
      <c r="F33" s="2">
        <f t="shared" si="5"/>
        <v>2958.7517024370227</v>
      </c>
      <c r="G33" s="2">
        <f t="shared" si="6"/>
        <v>1784.1522334168403</v>
      </c>
      <c r="H33" s="2">
        <f t="shared" si="2"/>
        <v>1174.5994690201824</v>
      </c>
      <c r="I33" s="15">
        <f t="shared" si="0"/>
        <v>0</v>
      </c>
      <c r="J33" s="2">
        <f t="shared" si="3"/>
        <v>36399.487843311414</v>
      </c>
      <c r="K33" s="2">
        <f t="shared" si="7"/>
        <v>352379.8407060547</v>
      </c>
      <c r="L33" s="21"/>
      <c r="M33" s="16"/>
    </row>
    <row r="34" spans="1:13">
      <c r="A34" s="16">
        <f t="shared" si="1"/>
        <v>2046</v>
      </c>
      <c r="B34" s="18">
        <f>SUM(F342:F353)+$K$2*12</f>
        <v>7200</v>
      </c>
      <c r="C34" s="18">
        <f>H342*12+$L$2</f>
        <v>6000</v>
      </c>
      <c r="D34">
        <v>30</v>
      </c>
      <c r="E34" s="1">
        <v>43983</v>
      </c>
      <c r="F34" s="2">
        <f t="shared" si="5"/>
        <v>2958.7517024370227</v>
      </c>
      <c r="G34" s="2">
        <f t="shared" si="6"/>
        <v>1790.0994075282297</v>
      </c>
      <c r="H34" s="2">
        <f t="shared" si="2"/>
        <v>1168.652294908793</v>
      </c>
      <c r="I34" s="15">
        <f t="shared" si="0"/>
        <v>0</v>
      </c>
      <c r="J34" s="2">
        <f t="shared" si="3"/>
        <v>37568.140138220209</v>
      </c>
      <c r="K34" s="2">
        <f t="shared" si="7"/>
        <v>350595.68847263785</v>
      </c>
      <c r="L34" s="21"/>
      <c r="M34" s="16"/>
    </row>
    <row r="35" spans="1:13">
      <c r="A35" s="16">
        <f t="shared" si="1"/>
        <v>2047</v>
      </c>
      <c r="B35" s="18">
        <f>SUM(F354:F365)+$K$2*12</f>
        <v>7200</v>
      </c>
      <c r="C35" s="18">
        <f>H356*12+$L$2</f>
        <v>6000</v>
      </c>
      <c r="D35">
        <v>31</v>
      </c>
      <c r="E35" s="1">
        <v>44013</v>
      </c>
      <c r="F35" s="2">
        <f t="shared" si="5"/>
        <v>2958.7517024370227</v>
      </c>
      <c r="G35" s="2">
        <f t="shared" si="6"/>
        <v>1796.0664055533239</v>
      </c>
      <c r="H35" s="2">
        <f t="shared" si="2"/>
        <v>1162.6852968836988</v>
      </c>
      <c r="I35" s="15">
        <f t="shared" si="0"/>
        <v>0</v>
      </c>
      <c r="J35" s="2">
        <f t="shared" si="3"/>
        <v>38730.825435103907</v>
      </c>
      <c r="K35" s="2">
        <f t="shared" si="7"/>
        <v>348805.58906510961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7200</v>
      </c>
      <c r="C36" s="18">
        <f t="shared" ref="C36:C44" si="9">H357*12+$L$2</f>
        <v>6000</v>
      </c>
      <c r="D36">
        <v>32</v>
      </c>
      <c r="E36" s="1">
        <v>44044</v>
      </c>
      <c r="F36" s="2">
        <f t="shared" si="5"/>
        <v>2958.7517024370227</v>
      </c>
      <c r="G36" s="2">
        <f t="shared" si="6"/>
        <v>1802.053293571835</v>
      </c>
      <c r="H36" s="2">
        <f t="shared" si="2"/>
        <v>1156.6984088651877</v>
      </c>
      <c r="I36" s="15">
        <f t="shared" si="0"/>
        <v>0</v>
      </c>
      <c r="J36" s="2">
        <f t="shared" si="3"/>
        <v>39887.523843969095</v>
      </c>
      <c r="K36" s="2">
        <f t="shared" si="7"/>
        <v>347009.5226595563</v>
      </c>
    </row>
    <row r="37" spans="1:13">
      <c r="A37" s="16">
        <f t="shared" si="1"/>
        <v>2049</v>
      </c>
      <c r="B37" s="18">
        <f t="shared" si="8"/>
        <v>7200</v>
      </c>
      <c r="C37" s="18">
        <f t="shared" si="9"/>
        <v>6000</v>
      </c>
      <c r="D37">
        <v>33</v>
      </c>
      <c r="E37" s="1">
        <v>44075</v>
      </c>
      <c r="F37" s="2">
        <f t="shared" si="5"/>
        <v>2958.7517024370227</v>
      </c>
      <c r="G37" s="2">
        <f t="shared" si="6"/>
        <v>1808.0601378837409</v>
      </c>
      <c r="H37" s="2">
        <f t="shared" si="2"/>
        <v>1150.6915645532818</v>
      </c>
      <c r="I37" s="15">
        <f t="shared" si="0"/>
        <v>0</v>
      </c>
      <c r="J37" s="2">
        <f t="shared" si="3"/>
        <v>41038.215408522374</v>
      </c>
      <c r="K37" s="2">
        <f t="shared" si="7"/>
        <v>345207.46936598449</v>
      </c>
    </row>
    <row r="38" spans="1:13">
      <c r="A38" s="16">
        <f t="shared" si="1"/>
        <v>2050</v>
      </c>
      <c r="B38" s="18">
        <f t="shared" si="8"/>
        <v>7200</v>
      </c>
      <c r="C38" s="18">
        <f t="shared" si="9"/>
        <v>6000</v>
      </c>
      <c r="D38">
        <v>34</v>
      </c>
      <c r="E38" s="1">
        <v>44105</v>
      </c>
      <c r="F38" s="2">
        <f t="shared" si="5"/>
        <v>2958.7517024370227</v>
      </c>
      <c r="G38" s="2">
        <f t="shared" si="6"/>
        <v>1814.0870050100202</v>
      </c>
      <c r="H38" s="2">
        <f t="shared" si="2"/>
        <v>1144.6646974270025</v>
      </c>
      <c r="I38" s="15">
        <f t="shared" si="0"/>
        <v>0</v>
      </c>
      <c r="J38" s="2">
        <f t="shared" si="3"/>
        <v>42182.880105949378</v>
      </c>
      <c r="K38" s="2">
        <f t="shared" si="7"/>
        <v>343399.40922810073</v>
      </c>
    </row>
    <row r="39" spans="1:13">
      <c r="A39" s="16">
        <f t="shared" si="1"/>
        <v>2051</v>
      </c>
      <c r="B39" s="18">
        <f t="shared" si="8"/>
        <v>7200</v>
      </c>
      <c r="C39" s="18">
        <f t="shared" si="9"/>
        <v>6000</v>
      </c>
      <c r="D39">
        <v>35</v>
      </c>
      <c r="E39" s="1">
        <v>44136</v>
      </c>
      <c r="F39" s="2">
        <f t="shared" si="5"/>
        <v>2958.7517024370227</v>
      </c>
      <c r="G39" s="2">
        <f t="shared" si="6"/>
        <v>1820.1339616933869</v>
      </c>
      <c r="H39" s="2">
        <f t="shared" si="2"/>
        <v>1138.6177407436357</v>
      </c>
      <c r="I39" s="15">
        <f t="shared" si="0"/>
        <v>0</v>
      </c>
      <c r="J39" s="2">
        <f t="shared" si="3"/>
        <v>43321.497846693012</v>
      </c>
      <c r="K39" s="2">
        <f t="shared" si="7"/>
        <v>341585.32222309068</v>
      </c>
    </row>
    <row r="40" spans="1:13">
      <c r="A40" s="16">
        <f t="shared" si="1"/>
        <v>2052</v>
      </c>
      <c r="B40" s="18">
        <f t="shared" si="8"/>
        <v>7200</v>
      </c>
      <c r="C40" s="18">
        <f t="shared" si="9"/>
        <v>6000</v>
      </c>
      <c r="D40">
        <v>36</v>
      </c>
      <c r="E40" s="1">
        <v>44166</v>
      </c>
      <c r="F40" s="2">
        <f t="shared" si="5"/>
        <v>2958.7517024370227</v>
      </c>
      <c r="G40" s="2">
        <f t="shared" si="6"/>
        <v>1826.2010748990317</v>
      </c>
      <c r="H40" s="2">
        <f t="shared" si="2"/>
        <v>1132.550627537991</v>
      </c>
      <c r="I40" s="15">
        <f t="shared" si="0"/>
        <v>0</v>
      </c>
      <c r="J40" s="2">
        <f t="shared" si="3"/>
        <v>44454.048474231</v>
      </c>
      <c r="K40" s="2">
        <f t="shared" si="7"/>
        <v>339765.1882613973</v>
      </c>
    </row>
    <row r="41" spans="1:13">
      <c r="A41" s="16">
        <f t="shared" si="1"/>
        <v>2053</v>
      </c>
      <c r="B41" s="18">
        <f t="shared" si="8"/>
        <v>7200</v>
      </c>
      <c r="C41" s="18">
        <f t="shared" si="9"/>
        <v>6000</v>
      </c>
      <c r="D41">
        <v>37</v>
      </c>
      <c r="E41" s="1">
        <v>44197</v>
      </c>
      <c r="F41" s="2">
        <f t="shared" si="5"/>
        <v>2958.7517024370227</v>
      </c>
      <c r="G41" s="2">
        <f t="shared" si="6"/>
        <v>1832.2884118153618</v>
      </c>
      <c r="H41" s="2">
        <f t="shared" si="2"/>
        <v>1126.4632906216609</v>
      </c>
      <c r="I41" s="15">
        <f t="shared" si="0"/>
        <v>0</v>
      </c>
      <c r="J41" s="2">
        <f t="shared" si="3"/>
        <v>45580.511764852658</v>
      </c>
      <c r="K41" s="2">
        <f t="shared" si="7"/>
        <v>337938.98718649824</v>
      </c>
    </row>
    <row r="42" spans="1:13">
      <c r="A42" s="16">
        <f t="shared" si="1"/>
        <v>2054</v>
      </c>
      <c r="B42" s="18">
        <f t="shared" si="8"/>
        <v>7200</v>
      </c>
      <c r="C42" s="18">
        <f t="shared" si="9"/>
        <v>6000</v>
      </c>
      <c r="D42">
        <v>38</v>
      </c>
      <c r="E42" s="1">
        <v>44228</v>
      </c>
      <c r="F42" s="2">
        <f t="shared" si="5"/>
        <v>2958.7517024370227</v>
      </c>
      <c r="G42" s="2">
        <f t="shared" si="6"/>
        <v>1838.3960398547463</v>
      </c>
      <c r="H42" s="2">
        <f t="shared" si="2"/>
        <v>1120.3556625822764</v>
      </c>
      <c r="I42" s="15">
        <f t="shared" si="0"/>
        <v>0</v>
      </c>
      <c r="J42" s="2">
        <f t="shared" si="3"/>
        <v>46700.867427434932</v>
      </c>
      <c r="K42" s="2">
        <f t="shared" si="7"/>
        <v>336106.69877468288</v>
      </c>
    </row>
    <row r="43" spans="1:13">
      <c r="A43" s="16">
        <f t="shared" si="1"/>
        <v>2055</v>
      </c>
      <c r="B43" s="18">
        <f t="shared" si="8"/>
        <v>7200</v>
      </c>
      <c r="C43" s="18">
        <f t="shared" si="9"/>
        <v>6000</v>
      </c>
      <c r="D43">
        <v>39</v>
      </c>
      <c r="E43" s="1">
        <v>44256</v>
      </c>
      <c r="F43" s="2">
        <f t="shared" si="5"/>
        <v>2958.7517024370227</v>
      </c>
      <c r="G43" s="2">
        <f t="shared" si="6"/>
        <v>1844.5240266542621</v>
      </c>
      <c r="H43" s="2">
        <f t="shared" si="2"/>
        <v>1114.2276757827606</v>
      </c>
      <c r="I43" s="15">
        <f t="shared" si="0"/>
        <v>0</v>
      </c>
      <c r="J43" s="2">
        <f t="shared" si="3"/>
        <v>47815.095103217696</v>
      </c>
      <c r="K43" s="2">
        <f t="shared" si="7"/>
        <v>334268.30273482815</v>
      </c>
    </row>
    <row r="44" spans="1:13">
      <c r="A44" s="16">
        <f t="shared" si="1"/>
        <v>2056</v>
      </c>
      <c r="B44" s="18">
        <f t="shared" si="8"/>
        <v>7200</v>
      </c>
      <c r="C44" s="18">
        <f t="shared" si="9"/>
        <v>6000</v>
      </c>
      <c r="D44">
        <v>40</v>
      </c>
      <c r="E44" s="1">
        <v>44287</v>
      </c>
      <c r="F44" s="2">
        <f t="shared" si="5"/>
        <v>2958.7517024370227</v>
      </c>
      <c r="G44" s="2">
        <f t="shared" si="6"/>
        <v>1850.6724400764431</v>
      </c>
      <c r="H44" s="2">
        <f t="shared" si="2"/>
        <v>1108.0792623605796</v>
      </c>
      <c r="I44" s="15">
        <f t="shared" si="0"/>
        <v>0</v>
      </c>
      <c r="J44" s="2">
        <f t="shared" si="3"/>
        <v>48923.174365578278</v>
      </c>
      <c r="K44" s="2">
        <f t="shared" si="7"/>
        <v>332423.77870817389</v>
      </c>
    </row>
    <row r="45" spans="1:13">
      <c r="A45" s="16">
        <f t="shared" si="1"/>
        <v>2057</v>
      </c>
      <c r="B45" s="18">
        <f>SUM(F364:F375)+$K$2*12</f>
        <v>7200</v>
      </c>
      <c r="C45" s="18">
        <f>H366*12+$L$2</f>
        <v>6000</v>
      </c>
      <c r="D45">
        <v>41</v>
      </c>
      <c r="E45" s="1">
        <v>44317</v>
      </c>
      <c r="F45" s="2">
        <f t="shared" si="5"/>
        <v>2958.7517024370227</v>
      </c>
      <c r="G45" s="2">
        <f t="shared" si="6"/>
        <v>1856.8413482100311</v>
      </c>
      <c r="H45" s="2">
        <f t="shared" si="2"/>
        <v>1101.9103542269916</v>
      </c>
      <c r="I45" s="15">
        <f t="shared" si="0"/>
        <v>0</v>
      </c>
      <c r="J45" s="2">
        <f t="shared" si="3"/>
        <v>50025.084719805272</v>
      </c>
      <c r="K45" s="2">
        <f t="shared" si="7"/>
        <v>330573.10626809747</v>
      </c>
    </row>
    <row r="46" spans="1:13">
      <c r="B46" s="18"/>
      <c r="C46" s="18"/>
      <c r="D46">
        <v>42</v>
      </c>
      <c r="E46" s="1">
        <v>44348</v>
      </c>
      <c r="F46" s="2">
        <f t="shared" si="5"/>
        <v>2958.7517024370227</v>
      </c>
      <c r="G46" s="2">
        <f t="shared" si="6"/>
        <v>1863.0308193707313</v>
      </c>
      <c r="H46" s="2">
        <f t="shared" si="2"/>
        <v>1095.7208830662914</v>
      </c>
      <c r="I46" s="15">
        <f t="shared" si="0"/>
        <v>0</v>
      </c>
      <c r="J46" s="2">
        <f t="shared" si="3"/>
        <v>51120.805602871565</v>
      </c>
      <c r="K46" s="2">
        <f t="shared" si="7"/>
        <v>328716.26491988741</v>
      </c>
    </row>
    <row r="47" spans="1:13">
      <c r="B47" s="18"/>
      <c r="C47" s="18"/>
      <c r="D47">
        <v>43</v>
      </c>
      <c r="E47" s="1">
        <v>44378</v>
      </c>
      <c r="F47" s="2">
        <f t="shared" si="5"/>
        <v>2958.7517024370227</v>
      </c>
      <c r="G47" s="2">
        <f t="shared" si="6"/>
        <v>1869.2409221019668</v>
      </c>
      <c r="H47" s="2">
        <f t="shared" si="2"/>
        <v>1089.5107803350559</v>
      </c>
      <c r="I47" s="15">
        <f t="shared" si="0"/>
        <v>0</v>
      </c>
      <c r="J47" s="2">
        <f t="shared" si="3"/>
        <v>52210.31638320662</v>
      </c>
      <c r="K47" s="2">
        <f t="shared" si="7"/>
        <v>326853.23410051671</v>
      </c>
    </row>
    <row r="48" spans="1:13">
      <c r="B48" s="18"/>
      <c r="C48" s="18"/>
      <c r="D48">
        <v>44</v>
      </c>
      <c r="E48" s="1">
        <v>44409</v>
      </c>
      <c r="F48" s="2">
        <f t="shared" si="5"/>
        <v>2958.7517024370227</v>
      </c>
      <c r="G48" s="2">
        <f t="shared" si="6"/>
        <v>1875.4717251756401</v>
      </c>
      <c r="H48" s="2">
        <f t="shared" si="2"/>
        <v>1083.2799772613826</v>
      </c>
      <c r="I48" s="15">
        <f t="shared" si="0"/>
        <v>0</v>
      </c>
      <c r="J48" s="2">
        <f t="shared" si="3"/>
        <v>53293.596360468</v>
      </c>
      <c r="K48" s="2">
        <f t="shared" si="7"/>
        <v>324983.99317841476</v>
      </c>
    </row>
    <row r="49" spans="2:11">
      <c r="B49" s="18"/>
      <c r="C49" s="18"/>
      <c r="D49">
        <v>45</v>
      </c>
      <c r="E49" s="1">
        <v>44440</v>
      </c>
      <c r="F49" s="2">
        <f t="shared" si="5"/>
        <v>2958.7517024370227</v>
      </c>
      <c r="G49" s="2">
        <f t="shared" si="6"/>
        <v>1881.7232975928921</v>
      </c>
      <c r="H49" s="2">
        <f t="shared" si="2"/>
        <v>1077.0284048441306</v>
      </c>
      <c r="I49" s="15">
        <f t="shared" si="0"/>
        <v>0</v>
      </c>
      <c r="J49" s="2">
        <f t="shared" si="3"/>
        <v>54370.624765312132</v>
      </c>
      <c r="K49" s="2">
        <f t="shared" si="7"/>
        <v>323108.52145323914</v>
      </c>
    </row>
    <row r="50" spans="2:11">
      <c r="B50" s="18"/>
      <c r="C50" s="18"/>
      <c r="D50">
        <v>46</v>
      </c>
      <c r="E50" s="1">
        <v>44470</v>
      </c>
      <c r="F50" s="2">
        <f t="shared" si="5"/>
        <v>2958.7517024370227</v>
      </c>
      <c r="G50" s="2">
        <f t="shared" si="6"/>
        <v>1887.9957085848685</v>
      </c>
      <c r="H50" s="2">
        <f t="shared" si="2"/>
        <v>1070.7559938521542</v>
      </c>
      <c r="I50" s="15">
        <f t="shared" si="0"/>
        <v>0</v>
      </c>
      <c r="J50" s="2">
        <f t="shared" si="3"/>
        <v>55441.380759164284</v>
      </c>
      <c r="K50" s="2">
        <f t="shared" si="7"/>
        <v>321226.79815564625</v>
      </c>
    </row>
    <row r="51" spans="2:11">
      <c r="B51" s="18"/>
      <c r="C51" s="18"/>
      <c r="D51">
        <v>47</v>
      </c>
      <c r="E51" s="1">
        <v>44501</v>
      </c>
      <c r="F51" s="2">
        <f t="shared" si="5"/>
        <v>2958.7517024370227</v>
      </c>
      <c r="G51" s="2">
        <f t="shared" si="6"/>
        <v>1894.2890276134847</v>
      </c>
      <c r="H51" s="2">
        <f t="shared" si="2"/>
        <v>1064.462674823538</v>
      </c>
      <c r="I51" s="15">
        <f t="shared" si="0"/>
        <v>0</v>
      </c>
      <c r="J51" s="2">
        <f t="shared" si="3"/>
        <v>56505.843433987822</v>
      </c>
      <c r="K51" s="2">
        <f t="shared" si="7"/>
        <v>319338.8024470614</v>
      </c>
    </row>
    <row r="52" spans="2:11">
      <c r="B52" s="18"/>
      <c r="C52" s="18"/>
      <c r="D52">
        <v>48</v>
      </c>
      <c r="E52" s="1">
        <v>44531</v>
      </c>
      <c r="F52" s="2">
        <f t="shared" si="5"/>
        <v>2958.7517024370227</v>
      </c>
      <c r="G52" s="2">
        <f t="shared" si="6"/>
        <v>1900.6033243721961</v>
      </c>
      <c r="H52" s="2">
        <f t="shared" si="2"/>
        <v>1058.1483780648266</v>
      </c>
      <c r="I52" s="15">
        <f t="shared" si="0"/>
        <v>0</v>
      </c>
      <c r="J52" s="2">
        <f t="shared" si="3"/>
        <v>57563.991812052649</v>
      </c>
      <c r="K52" s="2">
        <f t="shared" si="7"/>
        <v>317444.51341944793</v>
      </c>
    </row>
    <row r="53" spans="2:11">
      <c r="B53" s="18"/>
      <c r="C53" s="18"/>
      <c r="D53">
        <v>49</v>
      </c>
      <c r="E53" s="1">
        <v>44562</v>
      </c>
      <c r="F53" s="2">
        <f t="shared" si="5"/>
        <v>2958.7517024370227</v>
      </c>
      <c r="G53" s="2">
        <f t="shared" si="6"/>
        <v>1906.9386687867702</v>
      </c>
      <c r="H53" s="2">
        <f t="shared" si="2"/>
        <v>1051.8130336502525</v>
      </c>
      <c r="I53" s="15">
        <f t="shared" si="0"/>
        <v>0</v>
      </c>
      <c r="J53" s="2">
        <f t="shared" si="3"/>
        <v>58615.8048457029</v>
      </c>
      <c r="K53" s="2">
        <f t="shared" si="7"/>
        <v>315543.91009507573</v>
      </c>
    </row>
    <row r="54" spans="2:11">
      <c r="B54" s="18"/>
      <c r="C54" s="18"/>
      <c r="D54">
        <v>50</v>
      </c>
      <c r="E54" s="1">
        <v>44593</v>
      </c>
      <c r="F54" s="2">
        <f t="shared" si="5"/>
        <v>2958.7517024370227</v>
      </c>
      <c r="G54" s="2">
        <f t="shared" si="6"/>
        <v>1913.2951310160595</v>
      </c>
      <c r="H54" s="2">
        <f t="shared" si="2"/>
        <v>1045.4565714209632</v>
      </c>
      <c r="I54" s="15">
        <f t="shared" si="0"/>
        <v>0</v>
      </c>
      <c r="J54" s="2">
        <f t="shared" si="3"/>
        <v>59661.26141712386</v>
      </c>
      <c r="K54" s="2">
        <f t="shared" si="7"/>
        <v>313636.97142628895</v>
      </c>
    </row>
    <row r="55" spans="2:11">
      <c r="B55" s="18"/>
      <c r="C55" s="18"/>
      <c r="D55">
        <v>51</v>
      </c>
      <c r="E55" s="1">
        <v>44621</v>
      </c>
      <c r="F55" s="2">
        <f t="shared" si="5"/>
        <v>2958.7517024370227</v>
      </c>
      <c r="G55" s="2">
        <f t="shared" si="6"/>
        <v>1919.6727814527796</v>
      </c>
      <c r="H55" s="2">
        <f t="shared" si="2"/>
        <v>1039.078920984243</v>
      </c>
      <c r="I55" s="15">
        <f t="shared" si="0"/>
        <v>0</v>
      </c>
      <c r="J55" s="2">
        <f t="shared" si="3"/>
        <v>60700.340338108101</v>
      </c>
      <c r="K55" s="2">
        <f t="shared" si="7"/>
        <v>311723.67629527289</v>
      </c>
    </row>
    <row r="56" spans="2:11">
      <c r="B56" s="18"/>
      <c r="C56" s="18"/>
      <c r="D56">
        <v>52</v>
      </c>
      <c r="E56" s="1">
        <v>44652</v>
      </c>
      <c r="F56" s="2">
        <f t="shared" si="5"/>
        <v>2958.7517024370227</v>
      </c>
      <c r="G56" s="2">
        <f t="shared" si="6"/>
        <v>1926.0716907242888</v>
      </c>
      <c r="H56" s="2">
        <f t="shared" si="2"/>
        <v>1032.6800117127339</v>
      </c>
      <c r="I56" s="15">
        <f t="shared" si="0"/>
        <v>0</v>
      </c>
      <c r="J56" s="2">
        <f t="shared" si="3"/>
        <v>61733.020349820836</v>
      </c>
      <c r="K56" s="2">
        <f t="shared" si="7"/>
        <v>309804.00351382012</v>
      </c>
    </row>
    <row r="57" spans="2:11">
      <c r="B57" s="18"/>
      <c r="C57" s="18"/>
      <c r="D57">
        <v>53</v>
      </c>
      <c r="E57" s="1">
        <v>44682</v>
      </c>
      <c r="F57" s="2">
        <f t="shared" si="5"/>
        <v>2958.7517024370227</v>
      </c>
      <c r="G57" s="2">
        <f t="shared" si="6"/>
        <v>1932.4919296933699</v>
      </c>
      <c r="H57" s="2">
        <f t="shared" si="2"/>
        <v>1026.2597727436528</v>
      </c>
      <c r="I57" s="15">
        <f t="shared" si="0"/>
        <v>0</v>
      </c>
      <c r="J57" s="2">
        <f t="shared" si="3"/>
        <v>62759.280122564487</v>
      </c>
      <c r="K57" s="2">
        <f t="shared" si="7"/>
        <v>307877.93182309583</v>
      </c>
    </row>
    <row r="58" spans="2:11">
      <c r="B58" s="18"/>
      <c r="C58" s="18"/>
      <c r="D58">
        <v>54</v>
      </c>
      <c r="E58" s="1">
        <v>44713</v>
      </c>
      <c r="F58" s="2">
        <f t="shared" si="5"/>
        <v>2958.7517024370227</v>
      </c>
      <c r="G58" s="2">
        <f t="shared" si="6"/>
        <v>1938.9335694590145</v>
      </c>
      <c r="H58" s="2">
        <f t="shared" si="2"/>
        <v>1019.8181329780082</v>
      </c>
      <c r="I58" s="15">
        <f t="shared" si="0"/>
        <v>0</v>
      </c>
      <c r="J58" s="2">
        <f t="shared" si="3"/>
        <v>63779.098255542493</v>
      </c>
      <c r="K58" s="2">
        <f t="shared" si="7"/>
        <v>305945.43989340245</v>
      </c>
    </row>
    <row r="59" spans="2:11">
      <c r="B59" s="18"/>
      <c r="C59" s="18"/>
      <c r="D59">
        <v>55</v>
      </c>
      <c r="E59" s="1">
        <v>44743</v>
      </c>
      <c r="F59" s="2">
        <f t="shared" si="5"/>
        <v>2958.7517024370227</v>
      </c>
      <c r="G59" s="2">
        <f t="shared" si="6"/>
        <v>1945.396681357211</v>
      </c>
      <c r="H59" s="2">
        <f t="shared" si="2"/>
        <v>1013.3550210798115</v>
      </c>
      <c r="I59" s="15">
        <f t="shared" si="0"/>
        <v>0</v>
      </c>
      <c r="J59" s="2">
        <f t="shared" si="3"/>
        <v>64792.453276622306</v>
      </c>
      <c r="K59" s="2">
        <f t="shared" si="7"/>
        <v>304006.50632394344</v>
      </c>
    </row>
    <row r="60" spans="2:11">
      <c r="B60" s="18"/>
      <c r="C60" s="18"/>
      <c r="D60">
        <v>56</v>
      </c>
      <c r="E60" s="1">
        <v>44774</v>
      </c>
      <c r="F60" s="2">
        <f t="shared" si="5"/>
        <v>2958.7517024370227</v>
      </c>
      <c r="G60" s="2">
        <f t="shared" si="6"/>
        <v>1951.8813369617353</v>
      </c>
      <c r="H60" s="2">
        <f t="shared" si="2"/>
        <v>1006.8703654752874</v>
      </c>
      <c r="I60" s="15">
        <f t="shared" si="0"/>
        <v>0</v>
      </c>
      <c r="J60" s="2">
        <f t="shared" si="3"/>
        <v>65799.323642097588</v>
      </c>
      <c r="K60" s="2">
        <f t="shared" si="7"/>
        <v>302061.10964258621</v>
      </c>
    </row>
    <row r="61" spans="2:11">
      <c r="B61" s="18"/>
      <c r="C61" s="18"/>
      <c r="D61">
        <v>57</v>
      </c>
      <c r="E61" s="1">
        <v>44805</v>
      </c>
      <c r="F61" s="2">
        <f t="shared" si="5"/>
        <v>2958.7517024370227</v>
      </c>
      <c r="G61" s="2">
        <f t="shared" si="6"/>
        <v>1958.3876080849411</v>
      </c>
      <c r="H61" s="2">
        <f t="shared" si="2"/>
        <v>1000.3640943520816</v>
      </c>
      <c r="I61" s="15">
        <f t="shared" si="0"/>
        <v>0</v>
      </c>
      <c r="J61" s="2">
        <f t="shared" si="3"/>
        <v>66799.687736449676</v>
      </c>
      <c r="K61" s="2">
        <f t="shared" si="7"/>
        <v>300109.22830562445</v>
      </c>
    </row>
    <row r="62" spans="2:11">
      <c r="B62" s="18"/>
      <c r="C62" s="18"/>
      <c r="D62">
        <v>58</v>
      </c>
      <c r="E62" s="1">
        <v>44835</v>
      </c>
      <c r="F62" s="2">
        <f t="shared" si="5"/>
        <v>2958.7517024370227</v>
      </c>
      <c r="G62" s="2">
        <f t="shared" si="6"/>
        <v>1964.9155667785576</v>
      </c>
      <c r="H62" s="2">
        <f t="shared" si="2"/>
        <v>993.83613565846508</v>
      </c>
      <c r="I62" s="15">
        <f t="shared" si="0"/>
        <v>0</v>
      </c>
      <c r="J62" s="2">
        <f t="shared" si="3"/>
        <v>67793.52387210814</v>
      </c>
      <c r="K62" s="2">
        <f t="shared" si="7"/>
        <v>298150.8406975395</v>
      </c>
    </row>
    <row r="63" spans="2:11">
      <c r="B63" s="18"/>
      <c r="C63" s="18"/>
      <c r="D63">
        <v>59</v>
      </c>
      <c r="E63" s="1">
        <v>44866</v>
      </c>
      <c r="F63" s="2">
        <f t="shared" si="5"/>
        <v>2958.7517024370227</v>
      </c>
      <c r="G63" s="2">
        <f t="shared" si="6"/>
        <v>1971.465285334486</v>
      </c>
      <c r="H63" s="2">
        <f t="shared" si="2"/>
        <v>987.28641710253657</v>
      </c>
      <c r="I63" s="15">
        <f t="shared" si="0"/>
        <v>0</v>
      </c>
      <c r="J63" s="2">
        <f t="shared" si="3"/>
        <v>68780.810289210684</v>
      </c>
      <c r="K63" s="2">
        <f t="shared" si="7"/>
        <v>296185.92513076094</v>
      </c>
    </row>
    <row r="64" spans="2:11">
      <c r="B64" s="18"/>
      <c r="C64" s="18"/>
      <c r="D64">
        <v>60</v>
      </c>
      <c r="E64" s="1">
        <v>44896</v>
      </c>
      <c r="F64" s="2">
        <f t="shared" si="5"/>
        <v>2958.7517024370227</v>
      </c>
      <c r="G64" s="2">
        <f t="shared" si="6"/>
        <v>1978.0368362856011</v>
      </c>
      <c r="H64" s="2">
        <f t="shared" si="2"/>
        <v>980.71486615142146</v>
      </c>
      <c r="I64" s="15">
        <f t="shared" si="0"/>
        <v>0</v>
      </c>
      <c r="J64" s="2">
        <f t="shared" si="3"/>
        <v>69761.525155362106</v>
      </c>
      <c r="K64" s="2">
        <f t="shared" si="7"/>
        <v>294214.45984542643</v>
      </c>
    </row>
    <row r="65" spans="2:11">
      <c r="B65" s="18"/>
      <c r="C65" s="18"/>
      <c r="D65">
        <v>61</v>
      </c>
      <c r="E65" s="1">
        <v>44927</v>
      </c>
      <c r="F65" s="2">
        <f t="shared" si="5"/>
        <v>2958.7517024370227</v>
      </c>
      <c r="G65" s="2">
        <f t="shared" si="6"/>
        <v>1984.6302924065531</v>
      </c>
      <c r="H65" s="2">
        <f t="shared" si="2"/>
        <v>974.12141003046952</v>
      </c>
      <c r="I65" s="15">
        <f t="shared" si="0"/>
        <v>0</v>
      </c>
      <c r="J65" s="2">
        <f t="shared" si="3"/>
        <v>70735.64656539257</v>
      </c>
      <c r="K65" s="2">
        <f t="shared" si="7"/>
        <v>292236.42300914082</v>
      </c>
    </row>
    <row r="66" spans="2:11">
      <c r="B66" s="18"/>
      <c r="C66" s="18"/>
      <c r="D66">
        <v>62</v>
      </c>
      <c r="E66" s="1">
        <v>44958</v>
      </c>
      <c r="F66" s="2">
        <f t="shared" si="5"/>
        <v>2958.7517024370227</v>
      </c>
      <c r="G66" s="2">
        <f t="shared" si="6"/>
        <v>1991.2457267145751</v>
      </c>
      <c r="H66" s="2">
        <f t="shared" si="2"/>
        <v>967.50597572244772</v>
      </c>
      <c r="I66" s="15">
        <f t="shared" si="0"/>
        <v>0</v>
      </c>
      <c r="J66" s="2">
        <f t="shared" si="3"/>
        <v>71703.152541115021</v>
      </c>
      <c r="K66" s="2">
        <f t="shared" si="7"/>
        <v>290251.79271673429</v>
      </c>
    </row>
    <row r="67" spans="2:11">
      <c r="B67" s="18"/>
      <c r="C67" s="18"/>
      <c r="D67">
        <v>63</v>
      </c>
      <c r="E67" s="1">
        <v>44986</v>
      </c>
      <c r="F67" s="2">
        <f t="shared" si="5"/>
        <v>2958.7517024370227</v>
      </c>
      <c r="G67" s="2">
        <f t="shared" si="6"/>
        <v>1997.8832124702901</v>
      </c>
      <c r="H67" s="2">
        <f t="shared" si="2"/>
        <v>960.86848996673257</v>
      </c>
      <c r="I67" s="15">
        <f t="shared" si="0"/>
        <v>0</v>
      </c>
      <c r="J67" s="2">
        <f t="shared" si="3"/>
        <v>72664.021031081749</v>
      </c>
      <c r="K67" s="2">
        <f t="shared" si="7"/>
        <v>288260.54699001973</v>
      </c>
    </row>
    <row r="68" spans="2:11">
      <c r="B68" s="18"/>
      <c r="C68" s="18"/>
      <c r="D68">
        <v>64</v>
      </c>
      <c r="E68" s="1">
        <v>45017</v>
      </c>
      <c r="F68" s="2">
        <f t="shared" si="5"/>
        <v>2958.7517024370227</v>
      </c>
      <c r="G68" s="2">
        <f t="shared" si="6"/>
        <v>2004.5428231785245</v>
      </c>
      <c r="H68" s="2">
        <f t="shared" si="2"/>
        <v>954.20887925849831</v>
      </c>
      <c r="I68" s="15">
        <f t="shared" si="0"/>
        <v>0</v>
      </c>
      <c r="J68" s="2">
        <f t="shared" si="3"/>
        <v>73618.229910340247</v>
      </c>
      <c r="K68" s="2">
        <f t="shared" si="7"/>
        <v>286262.66377754946</v>
      </c>
    </row>
    <row r="69" spans="2:11">
      <c r="B69" s="18"/>
      <c r="C69" s="18"/>
      <c r="D69">
        <v>65</v>
      </c>
      <c r="E69" s="1">
        <v>45047</v>
      </c>
      <c r="F69" s="2">
        <f t="shared" si="5"/>
        <v>2958.7517024370227</v>
      </c>
      <c r="G69" s="2">
        <f t="shared" si="6"/>
        <v>2011.2246325891194</v>
      </c>
      <c r="H69" s="2">
        <f t="shared" si="2"/>
        <v>947.52706984790325</v>
      </c>
      <c r="I69" s="15">
        <f t="shared" ref="I69:I132" si="10">IF(AND(MOD(D69,12)=2, $B$2&gt;0,K69&gt;$B$2),$B$2,IF(K69=0,0,IF(D69&lt;=$B$3,$I$1,0)))</f>
        <v>0</v>
      </c>
      <c r="J69" s="2">
        <f t="shared" si="3"/>
        <v>74565.756980188147</v>
      </c>
      <c r="K69" s="2">
        <f t="shared" si="7"/>
        <v>284258.12095437094</v>
      </c>
    </row>
    <row r="70" spans="2:11">
      <c r="B70" s="18"/>
      <c r="C70" s="18"/>
      <c r="D70">
        <v>66</v>
      </c>
      <c r="E70" s="1">
        <v>45078</v>
      </c>
      <c r="F70" s="2">
        <f t="shared" si="5"/>
        <v>2958.7517024370227</v>
      </c>
      <c r="G70" s="2">
        <f t="shared" si="6"/>
        <v>2017.9287146977499</v>
      </c>
      <c r="H70" s="2">
        <f t="shared" si="2"/>
        <v>940.82298773927266</v>
      </c>
      <c r="I70" s="15">
        <f t="shared" si="10"/>
        <v>0</v>
      </c>
      <c r="J70" s="2">
        <f t="shared" si="3"/>
        <v>75506.579967927421</v>
      </c>
      <c r="K70" s="2">
        <f t="shared" si="7"/>
        <v>282246.89632178179</v>
      </c>
    </row>
    <row r="71" spans="2:11">
      <c r="B71" s="18"/>
      <c r="C71" s="18"/>
      <c r="D71">
        <v>67</v>
      </c>
      <c r="E71" s="1">
        <v>45108</v>
      </c>
      <c r="F71" s="2">
        <f t="shared" si="5"/>
        <v>2958.7517024370227</v>
      </c>
      <c r="G71" s="2">
        <f t="shared" ref="G71:G134" si="11">+F71-H71</f>
        <v>2024.6551437467424</v>
      </c>
      <c r="H71" s="2">
        <f t="shared" si="2"/>
        <v>934.09655869028018</v>
      </c>
      <c r="I71" s="15">
        <f t="shared" si="10"/>
        <v>0</v>
      </c>
      <c r="J71" s="2">
        <f t="shared" si="3"/>
        <v>76440.676526617695</v>
      </c>
      <c r="K71" s="2">
        <f t="shared" si="7"/>
        <v>280228.96760708402</v>
      </c>
    </row>
    <row r="72" spans="2:11">
      <c r="B72" s="18"/>
      <c r="C72" s="18"/>
      <c r="D72">
        <v>68</v>
      </c>
      <c r="E72" s="1">
        <v>45139</v>
      </c>
      <c r="F72" s="2">
        <f t="shared" si="5"/>
        <v>2958.7517024370227</v>
      </c>
      <c r="G72" s="2">
        <f t="shared" si="11"/>
        <v>2031.4039942258983</v>
      </c>
      <c r="H72" s="2">
        <f t="shared" ref="H72:H135" si="12">($G$2/12)*K72</f>
        <v>927.34770821112431</v>
      </c>
      <c r="I72" s="15">
        <f t="shared" si="10"/>
        <v>0</v>
      </c>
      <c r="J72" s="2">
        <f t="shared" ref="J72:J135" si="13">IF(K72=0,0,J71+H72)</f>
        <v>77368.024234828816</v>
      </c>
      <c r="K72" s="2">
        <f t="shared" si="7"/>
        <v>278204.31246333726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2958.7517024370227</v>
      </c>
      <c r="G73" s="2">
        <f t="shared" si="11"/>
        <v>2038.175340873318</v>
      </c>
      <c r="H73" s="2">
        <f t="shared" si="12"/>
        <v>920.57636156370461</v>
      </c>
      <c r="I73" s="15">
        <f t="shared" si="10"/>
        <v>0</v>
      </c>
      <c r="J73" s="2">
        <f t="shared" si="13"/>
        <v>78288.600596392527</v>
      </c>
      <c r="K73" s="2">
        <f t="shared" si="7"/>
        <v>276172.90846911137</v>
      </c>
    </row>
    <row r="74" spans="2:11">
      <c r="B74" s="18"/>
      <c r="C74" s="18"/>
      <c r="D74">
        <v>70</v>
      </c>
      <c r="E74" s="1">
        <v>45200</v>
      </c>
      <c r="F74" s="2">
        <f t="shared" si="14"/>
        <v>2958.7517024370227</v>
      </c>
      <c r="G74" s="2">
        <f t="shared" si="11"/>
        <v>2044.9692586762289</v>
      </c>
      <c r="H74" s="2">
        <f t="shared" si="12"/>
        <v>913.78244376079363</v>
      </c>
      <c r="I74" s="15">
        <f t="shared" si="10"/>
        <v>0</v>
      </c>
      <c r="J74" s="2">
        <f t="shared" si="13"/>
        <v>79202.38304015332</v>
      </c>
      <c r="K74" s="2">
        <f t="shared" ref="K74:K137" si="15">K73-G73</f>
        <v>274134.73312823806</v>
      </c>
    </row>
    <row r="75" spans="2:11">
      <c r="B75" s="18"/>
      <c r="C75" s="18"/>
      <c r="D75">
        <v>71</v>
      </c>
      <c r="E75" s="1">
        <v>45231</v>
      </c>
      <c r="F75" s="2">
        <f t="shared" si="14"/>
        <v>2958.7517024370227</v>
      </c>
      <c r="G75" s="2">
        <f t="shared" si="11"/>
        <v>2051.7858228718164</v>
      </c>
      <c r="H75" s="2">
        <f t="shared" si="12"/>
        <v>906.96587956520614</v>
      </c>
      <c r="I75" s="15">
        <f t="shared" si="10"/>
        <v>0</v>
      </c>
      <c r="J75" s="2">
        <f t="shared" si="13"/>
        <v>80109.348919718526</v>
      </c>
      <c r="K75" s="2">
        <f t="shared" si="15"/>
        <v>272089.76386956184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2958.7517024370227</v>
      </c>
      <c r="G76" s="2">
        <f t="shared" si="11"/>
        <v>2058.6251089480561</v>
      </c>
      <c r="H76" s="2">
        <f t="shared" si="12"/>
        <v>900.12659348896671</v>
      </c>
      <c r="I76" s="15">
        <f t="shared" si="10"/>
        <v>0</v>
      </c>
      <c r="J76" s="2">
        <f t="shared" si="13"/>
        <v>81009.475513207493</v>
      </c>
      <c r="K76" s="2">
        <f t="shared" si="15"/>
        <v>270037.97804669</v>
      </c>
    </row>
    <row r="77" spans="2:11">
      <c r="B77" s="18"/>
      <c r="C77" s="18"/>
      <c r="D77">
        <v>73</v>
      </c>
      <c r="E77" s="1">
        <v>45292</v>
      </c>
      <c r="F77" s="2">
        <f t="shared" si="14"/>
        <v>2958.7517024370227</v>
      </c>
      <c r="G77" s="2">
        <f t="shared" si="11"/>
        <v>2065.4871926445494</v>
      </c>
      <c r="H77" s="2">
        <f t="shared" si="12"/>
        <v>893.26450979247329</v>
      </c>
      <c r="I77" s="15">
        <f t="shared" si="10"/>
        <v>0</v>
      </c>
      <c r="J77" s="2">
        <f t="shared" si="13"/>
        <v>81902.740022999962</v>
      </c>
      <c r="K77" s="2">
        <f t="shared" si="15"/>
        <v>267979.35293774196</v>
      </c>
    </row>
    <row r="78" spans="2:11">
      <c r="B78" s="18"/>
      <c r="C78" s="18"/>
      <c r="D78">
        <v>74</v>
      </c>
      <c r="E78" s="1">
        <v>45323</v>
      </c>
      <c r="F78" s="2">
        <f t="shared" si="14"/>
        <v>2958.7517024370227</v>
      </c>
      <c r="G78" s="2">
        <f t="shared" si="11"/>
        <v>2072.3721499533649</v>
      </c>
      <c r="H78" s="2">
        <f t="shared" si="12"/>
        <v>886.37955248365802</v>
      </c>
      <c r="I78" s="15">
        <f t="shared" si="10"/>
        <v>0</v>
      </c>
      <c r="J78" s="2">
        <f t="shared" si="13"/>
        <v>82789.119575483623</v>
      </c>
      <c r="K78" s="2">
        <f t="shared" si="15"/>
        <v>265913.8657450974</v>
      </c>
    </row>
    <row r="79" spans="2:11">
      <c r="B79" s="18"/>
      <c r="C79" s="18"/>
      <c r="D79">
        <v>75</v>
      </c>
      <c r="E79" s="1">
        <v>45352</v>
      </c>
      <c r="F79" s="2">
        <f t="shared" si="14"/>
        <v>2958.7517024370227</v>
      </c>
      <c r="G79" s="2">
        <f t="shared" si="11"/>
        <v>2079.2800571198759</v>
      </c>
      <c r="H79" s="2">
        <f t="shared" si="12"/>
        <v>879.47164531714679</v>
      </c>
      <c r="I79" s="15">
        <f t="shared" si="10"/>
        <v>0</v>
      </c>
      <c r="J79" s="2">
        <f t="shared" si="13"/>
        <v>83668.591220800765</v>
      </c>
      <c r="K79" s="2">
        <f t="shared" si="15"/>
        <v>263841.49359514401</v>
      </c>
    </row>
    <row r="80" spans="2:11">
      <c r="B80" s="18"/>
      <c r="C80" s="18"/>
      <c r="D80">
        <v>76</v>
      </c>
      <c r="E80" s="1">
        <v>45383</v>
      </c>
      <c r="F80" s="2">
        <f t="shared" si="14"/>
        <v>2958.7517024370227</v>
      </c>
      <c r="G80" s="2">
        <f t="shared" si="11"/>
        <v>2086.210990643609</v>
      </c>
      <c r="H80" s="2">
        <f t="shared" si="12"/>
        <v>872.54071179341383</v>
      </c>
      <c r="I80" s="15">
        <f t="shared" si="10"/>
        <v>0</v>
      </c>
      <c r="J80" s="2">
        <f t="shared" si="13"/>
        <v>84541.131932594173</v>
      </c>
      <c r="K80" s="2">
        <f t="shared" si="15"/>
        <v>261762.21353802414</v>
      </c>
    </row>
    <row r="81" spans="2:11">
      <c r="B81" s="18"/>
      <c r="C81" s="18"/>
      <c r="D81">
        <v>77</v>
      </c>
      <c r="E81" s="1">
        <v>45413</v>
      </c>
      <c r="F81" s="2">
        <f t="shared" si="14"/>
        <v>2958.7517024370227</v>
      </c>
      <c r="G81" s="2">
        <f t="shared" si="11"/>
        <v>2093.1650272790876</v>
      </c>
      <c r="H81" s="2">
        <f t="shared" si="12"/>
        <v>865.58667515793513</v>
      </c>
      <c r="I81" s="15">
        <f t="shared" si="10"/>
        <v>0</v>
      </c>
      <c r="J81" s="2">
        <f t="shared" si="13"/>
        <v>85406.718607752104</v>
      </c>
      <c r="K81" s="2">
        <f t="shared" si="15"/>
        <v>259676.00254738051</v>
      </c>
    </row>
    <row r="82" spans="2:11">
      <c r="B82" s="18"/>
      <c r="C82" s="18"/>
      <c r="D82">
        <v>78</v>
      </c>
      <c r="E82" s="1">
        <v>45444</v>
      </c>
      <c r="F82" s="2">
        <f t="shared" si="14"/>
        <v>2958.7517024370227</v>
      </c>
      <c r="G82" s="2">
        <f t="shared" si="11"/>
        <v>2100.1422440366846</v>
      </c>
      <c r="H82" s="2">
        <f t="shared" si="12"/>
        <v>858.6094584003381</v>
      </c>
      <c r="I82" s="15">
        <f t="shared" si="10"/>
        <v>0</v>
      </c>
      <c r="J82" s="2">
        <f t="shared" si="13"/>
        <v>86265.328066152448</v>
      </c>
      <c r="K82" s="2">
        <f t="shared" si="15"/>
        <v>257582.83752010143</v>
      </c>
    </row>
    <row r="83" spans="2:11">
      <c r="B83" s="18"/>
      <c r="C83" s="18"/>
      <c r="D83">
        <v>79</v>
      </c>
      <c r="E83" s="1">
        <v>45474</v>
      </c>
      <c r="F83" s="2">
        <f t="shared" si="14"/>
        <v>2958.7517024370227</v>
      </c>
      <c r="G83" s="2">
        <f t="shared" si="11"/>
        <v>2107.1427181834733</v>
      </c>
      <c r="H83" s="2">
        <f t="shared" si="12"/>
        <v>851.60898425354924</v>
      </c>
      <c r="I83" s="15">
        <f t="shared" si="10"/>
        <v>0</v>
      </c>
      <c r="J83" s="2">
        <f t="shared" si="13"/>
        <v>87116.937050405992</v>
      </c>
      <c r="K83" s="2">
        <f t="shared" si="15"/>
        <v>255482.69527606474</v>
      </c>
    </row>
    <row r="84" spans="2:11">
      <c r="B84" s="18"/>
      <c r="C84" s="18"/>
      <c r="D84">
        <v>80</v>
      </c>
      <c r="E84" s="1">
        <v>45505</v>
      </c>
      <c r="F84" s="2">
        <f t="shared" si="14"/>
        <v>2958.7517024370227</v>
      </c>
      <c r="G84" s="2">
        <f t="shared" si="11"/>
        <v>2114.166527244085</v>
      </c>
      <c r="H84" s="2">
        <f t="shared" si="12"/>
        <v>844.58517519293764</v>
      </c>
      <c r="I84" s="15">
        <f t="shared" si="10"/>
        <v>0</v>
      </c>
      <c r="J84" s="2">
        <f t="shared" si="13"/>
        <v>87961.522225598936</v>
      </c>
      <c r="K84" s="2">
        <f t="shared" si="15"/>
        <v>253375.55255788128</v>
      </c>
    </row>
    <row r="85" spans="2:11">
      <c r="B85" s="18"/>
      <c r="C85" s="18"/>
      <c r="D85">
        <v>81</v>
      </c>
      <c r="E85" s="1">
        <v>45536</v>
      </c>
      <c r="F85" s="2">
        <f t="shared" si="14"/>
        <v>2958.7517024370227</v>
      </c>
      <c r="G85" s="2">
        <f t="shared" si="11"/>
        <v>2121.2137490015652</v>
      </c>
      <c r="H85" s="2">
        <f t="shared" si="12"/>
        <v>837.53795343545733</v>
      </c>
      <c r="I85" s="15">
        <f t="shared" si="10"/>
        <v>0</v>
      </c>
      <c r="J85" s="2">
        <f t="shared" si="13"/>
        <v>88799.060179034394</v>
      </c>
      <c r="K85" s="2">
        <f t="shared" si="15"/>
        <v>251261.38603063719</v>
      </c>
    </row>
    <row r="86" spans="2:11">
      <c r="B86" s="18"/>
      <c r="C86" s="18"/>
      <c r="D86">
        <v>82</v>
      </c>
      <c r="E86" s="1">
        <v>45566</v>
      </c>
      <c r="F86" s="2">
        <f t="shared" si="14"/>
        <v>2958.7517024370227</v>
      </c>
      <c r="G86" s="2">
        <f t="shared" si="11"/>
        <v>2128.2844614982373</v>
      </c>
      <c r="H86" s="2">
        <f t="shared" si="12"/>
        <v>830.46724093878549</v>
      </c>
      <c r="I86" s="15">
        <f t="shared" si="10"/>
        <v>0</v>
      </c>
      <c r="J86" s="2">
        <f t="shared" si="13"/>
        <v>89629.527419973179</v>
      </c>
      <c r="K86" s="2">
        <f t="shared" si="15"/>
        <v>249140.17228163563</v>
      </c>
    </row>
    <row r="87" spans="2:11">
      <c r="B87" s="18"/>
      <c r="C87" s="18"/>
      <c r="D87">
        <v>83</v>
      </c>
      <c r="E87" s="1">
        <v>45597</v>
      </c>
      <c r="F87" s="2">
        <f t="shared" si="14"/>
        <v>2958.7517024370227</v>
      </c>
      <c r="G87" s="2">
        <f t="shared" si="11"/>
        <v>2135.3787430365646</v>
      </c>
      <c r="H87" s="2">
        <f t="shared" si="12"/>
        <v>823.37295940045806</v>
      </c>
      <c r="I87" s="15">
        <f t="shared" si="10"/>
        <v>0</v>
      </c>
      <c r="J87" s="2">
        <f t="shared" si="13"/>
        <v>90452.900379373634</v>
      </c>
      <c r="K87" s="2">
        <f t="shared" si="15"/>
        <v>247011.8878201374</v>
      </c>
    </row>
    <row r="88" spans="2:11">
      <c r="B88" s="18"/>
      <c r="C88" s="18"/>
      <c r="D88">
        <v>84</v>
      </c>
      <c r="E88" s="1">
        <v>45627</v>
      </c>
      <c r="F88" s="2">
        <f t="shared" si="14"/>
        <v>2958.7517024370227</v>
      </c>
      <c r="G88" s="2">
        <f t="shared" si="11"/>
        <v>2142.4966721800197</v>
      </c>
      <c r="H88" s="2">
        <f t="shared" si="12"/>
        <v>816.25503025700289</v>
      </c>
      <c r="I88" s="15">
        <f t="shared" si="10"/>
        <v>0</v>
      </c>
      <c r="J88" s="2">
        <f t="shared" si="13"/>
        <v>91269.155409630635</v>
      </c>
      <c r="K88" s="2">
        <f t="shared" si="15"/>
        <v>244876.50907710084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2958.7517024370227</v>
      </c>
      <c r="G89" s="2">
        <f t="shared" si="11"/>
        <v>2149.6383277539535</v>
      </c>
      <c r="H89" s="2">
        <f t="shared" si="12"/>
        <v>809.11337468306942</v>
      </c>
      <c r="I89" s="15">
        <f t="shared" si="10"/>
        <v>0</v>
      </c>
      <c r="J89" s="2">
        <f t="shared" si="13"/>
        <v>92078.26878431371</v>
      </c>
      <c r="K89" s="2">
        <f t="shared" si="15"/>
        <v>242734.01240492082</v>
      </c>
    </row>
    <row r="90" spans="2:11">
      <c r="B90" s="18"/>
      <c r="C90" s="18"/>
      <c r="D90">
        <v>86</v>
      </c>
      <c r="E90" s="1">
        <v>45689</v>
      </c>
      <c r="F90" s="2">
        <f t="shared" si="14"/>
        <v>2958.7517024370227</v>
      </c>
      <c r="G90" s="2">
        <f t="shared" si="11"/>
        <v>2156.8037888464664</v>
      </c>
      <c r="H90" s="2">
        <f t="shared" si="12"/>
        <v>801.94791359055625</v>
      </c>
      <c r="I90" s="15">
        <f t="shared" si="10"/>
        <v>0</v>
      </c>
      <c r="J90" s="2">
        <f t="shared" si="13"/>
        <v>92880.216697904267</v>
      </c>
      <c r="K90" s="2">
        <f t="shared" si="15"/>
        <v>240584.37407716687</v>
      </c>
    </row>
    <row r="91" spans="2:11">
      <c r="B91" s="18"/>
      <c r="C91" s="18"/>
      <c r="D91">
        <v>87</v>
      </c>
      <c r="E91" s="1">
        <v>45717</v>
      </c>
      <c r="F91" s="2">
        <f t="shared" si="14"/>
        <v>2958.7517024370227</v>
      </c>
      <c r="G91" s="2">
        <f t="shared" si="11"/>
        <v>2163.9931348092878</v>
      </c>
      <c r="H91" s="2">
        <f t="shared" si="12"/>
        <v>794.75856762773469</v>
      </c>
      <c r="I91" s="15">
        <f t="shared" si="10"/>
        <v>0</v>
      </c>
      <c r="J91" s="2">
        <f t="shared" si="13"/>
        <v>93674.975265532004</v>
      </c>
      <c r="K91" s="2">
        <f t="shared" si="15"/>
        <v>238427.57028832039</v>
      </c>
    </row>
    <row r="92" spans="2:11">
      <c r="B92" s="18"/>
      <c r="C92" s="18"/>
      <c r="D92">
        <v>88</v>
      </c>
      <c r="E92" s="1">
        <v>45748</v>
      </c>
      <c r="F92" s="2">
        <f t="shared" si="14"/>
        <v>2958.7517024370227</v>
      </c>
      <c r="G92" s="2">
        <f t="shared" si="11"/>
        <v>2171.2064452586524</v>
      </c>
      <c r="H92" s="2">
        <f t="shared" si="12"/>
        <v>787.54525717837043</v>
      </c>
      <c r="I92" s="15">
        <f t="shared" si="10"/>
        <v>0</v>
      </c>
      <c r="J92" s="2">
        <f t="shared" si="13"/>
        <v>94462.520522710372</v>
      </c>
      <c r="K92" s="2">
        <f t="shared" si="15"/>
        <v>236263.57715351111</v>
      </c>
    </row>
    <row r="93" spans="2:11">
      <c r="B93" s="18"/>
      <c r="C93" s="18"/>
      <c r="D93">
        <v>89</v>
      </c>
      <c r="E93" s="1">
        <v>45778</v>
      </c>
      <c r="F93" s="2">
        <f t="shared" si="14"/>
        <v>2958.7517024370227</v>
      </c>
      <c r="G93" s="2">
        <f t="shared" si="11"/>
        <v>2178.4438000761811</v>
      </c>
      <c r="H93" s="2">
        <f t="shared" si="12"/>
        <v>780.30790236084158</v>
      </c>
      <c r="I93" s="15">
        <f t="shared" si="10"/>
        <v>0</v>
      </c>
      <c r="J93" s="2">
        <f t="shared" si="13"/>
        <v>95242.828425071217</v>
      </c>
      <c r="K93" s="2">
        <f t="shared" si="15"/>
        <v>234092.37070825245</v>
      </c>
    </row>
    <row r="94" spans="2:11">
      <c r="B94" s="18"/>
      <c r="C94" s="18"/>
      <c r="D94">
        <v>90</v>
      </c>
      <c r="E94" s="1">
        <v>45809</v>
      </c>
      <c r="F94" s="2">
        <f t="shared" si="14"/>
        <v>2958.7517024370227</v>
      </c>
      <c r="G94" s="2">
        <f t="shared" si="11"/>
        <v>2185.7052794097685</v>
      </c>
      <c r="H94" s="2">
        <f t="shared" si="12"/>
        <v>773.04642302725426</v>
      </c>
      <c r="I94" s="15">
        <f t="shared" si="10"/>
        <v>0</v>
      </c>
      <c r="J94" s="2">
        <f t="shared" si="13"/>
        <v>96015.874848098465</v>
      </c>
      <c r="K94" s="2">
        <f t="shared" si="15"/>
        <v>231913.92690817628</v>
      </c>
    </row>
    <row r="95" spans="2:11">
      <c r="B95" s="18"/>
      <c r="C95" s="18"/>
      <c r="D95">
        <v>91</v>
      </c>
      <c r="E95" s="1">
        <v>45839</v>
      </c>
      <c r="F95" s="2">
        <f t="shared" si="14"/>
        <v>2958.7517024370227</v>
      </c>
      <c r="G95" s="2">
        <f t="shared" si="11"/>
        <v>2192.9909636744678</v>
      </c>
      <c r="H95" s="2">
        <f t="shared" si="12"/>
        <v>765.76073876255509</v>
      </c>
      <c r="I95" s="15">
        <f t="shared" si="10"/>
        <v>0</v>
      </c>
      <c r="J95" s="2">
        <f t="shared" si="13"/>
        <v>96781.635586861026</v>
      </c>
      <c r="K95" s="2">
        <f t="shared" si="15"/>
        <v>229728.22162876651</v>
      </c>
    </row>
    <row r="96" spans="2:11">
      <c r="B96" s="18"/>
      <c r="C96" s="18"/>
      <c r="D96">
        <v>92</v>
      </c>
      <c r="E96" s="1">
        <v>45870</v>
      </c>
      <c r="F96" s="2">
        <f t="shared" si="14"/>
        <v>2958.7517024370227</v>
      </c>
      <c r="G96" s="2">
        <f t="shared" si="11"/>
        <v>2200.3009335533825</v>
      </c>
      <c r="H96" s="2">
        <f t="shared" si="12"/>
        <v>758.45076888364019</v>
      </c>
      <c r="I96" s="15">
        <f t="shared" si="10"/>
        <v>0</v>
      </c>
      <c r="J96" s="2">
        <f t="shared" si="13"/>
        <v>97540.086355744672</v>
      </c>
      <c r="K96" s="2">
        <f t="shared" si="15"/>
        <v>227535.23066509204</v>
      </c>
    </row>
    <row r="97" spans="2:11">
      <c r="B97" s="18"/>
      <c r="C97" s="18"/>
      <c r="D97">
        <v>93</v>
      </c>
      <c r="E97" s="1">
        <v>45901</v>
      </c>
      <c r="F97" s="2">
        <f t="shared" si="14"/>
        <v>2958.7517024370227</v>
      </c>
      <c r="G97" s="2">
        <f t="shared" si="11"/>
        <v>2207.6352699985605</v>
      </c>
      <c r="H97" s="2">
        <f t="shared" si="12"/>
        <v>751.11643243846231</v>
      </c>
      <c r="I97" s="15">
        <f t="shared" si="10"/>
        <v>0</v>
      </c>
      <c r="J97" s="2">
        <f t="shared" si="13"/>
        <v>98291.202788183131</v>
      </c>
      <c r="K97" s="2">
        <f t="shared" si="15"/>
        <v>225334.92973153866</v>
      </c>
    </row>
    <row r="98" spans="2:11">
      <c r="B98" s="18"/>
      <c r="C98" s="18"/>
      <c r="D98">
        <v>94</v>
      </c>
      <c r="E98" s="1">
        <v>45931</v>
      </c>
      <c r="F98" s="2">
        <f t="shared" si="14"/>
        <v>2958.7517024370227</v>
      </c>
      <c r="G98" s="2">
        <f t="shared" si="11"/>
        <v>2214.9940542318891</v>
      </c>
      <c r="H98" s="2">
        <f t="shared" si="12"/>
        <v>743.75764820513371</v>
      </c>
      <c r="I98" s="15">
        <f t="shared" si="10"/>
        <v>0</v>
      </c>
      <c r="J98" s="2">
        <f t="shared" si="13"/>
        <v>99034.960436388268</v>
      </c>
      <c r="K98" s="2">
        <f t="shared" si="15"/>
        <v>223127.29446154009</v>
      </c>
    </row>
    <row r="99" spans="2:11">
      <c r="B99" s="18"/>
      <c r="C99" s="18"/>
      <c r="D99">
        <v>95</v>
      </c>
      <c r="E99" s="1">
        <v>45962</v>
      </c>
      <c r="F99" s="2">
        <f t="shared" si="14"/>
        <v>2958.7517024370227</v>
      </c>
      <c r="G99" s="2">
        <f t="shared" si="11"/>
        <v>2222.3773677459953</v>
      </c>
      <c r="H99" s="2">
        <f t="shared" si="12"/>
        <v>736.37433469102746</v>
      </c>
      <c r="I99" s="15">
        <f t="shared" si="10"/>
        <v>0</v>
      </c>
      <c r="J99" s="2">
        <f t="shared" si="13"/>
        <v>99771.334771079302</v>
      </c>
      <c r="K99" s="2">
        <f t="shared" si="15"/>
        <v>220912.30040730821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2958.7517024370227</v>
      </c>
      <c r="G100" s="2">
        <f t="shared" si="11"/>
        <v>2229.7852923051487</v>
      </c>
      <c r="H100" s="2">
        <f t="shared" si="12"/>
        <v>728.96641013187411</v>
      </c>
      <c r="I100" s="15">
        <f t="shared" si="10"/>
        <v>0</v>
      </c>
      <c r="J100" s="2">
        <f t="shared" si="13"/>
        <v>100500.30118121118</v>
      </c>
      <c r="K100" s="2">
        <f t="shared" si="15"/>
        <v>218689.92303956221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2958.7517024370227</v>
      </c>
      <c r="G101" s="2">
        <f t="shared" si="11"/>
        <v>2237.2179099461655</v>
      </c>
      <c r="H101" s="2">
        <f t="shared" si="12"/>
        <v>721.53379249085697</v>
      </c>
      <c r="I101" s="15">
        <f t="shared" si="10"/>
        <v>0</v>
      </c>
      <c r="J101" s="2">
        <f t="shared" si="13"/>
        <v>101221.83497370203</v>
      </c>
      <c r="K101" s="2">
        <f t="shared" si="15"/>
        <v>216460.13774725707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2958.7517024370227</v>
      </c>
      <c r="G102" s="2">
        <f t="shared" si="11"/>
        <v>2244.6753029793194</v>
      </c>
      <c r="H102" s="2">
        <f t="shared" si="12"/>
        <v>714.07639945770313</v>
      </c>
      <c r="I102" s="15">
        <f t="shared" si="10"/>
        <v>0</v>
      </c>
      <c r="J102" s="2">
        <f t="shared" si="13"/>
        <v>101935.91137315973</v>
      </c>
      <c r="K102" s="2">
        <f t="shared" si="15"/>
        <v>214222.91983731091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2958.7517024370227</v>
      </c>
      <c r="G103" s="2">
        <f t="shared" si="11"/>
        <v>2252.1575539892506</v>
      </c>
      <c r="H103" s="2">
        <f t="shared" si="12"/>
        <v>706.594148447772</v>
      </c>
      <c r="I103" s="15">
        <f t="shared" si="10"/>
        <v>0</v>
      </c>
      <c r="J103" s="2">
        <f t="shared" si="13"/>
        <v>102642.5055216075</v>
      </c>
      <c r="K103" s="2">
        <f t="shared" si="15"/>
        <v>211978.24453433158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2958.7517024370227</v>
      </c>
      <c r="G104" s="2">
        <f t="shared" si="11"/>
        <v>2259.6647458358816</v>
      </c>
      <c r="H104" s="2">
        <f t="shared" si="12"/>
        <v>699.0869566011412</v>
      </c>
      <c r="I104" s="15">
        <f t="shared" si="10"/>
        <v>0</v>
      </c>
      <c r="J104" s="2">
        <f t="shared" si="13"/>
        <v>103341.59247820864</v>
      </c>
      <c r="K104" s="2">
        <f t="shared" si="15"/>
        <v>209726.08698034234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2958.7517024370227</v>
      </c>
      <c r="G105" s="2">
        <f t="shared" si="11"/>
        <v>2267.1969616553342</v>
      </c>
      <c r="H105" s="2">
        <f t="shared" si="12"/>
        <v>691.55474078168822</v>
      </c>
      <c r="I105" s="15">
        <f t="shared" si="10"/>
        <v>0</v>
      </c>
      <c r="J105" s="2">
        <f t="shared" si="13"/>
        <v>104033.14721899033</v>
      </c>
      <c r="K105" s="2">
        <f t="shared" si="15"/>
        <v>207466.42223450646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2958.7517024370227</v>
      </c>
      <c r="G106" s="2">
        <f t="shared" si="11"/>
        <v>2274.7542848608523</v>
      </c>
      <c r="H106" s="2">
        <f t="shared" si="12"/>
        <v>683.99741757617051</v>
      </c>
      <c r="I106" s="15">
        <f t="shared" si="10"/>
        <v>0</v>
      </c>
      <c r="J106" s="2">
        <f t="shared" si="13"/>
        <v>104717.1446365665</v>
      </c>
      <c r="K106" s="2">
        <f t="shared" si="15"/>
        <v>205199.22527285112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2958.7517024370227</v>
      </c>
      <c r="G107" s="2">
        <f t="shared" si="11"/>
        <v>2282.3367991437217</v>
      </c>
      <c r="H107" s="2">
        <f t="shared" si="12"/>
        <v>676.41490329330088</v>
      </c>
      <c r="I107" s="15">
        <f t="shared" si="10"/>
        <v>0</v>
      </c>
      <c r="J107" s="2">
        <f t="shared" si="13"/>
        <v>105393.55953985981</v>
      </c>
      <c r="K107" s="2">
        <f t="shared" si="15"/>
        <v>202924.47098799027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2958.7517024370227</v>
      </c>
      <c r="G108" s="2">
        <f t="shared" si="11"/>
        <v>2289.9445884742008</v>
      </c>
      <c r="H108" s="2">
        <f t="shared" si="12"/>
        <v>668.80711396282186</v>
      </c>
      <c r="I108" s="15">
        <f t="shared" si="10"/>
        <v>0</v>
      </c>
      <c r="J108" s="2">
        <f t="shared" si="13"/>
        <v>106062.36665382262</v>
      </c>
      <c r="K108" s="2">
        <f t="shared" si="15"/>
        <v>200642.13418884654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2958.7517024370227</v>
      </c>
      <c r="G109" s="2">
        <f t="shared" si="11"/>
        <v>2297.5777371024483</v>
      </c>
      <c r="H109" s="2">
        <f t="shared" si="12"/>
        <v>661.17396533457452</v>
      </c>
      <c r="I109" s="15">
        <f t="shared" si="10"/>
        <v>0</v>
      </c>
      <c r="J109" s="2">
        <f t="shared" si="13"/>
        <v>106723.5406191572</v>
      </c>
      <c r="K109" s="2">
        <f t="shared" si="15"/>
        <v>198352.18960037234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2958.7517024370227</v>
      </c>
      <c r="G110" s="2">
        <f t="shared" si="11"/>
        <v>2305.2363295594564</v>
      </c>
      <c r="H110" s="2">
        <f t="shared" si="12"/>
        <v>653.51537287756628</v>
      </c>
      <c r="I110" s="15">
        <f t="shared" si="10"/>
        <v>0</v>
      </c>
      <c r="J110" s="2">
        <f t="shared" si="13"/>
        <v>107377.05599203476</v>
      </c>
      <c r="K110" s="2">
        <f t="shared" si="15"/>
        <v>196054.61186326988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2958.7517024370227</v>
      </c>
      <c r="G111" s="2">
        <f t="shared" si="11"/>
        <v>2312.9204506579881</v>
      </c>
      <c r="H111" s="2">
        <f t="shared" si="12"/>
        <v>645.83125177903469</v>
      </c>
      <c r="I111" s="15">
        <f t="shared" si="10"/>
        <v>0</v>
      </c>
      <c r="J111" s="2">
        <f t="shared" si="13"/>
        <v>108022.88724381379</v>
      </c>
      <c r="K111" s="2">
        <f t="shared" si="15"/>
        <v>193749.37553371041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2958.7517024370227</v>
      </c>
      <c r="G112" s="2">
        <f t="shared" si="11"/>
        <v>2320.6301854935145</v>
      </c>
      <c r="H112" s="2">
        <f t="shared" si="12"/>
        <v>638.12151694350814</v>
      </c>
      <c r="I112" s="15">
        <f t="shared" si="10"/>
        <v>0</v>
      </c>
      <c r="J112" s="2">
        <f t="shared" si="13"/>
        <v>108661.00876075729</v>
      </c>
      <c r="K112" s="2">
        <f t="shared" si="15"/>
        <v>191436.45508305242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2958.7517024370227</v>
      </c>
      <c r="G113" s="2">
        <f t="shared" si="11"/>
        <v>2328.3656194451596</v>
      </c>
      <c r="H113" s="2">
        <f t="shared" si="12"/>
        <v>630.38608299186308</v>
      </c>
      <c r="I113" s="15">
        <f t="shared" si="10"/>
        <v>0</v>
      </c>
      <c r="J113" s="2">
        <f t="shared" si="13"/>
        <v>109291.39484374915</v>
      </c>
      <c r="K113" s="2">
        <f t="shared" si="15"/>
        <v>189115.82489755892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2958.7517024370227</v>
      </c>
      <c r="G114" s="2">
        <f t="shared" si="11"/>
        <v>2336.1268381766436</v>
      </c>
      <c r="H114" s="2">
        <f t="shared" si="12"/>
        <v>622.62486426037924</v>
      </c>
      <c r="I114" s="15">
        <f t="shared" si="10"/>
        <v>0</v>
      </c>
      <c r="J114" s="2">
        <f t="shared" si="13"/>
        <v>109914.01970800952</v>
      </c>
      <c r="K114" s="2">
        <f t="shared" si="15"/>
        <v>186787.45927811376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2958.7517024370227</v>
      </c>
      <c r="G115" s="2">
        <f t="shared" si="11"/>
        <v>2343.9139276372325</v>
      </c>
      <c r="H115" s="2">
        <f t="shared" si="12"/>
        <v>614.8377747997904</v>
      </c>
      <c r="I115" s="15">
        <f t="shared" si="10"/>
        <v>0</v>
      </c>
      <c r="J115" s="2">
        <f t="shared" si="13"/>
        <v>110528.85748280931</v>
      </c>
      <c r="K115" s="2">
        <f t="shared" si="15"/>
        <v>184451.3324399371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2958.7517024370227</v>
      </c>
      <c r="G116" s="2">
        <f t="shared" si="11"/>
        <v>2351.7269740626898</v>
      </c>
      <c r="H116" s="2">
        <f t="shared" si="12"/>
        <v>607.02472837433288</v>
      </c>
      <c r="I116" s="15">
        <f t="shared" si="10"/>
        <v>0</v>
      </c>
      <c r="J116" s="2">
        <f t="shared" si="13"/>
        <v>111135.88221118365</v>
      </c>
      <c r="K116" s="2">
        <f t="shared" si="15"/>
        <v>182107.41851229986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2958.7517024370227</v>
      </c>
      <c r="G117" s="2">
        <f t="shared" si="11"/>
        <v>2359.5660639762318</v>
      </c>
      <c r="H117" s="2">
        <f t="shared" si="12"/>
        <v>599.18563846079064</v>
      </c>
      <c r="I117" s="15">
        <f t="shared" si="10"/>
        <v>0</v>
      </c>
      <c r="J117" s="2">
        <f t="shared" si="13"/>
        <v>111735.06784964445</v>
      </c>
      <c r="K117" s="2">
        <f t="shared" si="15"/>
        <v>179755.69153823718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2958.7517024370227</v>
      </c>
      <c r="G118" s="2">
        <f t="shared" si="11"/>
        <v>2367.4312841894862</v>
      </c>
      <c r="H118" s="2">
        <f t="shared" si="12"/>
        <v>591.32041824753651</v>
      </c>
      <c r="I118" s="15">
        <f t="shared" si="10"/>
        <v>0</v>
      </c>
      <c r="J118" s="2">
        <f t="shared" si="13"/>
        <v>112326.38826789198</v>
      </c>
      <c r="K118" s="2">
        <f t="shared" si="15"/>
        <v>177396.12547426095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2958.7517024370227</v>
      </c>
      <c r="G119" s="2">
        <f t="shared" si="11"/>
        <v>2375.3227218034513</v>
      </c>
      <c r="H119" s="2">
        <f t="shared" si="12"/>
        <v>583.42898063357154</v>
      </c>
      <c r="I119" s="15">
        <f t="shared" si="10"/>
        <v>0</v>
      </c>
      <c r="J119" s="2">
        <f t="shared" si="13"/>
        <v>112909.81724852555</v>
      </c>
      <c r="K119" s="2">
        <f t="shared" si="15"/>
        <v>175028.69419007146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2958.7517024370227</v>
      </c>
      <c r="G120" s="2">
        <f t="shared" si="11"/>
        <v>2383.2404642094625</v>
      </c>
      <c r="H120" s="2">
        <f t="shared" si="12"/>
        <v>575.51123822756006</v>
      </c>
      <c r="I120" s="15">
        <f t="shared" si="10"/>
        <v>0</v>
      </c>
      <c r="J120" s="2">
        <f t="shared" si="13"/>
        <v>113485.3284867531</v>
      </c>
      <c r="K120" s="2">
        <f t="shared" si="15"/>
        <v>172653.37146826801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2958.7517024370227</v>
      </c>
      <c r="G121" s="2">
        <f t="shared" si="11"/>
        <v>2391.1845990901606</v>
      </c>
      <c r="H121" s="2">
        <f t="shared" si="12"/>
        <v>567.56710334686193</v>
      </c>
      <c r="I121" s="15">
        <f t="shared" si="10"/>
        <v>0</v>
      </c>
      <c r="J121" s="2">
        <f t="shared" si="13"/>
        <v>114052.89559009997</v>
      </c>
      <c r="K121" s="2">
        <f t="shared" si="15"/>
        <v>170270.13100405855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2958.7517024370227</v>
      </c>
      <c r="G122" s="2">
        <f t="shared" si="11"/>
        <v>2399.1552144204616</v>
      </c>
      <c r="H122" s="2">
        <f t="shared" si="12"/>
        <v>559.59648801656135</v>
      </c>
      <c r="I122" s="15">
        <f t="shared" si="10"/>
        <v>0</v>
      </c>
      <c r="J122" s="2">
        <f t="shared" si="13"/>
        <v>114612.49207811653</v>
      </c>
      <c r="K122" s="2">
        <f t="shared" si="15"/>
        <v>167878.94640496839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2958.7517024370227</v>
      </c>
      <c r="G123" s="2">
        <f t="shared" si="11"/>
        <v>2407.1523984685296</v>
      </c>
      <c r="H123" s="2">
        <f t="shared" si="12"/>
        <v>551.59930396849313</v>
      </c>
      <c r="I123" s="15">
        <f t="shared" si="10"/>
        <v>0</v>
      </c>
      <c r="J123" s="2">
        <f t="shared" si="13"/>
        <v>115164.09138208503</v>
      </c>
      <c r="K123" s="2">
        <f t="shared" si="15"/>
        <v>165479.79119054793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2958.7517024370227</v>
      </c>
      <c r="G124" s="2">
        <f t="shared" si="11"/>
        <v>2415.1762397967577</v>
      </c>
      <c r="H124" s="2">
        <f t="shared" si="12"/>
        <v>543.57546264026473</v>
      </c>
      <c r="I124" s="15">
        <f t="shared" si="10"/>
        <v>0</v>
      </c>
      <c r="J124" s="2">
        <f t="shared" si="13"/>
        <v>115707.66684472529</v>
      </c>
      <c r="K124" s="2">
        <f t="shared" si="15"/>
        <v>163072.63879207941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2958.7517024370227</v>
      </c>
      <c r="G125" s="2">
        <f t="shared" si="11"/>
        <v>2423.2268272627471</v>
      </c>
      <c r="H125" s="2">
        <f t="shared" si="12"/>
        <v>535.52487517427551</v>
      </c>
      <c r="I125" s="15">
        <f t="shared" si="10"/>
        <v>0</v>
      </c>
      <c r="J125" s="2">
        <f t="shared" si="13"/>
        <v>116243.19171989957</v>
      </c>
      <c r="K125" s="2">
        <f t="shared" si="15"/>
        <v>160657.46255228264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2958.7517024370227</v>
      </c>
      <c r="G126" s="2">
        <f t="shared" si="11"/>
        <v>2431.3042500202896</v>
      </c>
      <c r="H126" s="2">
        <f t="shared" si="12"/>
        <v>527.44745241673297</v>
      </c>
      <c r="I126" s="15">
        <f t="shared" si="10"/>
        <v>0</v>
      </c>
      <c r="J126" s="2">
        <f t="shared" si="13"/>
        <v>116770.6391723163</v>
      </c>
      <c r="K126" s="2">
        <f t="shared" si="15"/>
        <v>158234.23572501988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2958.7517024370227</v>
      </c>
      <c r="G127" s="2">
        <f t="shared" si="11"/>
        <v>2439.4085975203575</v>
      </c>
      <c r="H127" s="2">
        <f t="shared" si="12"/>
        <v>519.34310491666531</v>
      </c>
      <c r="I127" s="15">
        <f t="shared" si="10"/>
        <v>0</v>
      </c>
      <c r="J127" s="2">
        <f t="shared" si="13"/>
        <v>117289.98227723296</v>
      </c>
      <c r="K127" s="2">
        <f t="shared" si="15"/>
        <v>155802.93147499958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2958.7517024370227</v>
      </c>
      <c r="G128" s="2">
        <f t="shared" si="11"/>
        <v>2447.5399595120916</v>
      </c>
      <c r="H128" s="2">
        <f t="shared" si="12"/>
        <v>511.21174292493083</v>
      </c>
      <c r="I128" s="15">
        <f t="shared" si="10"/>
        <v>0</v>
      </c>
      <c r="J128" s="2">
        <f t="shared" si="13"/>
        <v>117801.1940201579</v>
      </c>
      <c r="K128" s="2">
        <f t="shared" si="15"/>
        <v>153363.52287747923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2958.7517024370227</v>
      </c>
      <c r="G129" s="2">
        <f t="shared" si="11"/>
        <v>2455.6984260437989</v>
      </c>
      <c r="H129" s="2">
        <f t="shared" si="12"/>
        <v>503.05327639322383</v>
      </c>
      <c r="I129" s="15">
        <f t="shared" si="10"/>
        <v>0</v>
      </c>
      <c r="J129" s="2">
        <f t="shared" si="13"/>
        <v>118304.24729655113</v>
      </c>
      <c r="K129" s="2">
        <f t="shared" si="15"/>
        <v>150915.98291796714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2958.7517024370227</v>
      </c>
      <c r="G130" s="2">
        <f t="shared" si="11"/>
        <v>2463.884087463945</v>
      </c>
      <c r="H130" s="2">
        <f t="shared" si="12"/>
        <v>494.86761497307788</v>
      </c>
      <c r="I130" s="15">
        <f t="shared" si="10"/>
        <v>0</v>
      </c>
      <c r="J130" s="2">
        <f t="shared" si="13"/>
        <v>118799.1149115242</v>
      </c>
      <c r="K130" s="2">
        <f t="shared" si="15"/>
        <v>148460.28449192335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2958.7517024370227</v>
      </c>
      <c r="G131" s="2">
        <f t="shared" si="11"/>
        <v>2472.0970344221578</v>
      </c>
      <c r="H131" s="2">
        <f t="shared" si="12"/>
        <v>486.65466801486468</v>
      </c>
      <c r="I131" s="15">
        <f t="shared" si="10"/>
        <v>0</v>
      </c>
      <c r="J131" s="2">
        <f t="shared" si="13"/>
        <v>119285.76957953906</v>
      </c>
      <c r="K131" s="2">
        <f t="shared" si="15"/>
        <v>145996.40040445939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2958.7517024370227</v>
      </c>
      <c r="G132" s="2">
        <f t="shared" si="11"/>
        <v>2480.3373578702317</v>
      </c>
      <c r="H132" s="2">
        <f t="shared" si="12"/>
        <v>478.41434456679082</v>
      </c>
      <c r="I132" s="15">
        <f t="shared" si="10"/>
        <v>0</v>
      </c>
      <c r="J132" s="2">
        <f t="shared" si="13"/>
        <v>119764.18392410585</v>
      </c>
      <c r="K132" s="2">
        <f t="shared" si="15"/>
        <v>143524.30337003723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2958.7517024370227</v>
      </c>
      <c r="G133" s="2">
        <f t="shared" si="11"/>
        <v>2488.6051490631326</v>
      </c>
      <c r="H133" s="2">
        <f t="shared" si="12"/>
        <v>470.14655337389001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120234.33047747974</v>
      </c>
      <c r="K133" s="2">
        <f t="shared" si="15"/>
        <v>141043.96601216699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2958.7517024370227</v>
      </c>
      <c r="G134" s="2">
        <f t="shared" si="11"/>
        <v>2496.9004995600098</v>
      </c>
      <c r="H134" s="2">
        <f t="shared" si="12"/>
        <v>461.85120287701289</v>
      </c>
      <c r="I134" s="15">
        <f t="shared" si="16"/>
        <v>0</v>
      </c>
      <c r="J134" s="2">
        <f t="shared" si="13"/>
        <v>120696.18168035676</v>
      </c>
      <c r="K134" s="2">
        <f t="shared" si="15"/>
        <v>138555.36086310385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2958.7517024370227</v>
      </c>
      <c r="G135" s="2">
        <f t="shared" ref="G135:G198" si="17">+F135-H135</f>
        <v>2505.2235012252099</v>
      </c>
      <c r="H135" s="2">
        <f t="shared" si="12"/>
        <v>453.52820121181287</v>
      </c>
      <c r="I135" s="15">
        <f t="shared" si="16"/>
        <v>0</v>
      </c>
      <c r="J135" s="2">
        <f t="shared" si="13"/>
        <v>121149.70988156857</v>
      </c>
      <c r="K135" s="2">
        <f t="shared" si="15"/>
        <v>136058.46036354385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2958.7517024370227</v>
      </c>
      <c r="G136" s="2">
        <f t="shared" si="17"/>
        <v>2513.5742462292937</v>
      </c>
      <c r="H136" s="2">
        <f t="shared" ref="H136:H199" si="18">($G$2/12)*K136</f>
        <v>445.17745620772888</v>
      </c>
      <c r="I136" s="15">
        <f t="shared" si="16"/>
        <v>0</v>
      </c>
      <c r="J136" s="2">
        <f t="shared" ref="J136:J199" si="19">IF(K136=0,0,J135+H136)</f>
        <v>121594.88733777631</v>
      </c>
      <c r="K136" s="2">
        <f t="shared" si="15"/>
        <v>133553.23686231865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2958.7517024370227</v>
      </c>
      <c r="G137" s="2">
        <f t="shared" si="17"/>
        <v>2521.9528270500582</v>
      </c>
      <c r="H137" s="2">
        <f t="shared" si="18"/>
        <v>436.79887538696454</v>
      </c>
      <c r="I137" s="15">
        <f t="shared" si="16"/>
        <v>0</v>
      </c>
      <c r="J137" s="2">
        <f t="shared" si="19"/>
        <v>122031.68621316327</v>
      </c>
      <c r="K137" s="2">
        <f t="shared" si="15"/>
        <v>131039.66261608935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2958.7517024370227</v>
      </c>
      <c r="G138" s="2">
        <f t="shared" si="17"/>
        <v>2530.3593364735584</v>
      </c>
      <c r="H138" s="2">
        <f t="shared" si="18"/>
        <v>428.39236596346433</v>
      </c>
      <c r="I138" s="15">
        <f t="shared" si="16"/>
        <v>0</v>
      </c>
      <c r="J138" s="2">
        <f t="shared" si="19"/>
        <v>122460.07857912673</v>
      </c>
      <c r="K138" s="2">
        <f t="shared" ref="K138:K201" si="21">K137-G137</f>
        <v>128517.70978903929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2958.7517024370227</v>
      </c>
      <c r="G139" s="2">
        <f t="shared" si="17"/>
        <v>2538.7938675951368</v>
      </c>
      <c r="H139" s="2">
        <f t="shared" si="18"/>
        <v>419.95783484188581</v>
      </c>
      <c r="I139" s="15">
        <f t="shared" si="16"/>
        <v>0</v>
      </c>
      <c r="J139" s="2">
        <f t="shared" si="19"/>
        <v>122880.03641396861</v>
      </c>
      <c r="K139" s="2">
        <f t="shared" si="21"/>
        <v>125987.35045256573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2958.7517024370227</v>
      </c>
      <c r="G140" s="2">
        <f t="shared" si="17"/>
        <v>2547.2565138204541</v>
      </c>
      <c r="H140" s="2">
        <f t="shared" si="18"/>
        <v>411.49518861656873</v>
      </c>
      <c r="I140" s="15">
        <f t="shared" si="16"/>
        <v>0</v>
      </c>
      <c r="J140" s="2">
        <f t="shared" si="19"/>
        <v>123291.53160258518</v>
      </c>
      <c r="K140" s="2">
        <f t="shared" si="21"/>
        <v>123448.5565849706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2958.7517024370227</v>
      </c>
      <c r="G141" s="2">
        <f t="shared" si="17"/>
        <v>2555.7473688665223</v>
      </c>
      <c r="H141" s="2">
        <f t="shared" si="18"/>
        <v>403.00433357050053</v>
      </c>
      <c r="I141" s="15">
        <f t="shared" si="16"/>
        <v>0</v>
      </c>
      <c r="J141" s="2">
        <f t="shared" si="19"/>
        <v>123694.53593615568</v>
      </c>
      <c r="K141" s="2">
        <f t="shared" si="21"/>
        <v>120901.30007115015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2958.7517024370227</v>
      </c>
      <c r="G142" s="2">
        <f t="shared" si="17"/>
        <v>2564.266526762744</v>
      </c>
      <c r="H142" s="2">
        <f t="shared" si="18"/>
        <v>394.48517567427882</v>
      </c>
      <c r="I142" s="15">
        <f t="shared" si="16"/>
        <v>0</v>
      </c>
      <c r="J142" s="2">
        <f t="shared" si="19"/>
        <v>124089.02111182995</v>
      </c>
      <c r="K142" s="2">
        <f t="shared" si="21"/>
        <v>118345.55270228363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2958.7517024370227</v>
      </c>
      <c r="G143" s="2">
        <f t="shared" si="17"/>
        <v>2572.8140818519532</v>
      </c>
      <c r="H143" s="2">
        <f t="shared" si="18"/>
        <v>385.93762058506962</v>
      </c>
      <c r="I143" s="15">
        <f t="shared" si="16"/>
        <v>0</v>
      </c>
      <c r="J143" s="2">
        <f t="shared" si="19"/>
        <v>124474.95873241502</v>
      </c>
      <c r="K143" s="2">
        <f t="shared" si="21"/>
        <v>115781.28617552089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2958.7517024370227</v>
      </c>
      <c r="G144" s="2">
        <f t="shared" si="17"/>
        <v>2581.3901287914596</v>
      </c>
      <c r="H144" s="2">
        <f t="shared" si="18"/>
        <v>377.36157364556317</v>
      </c>
      <c r="I144" s="15">
        <f t="shared" si="16"/>
        <v>0</v>
      </c>
      <c r="J144" s="2">
        <f t="shared" si="19"/>
        <v>124852.32030606059</v>
      </c>
      <c r="K144" s="2">
        <f t="shared" si="21"/>
        <v>113208.47209366894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2958.7517024370227</v>
      </c>
      <c r="G145" s="2">
        <f t="shared" si="17"/>
        <v>2589.9947625540976</v>
      </c>
      <c r="H145" s="2">
        <f t="shared" si="18"/>
        <v>368.75693988292494</v>
      </c>
      <c r="I145" s="15">
        <f t="shared" si="16"/>
        <v>0</v>
      </c>
      <c r="J145" s="2">
        <f t="shared" si="19"/>
        <v>125221.07724594351</v>
      </c>
      <c r="K145" s="2">
        <f t="shared" si="21"/>
        <v>110627.08196487748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2958.7517024370227</v>
      </c>
      <c r="G146" s="2">
        <f t="shared" si="17"/>
        <v>2598.628078429278</v>
      </c>
      <c r="H146" s="2">
        <f t="shared" si="18"/>
        <v>360.12362400774464</v>
      </c>
      <c r="I146" s="15">
        <f t="shared" si="16"/>
        <v>0</v>
      </c>
      <c r="J146" s="2">
        <f t="shared" si="19"/>
        <v>125581.20086995125</v>
      </c>
      <c r="K146" s="2">
        <f t="shared" si="21"/>
        <v>108037.08720232338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2958.7517024370227</v>
      </c>
      <c r="G147" s="2">
        <f t="shared" si="17"/>
        <v>2607.2901720240425</v>
      </c>
      <c r="H147" s="2">
        <f t="shared" si="18"/>
        <v>351.46153041298038</v>
      </c>
      <c r="I147" s="15">
        <f t="shared" si="16"/>
        <v>0</v>
      </c>
      <c r="J147" s="2">
        <f t="shared" si="19"/>
        <v>125932.66240036424</v>
      </c>
      <c r="K147" s="2">
        <f t="shared" si="21"/>
        <v>105438.45912389411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2958.7517024370227</v>
      </c>
      <c r="G148" s="2">
        <f t="shared" si="17"/>
        <v>2615.9811392641222</v>
      </c>
      <c r="H148" s="2">
        <f t="shared" si="18"/>
        <v>342.77056317290021</v>
      </c>
      <c r="I148" s="15">
        <f t="shared" si="16"/>
        <v>0</v>
      </c>
      <c r="J148" s="2">
        <f t="shared" si="19"/>
        <v>126275.43296353714</v>
      </c>
      <c r="K148" s="2">
        <f t="shared" si="21"/>
        <v>102831.16895187006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2958.7517024370227</v>
      </c>
      <c r="G149" s="2">
        <f t="shared" si="17"/>
        <v>2624.7010763950029</v>
      </c>
      <c r="H149" s="2">
        <f t="shared" si="18"/>
        <v>334.05062604201981</v>
      </c>
      <c r="I149" s="15">
        <f t="shared" si="16"/>
        <v>0</v>
      </c>
      <c r="J149" s="2">
        <f t="shared" si="19"/>
        <v>126609.48358957916</v>
      </c>
      <c r="K149" s="2">
        <f t="shared" si="21"/>
        <v>100215.18781260593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2958.7517024370227</v>
      </c>
      <c r="G150" s="2">
        <f t="shared" si="17"/>
        <v>2633.4500799829862</v>
      </c>
      <c r="H150" s="2">
        <f t="shared" si="18"/>
        <v>325.30162245403642</v>
      </c>
      <c r="I150" s="15">
        <f t="shared" si="16"/>
        <v>0</v>
      </c>
      <c r="J150" s="2">
        <f t="shared" si="19"/>
        <v>126934.7852120332</v>
      </c>
      <c r="K150" s="2">
        <f t="shared" si="21"/>
        <v>97590.486736210922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2958.7517024370227</v>
      </c>
      <c r="G151" s="2">
        <f t="shared" si="17"/>
        <v>2642.2282469162628</v>
      </c>
      <c r="H151" s="2">
        <f t="shared" si="18"/>
        <v>316.5234555207598</v>
      </c>
      <c r="I151" s="15">
        <f t="shared" si="16"/>
        <v>0</v>
      </c>
      <c r="J151" s="2">
        <f t="shared" si="19"/>
        <v>127251.30866755395</v>
      </c>
      <c r="K151" s="2">
        <f t="shared" si="21"/>
        <v>94957.036656227938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2958.7517024370227</v>
      </c>
      <c r="G152" s="2">
        <f t="shared" si="17"/>
        <v>2651.0356744059836</v>
      </c>
      <c r="H152" s="2">
        <f t="shared" si="18"/>
        <v>307.71602803103895</v>
      </c>
      <c r="I152" s="15">
        <f t="shared" si="16"/>
        <v>0</v>
      </c>
      <c r="J152" s="2">
        <f t="shared" si="19"/>
        <v>127559.02469558499</v>
      </c>
      <c r="K152" s="2">
        <f t="shared" si="21"/>
        <v>92314.808409311678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2958.7517024370227</v>
      </c>
      <c r="G153" s="2">
        <f t="shared" si="17"/>
        <v>2659.8724599873372</v>
      </c>
      <c r="H153" s="2">
        <f t="shared" si="18"/>
        <v>298.87924244968565</v>
      </c>
      <c r="I153" s="15">
        <f t="shared" si="16"/>
        <v>0</v>
      </c>
      <c r="J153" s="2">
        <f t="shared" si="19"/>
        <v>127857.90393803467</v>
      </c>
      <c r="K153" s="2">
        <f t="shared" si="21"/>
        <v>89663.772734905695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2958.7517024370227</v>
      </c>
      <c r="G154" s="2">
        <f t="shared" si="17"/>
        <v>2668.7387015206282</v>
      </c>
      <c r="H154" s="2">
        <f t="shared" si="18"/>
        <v>290.01300091639456</v>
      </c>
      <c r="I154" s="15">
        <f t="shared" si="16"/>
        <v>0</v>
      </c>
      <c r="J154" s="2">
        <f t="shared" si="19"/>
        <v>128147.91693895106</v>
      </c>
      <c r="K154" s="2">
        <f t="shared" si="21"/>
        <v>87003.900274918356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2958.7517024370227</v>
      </c>
      <c r="G155" s="2">
        <f t="shared" si="17"/>
        <v>2677.6344971923636</v>
      </c>
      <c r="H155" s="2">
        <f t="shared" si="18"/>
        <v>281.11720524465909</v>
      </c>
      <c r="I155" s="15">
        <f t="shared" si="16"/>
        <v>0</v>
      </c>
      <c r="J155" s="2">
        <f t="shared" si="19"/>
        <v>128429.03414419573</v>
      </c>
      <c r="K155" s="2">
        <f t="shared" si="21"/>
        <v>84335.161573397723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2958.7517024370227</v>
      </c>
      <c r="G156" s="2">
        <f t="shared" si="17"/>
        <v>2686.5599455163383</v>
      </c>
      <c r="H156" s="2">
        <f t="shared" si="18"/>
        <v>272.19175692068455</v>
      </c>
      <c r="I156" s="15">
        <f t="shared" si="16"/>
        <v>0</v>
      </c>
      <c r="J156" s="2">
        <f t="shared" si="19"/>
        <v>128701.22590111641</v>
      </c>
      <c r="K156" s="2">
        <f t="shared" si="21"/>
        <v>81657.527076205355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2958.7517024370227</v>
      </c>
      <c r="G157" s="2">
        <f t="shared" si="17"/>
        <v>2695.5151453347257</v>
      </c>
      <c r="H157" s="2">
        <f t="shared" si="18"/>
        <v>263.23655710229679</v>
      </c>
      <c r="I157" s="15">
        <f t="shared" si="16"/>
        <v>0</v>
      </c>
      <c r="J157" s="2">
        <f t="shared" si="19"/>
        <v>128964.46245821871</v>
      </c>
      <c r="K157" s="2">
        <f t="shared" si="21"/>
        <v>78970.967130689023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2958.7517024370227</v>
      </c>
      <c r="G158" s="2">
        <f t="shared" si="17"/>
        <v>2704.5001958191751</v>
      </c>
      <c r="H158" s="2">
        <f t="shared" si="18"/>
        <v>254.2515066178477</v>
      </c>
      <c r="I158" s="15">
        <f t="shared" si="16"/>
        <v>0</v>
      </c>
      <c r="J158" s="2">
        <f t="shared" si="19"/>
        <v>129218.71396483656</v>
      </c>
      <c r="K158" s="2">
        <f t="shared" si="21"/>
        <v>76275.451985354302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2958.7517024370227</v>
      </c>
      <c r="G159" s="2">
        <f t="shared" si="17"/>
        <v>2713.5151964719057</v>
      </c>
      <c r="H159" s="2">
        <f t="shared" si="18"/>
        <v>245.23650596511712</v>
      </c>
      <c r="I159" s="15">
        <f t="shared" si="16"/>
        <v>0</v>
      </c>
      <c r="J159" s="2">
        <f t="shared" si="19"/>
        <v>129463.95047080168</v>
      </c>
      <c r="K159" s="2">
        <f t="shared" si="21"/>
        <v>73570.951789535131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2958.7517024370227</v>
      </c>
      <c r="G160" s="2">
        <f t="shared" si="17"/>
        <v>2722.5602471268121</v>
      </c>
      <c r="H160" s="2">
        <f t="shared" si="18"/>
        <v>236.19145531021076</v>
      </c>
      <c r="I160" s="15">
        <f t="shared" si="16"/>
        <v>0</v>
      </c>
      <c r="J160" s="2">
        <f t="shared" si="19"/>
        <v>129700.14192611189</v>
      </c>
      <c r="K160" s="2">
        <f t="shared" si="21"/>
        <v>70857.436593063219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2958.7517024370227</v>
      </c>
      <c r="G161" s="2">
        <f t="shared" si="17"/>
        <v>2731.6354479505681</v>
      </c>
      <c r="H161" s="2">
        <f t="shared" si="18"/>
        <v>227.11625448645472</v>
      </c>
      <c r="I161" s="15">
        <f t="shared" si="16"/>
        <v>0</v>
      </c>
      <c r="J161" s="2">
        <f t="shared" si="19"/>
        <v>129927.25818059834</v>
      </c>
      <c r="K161" s="2">
        <f t="shared" si="21"/>
        <v>68134.876345936413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2958.7517024370227</v>
      </c>
      <c r="G162" s="2">
        <f t="shared" si="17"/>
        <v>2740.7408994437365</v>
      </c>
      <c r="H162" s="2">
        <f t="shared" si="18"/>
        <v>218.01080299328618</v>
      </c>
      <c r="I162" s="15">
        <f t="shared" si="16"/>
        <v>0</v>
      </c>
      <c r="J162" s="2">
        <f t="shared" si="19"/>
        <v>130145.26898359162</v>
      </c>
      <c r="K162" s="2">
        <f t="shared" si="21"/>
        <v>65403.240897985845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2958.7517024370227</v>
      </c>
      <c r="G163" s="2">
        <f t="shared" si="17"/>
        <v>2749.8767024418821</v>
      </c>
      <c r="H163" s="2">
        <f t="shared" si="18"/>
        <v>208.87499999514037</v>
      </c>
      <c r="I163" s="15">
        <f t="shared" si="16"/>
        <v>0</v>
      </c>
      <c r="J163" s="2">
        <f t="shared" si="19"/>
        <v>130354.14398358676</v>
      </c>
      <c r="K163" s="2">
        <f t="shared" si="21"/>
        <v>62662.499998542109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2958.7517024370227</v>
      </c>
      <c r="G164" s="2">
        <f t="shared" si="17"/>
        <v>2759.0429581166886</v>
      </c>
      <c r="H164" s="2">
        <f t="shared" si="18"/>
        <v>199.70874432033409</v>
      </c>
      <c r="I164" s="15">
        <f t="shared" si="16"/>
        <v>0</v>
      </c>
      <c r="J164" s="2">
        <f t="shared" si="19"/>
        <v>130553.8527279071</v>
      </c>
      <c r="K164" s="2">
        <f t="shared" si="21"/>
        <v>59912.623296100224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2958.7517024370227</v>
      </c>
      <c r="G165" s="2">
        <f t="shared" si="17"/>
        <v>2768.2397679770775</v>
      </c>
      <c r="H165" s="2">
        <f t="shared" si="18"/>
        <v>190.51193445994514</v>
      </c>
      <c r="I165" s="15">
        <f t="shared" si="16"/>
        <v>0</v>
      </c>
      <c r="J165" s="2">
        <f t="shared" si="19"/>
        <v>130744.36466236705</v>
      </c>
      <c r="K165" s="2">
        <f t="shared" si="21"/>
        <v>57153.580337983534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2958.7517024370227</v>
      </c>
      <c r="G166" s="2">
        <f t="shared" si="17"/>
        <v>2777.4672338703344</v>
      </c>
      <c r="H166" s="2">
        <f t="shared" si="18"/>
        <v>181.28446856668819</v>
      </c>
      <c r="I166" s="15">
        <f t="shared" si="16"/>
        <v>0</v>
      </c>
      <c r="J166" s="2">
        <f t="shared" si="19"/>
        <v>130925.64913093374</v>
      </c>
      <c r="K166" s="2">
        <f t="shared" si="21"/>
        <v>54385.340570006454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2958.7517024370227</v>
      </c>
      <c r="G167" s="2">
        <f t="shared" si="17"/>
        <v>2786.7254579832356</v>
      </c>
      <c r="H167" s="2">
        <f t="shared" si="18"/>
        <v>172.02624445378709</v>
      </c>
      <c r="I167" s="15">
        <f t="shared" si="16"/>
        <v>0</v>
      </c>
      <c r="J167" s="2">
        <f t="shared" si="19"/>
        <v>131097.67537538754</v>
      </c>
      <c r="K167" s="2">
        <f t="shared" si="21"/>
        <v>51607.873336136123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2958.7517024370227</v>
      </c>
      <c r="G168" s="2">
        <f t="shared" si="17"/>
        <v>2796.0145428431797</v>
      </c>
      <c r="H168" s="2">
        <f t="shared" si="18"/>
        <v>162.73715959384296</v>
      </c>
      <c r="I168" s="15">
        <f t="shared" si="16"/>
        <v>0</v>
      </c>
      <c r="J168" s="2">
        <f t="shared" si="19"/>
        <v>131260.41253498138</v>
      </c>
      <c r="K168" s="2">
        <f t="shared" si="21"/>
        <v>48821.147878152886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2958.7517024370227</v>
      </c>
      <c r="G169" s="2">
        <f t="shared" si="17"/>
        <v>2805.3345913193239</v>
      </c>
      <c r="H169" s="2">
        <f t="shared" si="18"/>
        <v>153.41711111769902</v>
      </c>
      <c r="I169" s="15">
        <f t="shared" si="16"/>
        <v>0</v>
      </c>
      <c r="J169" s="2">
        <f t="shared" si="19"/>
        <v>131413.8296460991</v>
      </c>
      <c r="K169" s="2">
        <f t="shared" si="21"/>
        <v>46025.133335309707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2958.7517024370227</v>
      </c>
      <c r="G170" s="2">
        <f t="shared" si="17"/>
        <v>2814.6857066237212</v>
      </c>
      <c r="H170" s="2">
        <f t="shared" si="18"/>
        <v>144.06599581330127</v>
      </c>
      <c r="I170" s="15">
        <f t="shared" si="16"/>
        <v>0</v>
      </c>
      <c r="J170" s="2">
        <f t="shared" si="19"/>
        <v>131557.89564191239</v>
      </c>
      <c r="K170" s="2">
        <f t="shared" si="21"/>
        <v>43219.798743990381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2958.7517024370227</v>
      </c>
      <c r="G171" s="2">
        <f t="shared" si="17"/>
        <v>2824.0679923124671</v>
      </c>
      <c r="H171" s="2">
        <f t="shared" si="18"/>
        <v>134.68371012455555</v>
      </c>
      <c r="I171" s="15">
        <f t="shared" si="16"/>
        <v>0</v>
      </c>
      <c r="J171" s="2">
        <f t="shared" si="19"/>
        <v>131692.57935203693</v>
      </c>
      <c r="K171" s="2">
        <f t="shared" si="21"/>
        <v>40405.11303736666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2958.7517024370227</v>
      </c>
      <c r="G172" s="2">
        <f t="shared" si="17"/>
        <v>2833.4815522868421</v>
      </c>
      <c r="H172" s="2">
        <f t="shared" si="18"/>
        <v>125.27015015018064</v>
      </c>
      <c r="I172" s="15">
        <f t="shared" si="16"/>
        <v>0</v>
      </c>
      <c r="J172" s="2">
        <f t="shared" si="19"/>
        <v>131817.84950218711</v>
      </c>
      <c r="K172" s="2">
        <f t="shared" si="21"/>
        <v>37581.04504505419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2958.7517024370227</v>
      </c>
      <c r="G173" s="2">
        <f t="shared" si="17"/>
        <v>2842.9264907944648</v>
      </c>
      <c r="H173" s="2">
        <f t="shared" si="18"/>
        <v>115.82521164255783</v>
      </c>
      <c r="I173" s="15">
        <f t="shared" si="16"/>
        <v>0</v>
      </c>
      <c r="J173" s="2">
        <f t="shared" si="19"/>
        <v>131933.67471382968</v>
      </c>
      <c r="K173" s="2">
        <f t="shared" si="21"/>
        <v>34747.563492767345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2958.7517024370227</v>
      </c>
      <c r="G174" s="2">
        <f t="shared" si="17"/>
        <v>2852.4029124304466</v>
      </c>
      <c r="H174" s="2">
        <f t="shared" si="18"/>
        <v>106.34879000657628</v>
      </c>
      <c r="I174" s="15">
        <f t="shared" si="16"/>
        <v>0</v>
      </c>
      <c r="J174" s="2">
        <f t="shared" si="19"/>
        <v>132040.02350383624</v>
      </c>
      <c r="K174" s="2">
        <f t="shared" si="21"/>
        <v>31904.637001972882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2958.7517024370227</v>
      </c>
      <c r="G175" s="2">
        <f t="shared" si="17"/>
        <v>2861.9109221385479</v>
      </c>
      <c r="H175" s="2">
        <f t="shared" si="18"/>
        <v>96.840780298474783</v>
      </c>
      <c r="I175" s="15">
        <f t="shared" si="16"/>
        <v>0</v>
      </c>
      <c r="J175" s="2">
        <f t="shared" si="19"/>
        <v>132136.86428413473</v>
      </c>
      <c r="K175" s="2">
        <f t="shared" si="21"/>
        <v>29052.234089542435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2958.7517024370227</v>
      </c>
      <c r="G176" s="2">
        <f t="shared" si="17"/>
        <v>2871.4506252123429</v>
      </c>
      <c r="H176" s="2">
        <f t="shared" si="18"/>
        <v>87.301077224679631</v>
      </c>
      <c r="I176" s="15">
        <f t="shared" si="16"/>
        <v>0</v>
      </c>
      <c r="J176" s="2">
        <f t="shared" si="19"/>
        <v>132224.16536135942</v>
      </c>
      <c r="K176" s="2">
        <f t="shared" si="21"/>
        <v>26190.323167403887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2958.7517024370227</v>
      </c>
      <c r="G177" s="2">
        <f t="shared" si="17"/>
        <v>2881.022127296384</v>
      </c>
      <c r="H177" s="2">
        <f t="shared" si="18"/>
        <v>77.729575140638488</v>
      </c>
      <c r="I177" s="15">
        <f t="shared" si="16"/>
        <v>0</v>
      </c>
      <c r="J177" s="2">
        <f t="shared" si="19"/>
        <v>132301.89493650006</v>
      </c>
      <c r="K177" s="2">
        <f t="shared" si="21"/>
        <v>23318.872542191544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2958.7517024370227</v>
      </c>
      <c r="G178" s="2">
        <f t="shared" si="17"/>
        <v>2890.6255343873722</v>
      </c>
      <c r="H178" s="2">
        <f t="shared" si="18"/>
        <v>68.126168049650545</v>
      </c>
      <c r="I178" s="15">
        <f t="shared" si="16"/>
        <v>0</v>
      </c>
      <c r="J178" s="2">
        <f t="shared" si="19"/>
        <v>132370.0211045497</v>
      </c>
      <c r="K178" s="2">
        <f t="shared" si="21"/>
        <v>20437.850414895162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2958.7517024370227</v>
      </c>
      <c r="G179" s="2">
        <f t="shared" si="17"/>
        <v>2900.26095283533</v>
      </c>
      <c r="H179" s="2">
        <f t="shared" si="18"/>
        <v>58.490749601692642</v>
      </c>
      <c r="I179" s="15">
        <f t="shared" si="16"/>
        <v>0</v>
      </c>
      <c r="J179" s="2">
        <f t="shared" si="19"/>
        <v>132428.51185415138</v>
      </c>
      <c r="K179" s="2">
        <f t="shared" si="21"/>
        <v>17547.224880507791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2958.7517024370227</v>
      </c>
      <c r="G180" s="2">
        <f t="shared" si="17"/>
        <v>2909.9284893447812</v>
      </c>
      <c r="H180" s="2">
        <f t="shared" si="18"/>
        <v>48.823213092241538</v>
      </c>
      <c r="I180" s="15">
        <f t="shared" si="16"/>
        <v>0</v>
      </c>
      <c r="J180" s="2">
        <f t="shared" si="19"/>
        <v>132477.33506724364</v>
      </c>
      <c r="K180" s="2">
        <f t="shared" si="21"/>
        <v>14646.963927672461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2958.7517024370227</v>
      </c>
      <c r="G181" s="2">
        <f t="shared" si="17"/>
        <v>2919.6282509759303</v>
      </c>
      <c r="H181" s="2">
        <f t="shared" si="18"/>
        <v>39.123451461092266</v>
      </c>
      <c r="I181" s="15">
        <f t="shared" si="16"/>
        <v>0</v>
      </c>
      <c r="J181" s="2">
        <f t="shared" si="19"/>
        <v>132516.45851870472</v>
      </c>
      <c r="K181" s="2">
        <f t="shared" si="21"/>
        <v>11737.035438327679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2958.7517024370227</v>
      </c>
      <c r="G182" s="2">
        <f t="shared" si="17"/>
        <v>2929.3603451458503</v>
      </c>
      <c r="H182" s="2">
        <f t="shared" si="18"/>
        <v>29.391357291172501</v>
      </c>
      <c r="I182" s="15">
        <f t="shared" si="16"/>
        <v>0</v>
      </c>
      <c r="J182" s="2">
        <f t="shared" si="19"/>
        <v>132545.84987599589</v>
      </c>
      <c r="K182" s="2">
        <f t="shared" si="21"/>
        <v>8817.4071873517496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2958.7517024370227</v>
      </c>
      <c r="G183" s="2">
        <f t="shared" si="17"/>
        <v>2939.1248796296695</v>
      </c>
      <c r="H183" s="2">
        <f t="shared" si="18"/>
        <v>19.626822807352998</v>
      </c>
      <c r="I183" s="15">
        <f t="shared" si="16"/>
        <v>0</v>
      </c>
      <c r="J183" s="2">
        <f t="shared" si="19"/>
        <v>132565.47669880325</v>
      </c>
      <c r="K183" s="2">
        <f t="shared" si="21"/>
        <v>5888.0468422058993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2958.7517024370227</v>
      </c>
      <c r="G184" s="2">
        <f t="shared" si="17"/>
        <v>2948.9219625617684</v>
      </c>
      <c r="H184" s="2">
        <f t="shared" si="18"/>
        <v>9.8297398752541003</v>
      </c>
      <c r="I184" s="15">
        <f t="shared" si="16"/>
        <v>0</v>
      </c>
      <c r="J184" s="2">
        <f t="shared" si="19"/>
        <v>132575.3064386785</v>
      </c>
      <c r="K184" s="2">
        <f t="shared" si="21"/>
        <v>2948.9219625762298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1.4509625240558914E-8</v>
      </c>
      <c r="G185" s="2">
        <f t="shared" si="17"/>
        <v>1.4461420505540445E-8</v>
      </c>
      <c r="H185" s="2">
        <f t="shared" si="18"/>
        <v>4.8204735018468157E-11</v>
      </c>
      <c r="I185" s="15">
        <f t="shared" si="16"/>
        <v>0</v>
      </c>
      <c r="J185" s="2">
        <f>IF(K185=0,0,J184+H185)</f>
        <v>132575.30643867856</v>
      </c>
      <c r="K185" s="2">
        <f t="shared" si="21"/>
        <v>1.4461420505540445E-8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0</v>
      </c>
      <c r="G186" s="2">
        <f t="shared" si="17"/>
        <v>0</v>
      </c>
      <c r="H186" s="2">
        <f t="shared" si="18"/>
        <v>0</v>
      </c>
      <c r="I186" s="15">
        <f t="shared" si="16"/>
        <v>0</v>
      </c>
      <c r="J186" s="2">
        <f t="shared" si="19"/>
        <v>0</v>
      </c>
      <c r="K186" s="2">
        <f t="shared" si="21"/>
        <v>0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0</v>
      </c>
      <c r="G187" s="2">
        <f t="shared" si="17"/>
        <v>0</v>
      </c>
      <c r="H187" s="2">
        <f t="shared" si="18"/>
        <v>0</v>
      </c>
      <c r="I187" s="15">
        <f t="shared" si="16"/>
        <v>0</v>
      </c>
      <c r="J187" s="2">
        <f t="shared" si="19"/>
        <v>0</v>
      </c>
      <c r="K187" s="2">
        <f t="shared" si="21"/>
        <v>0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0</v>
      </c>
      <c r="G188" s="2">
        <f t="shared" si="17"/>
        <v>0</v>
      </c>
      <c r="H188" s="2">
        <f t="shared" si="18"/>
        <v>0</v>
      </c>
      <c r="I188" s="15">
        <f t="shared" si="16"/>
        <v>0</v>
      </c>
      <c r="J188" s="2">
        <f t="shared" si="19"/>
        <v>0</v>
      </c>
      <c r="K188" s="2">
        <f t="shared" si="21"/>
        <v>0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0</v>
      </c>
      <c r="G189" s="2">
        <f t="shared" si="17"/>
        <v>0</v>
      </c>
      <c r="H189" s="2">
        <f t="shared" si="18"/>
        <v>0</v>
      </c>
      <c r="I189" s="15">
        <f t="shared" si="16"/>
        <v>0</v>
      </c>
      <c r="J189" s="2">
        <f t="shared" si="19"/>
        <v>0</v>
      </c>
      <c r="K189" s="2">
        <f t="shared" si="21"/>
        <v>0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0</v>
      </c>
      <c r="G190" s="2">
        <f t="shared" si="17"/>
        <v>0</v>
      </c>
      <c r="H190" s="2">
        <f t="shared" si="18"/>
        <v>0</v>
      </c>
      <c r="I190" s="15">
        <f t="shared" si="16"/>
        <v>0</v>
      </c>
      <c r="J190" s="2">
        <f t="shared" si="19"/>
        <v>0</v>
      </c>
      <c r="K190" s="2">
        <f t="shared" si="21"/>
        <v>0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0</v>
      </c>
      <c r="G191" s="2">
        <f t="shared" si="17"/>
        <v>0</v>
      </c>
      <c r="H191" s="2">
        <f t="shared" si="18"/>
        <v>0</v>
      </c>
      <c r="I191" s="15">
        <f t="shared" si="16"/>
        <v>0</v>
      </c>
      <c r="J191" s="2">
        <f t="shared" si="19"/>
        <v>0</v>
      </c>
      <c r="K191" s="2">
        <f t="shared" si="21"/>
        <v>0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0</v>
      </c>
      <c r="G192" s="2">
        <f t="shared" si="17"/>
        <v>0</v>
      </c>
      <c r="H192" s="2">
        <f t="shared" si="18"/>
        <v>0</v>
      </c>
      <c r="I192" s="15">
        <f t="shared" si="16"/>
        <v>0</v>
      </c>
      <c r="J192" s="2">
        <f t="shared" si="19"/>
        <v>0</v>
      </c>
      <c r="K192" s="2">
        <f t="shared" si="21"/>
        <v>0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0</v>
      </c>
      <c r="G193" s="2">
        <f t="shared" si="17"/>
        <v>0</v>
      </c>
      <c r="H193" s="2">
        <f t="shared" si="18"/>
        <v>0</v>
      </c>
      <c r="I193" s="15">
        <f t="shared" si="16"/>
        <v>0</v>
      </c>
      <c r="J193" s="2">
        <f t="shared" si="19"/>
        <v>0</v>
      </c>
      <c r="K193" s="2">
        <f t="shared" si="21"/>
        <v>0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0</v>
      </c>
      <c r="G194" s="2">
        <f t="shared" si="17"/>
        <v>0</v>
      </c>
      <c r="H194" s="2">
        <f t="shared" si="18"/>
        <v>0</v>
      </c>
      <c r="I194" s="15">
        <f t="shared" si="16"/>
        <v>0</v>
      </c>
      <c r="J194" s="2">
        <f t="shared" si="19"/>
        <v>0</v>
      </c>
      <c r="K194" s="2">
        <f t="shared" si="21"/>
        <v>0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0</v>
      </c>
      <c r="G195" s="2">
        <f t="shared" si="17"/>
        <v>0</v>
      </c>
      <c r="H195" s="2">
        <f t="shared" si="18"/>
        <v>0</v>
      </c>
      <c r="I195" s="15">
        <f t="shared" si="16"/>
        <v>0</v>
      </c>
      <c r="J195" s="2">
        <f t="shared" si="19"/>
        <v>0</v>
      </c>
      <c r="K195" s="2">
        <f t="shared" si="21"/>
        <v>0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0</v>
      </c>
      <c r="G196" s="2">
        <f t="shared" si="17"/>
        <v>0</v>
      </c>
      <c r="H196" s="2">
        <f t="shared" si="18"/>
        <v>0</v>
      </c>
      <c r="I196" s="15">
        <f t="shared" si="16"/>
        <v>0</v>
      </c>
      <c r="J196" s="2">
        <f t="shared" si="19"/>
        <v>0</v>
      </c>
      <c r="K196" s="2">
        <f t="shared" si="21"/>
        <v>0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0</v>
      </c>
      <c r="G197" s="2">
        <f t="shared" si="17"/>
        <v>0</v>
      </c>
      <c r="H197" s="2">
        <f t="shared" si="18"/>
        <v>0</v>
      </c>
      <c r="I197" s="15">
        <f t="shared" ref="I197:I260" si="22">IF(AND(MOD(D197,12)=2, $B$2&gt;0,K197&gt;$B$2),$B$2,IF(K197=0,0,IF(D197&lt;=$B$3,$I$1,0)))</f>
        <v>0</v>
      </c>
      <c r="J197" s="2">
        <f t="shared" si="19"/>
        <v>0</v>
      </c>
      <c r="K197" s="2">
        <f t="shared" si="21"/>
        <v>0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0</v>
      </c>
      <c r="G198" s="2">
        <f t="shared" si="17"/>
        <v>0</v>
      </c>
      <c r="H198" s="2">
        <f t="shared" si="18"/>
        <v>0</v>
      </c>
      <c r="I198" s="15">
        <f t="shared" si="22"/>
        <v>0</v>
      </c>
      <c r="J198" s="2">
        <f t="shared" si="19"/>
        <v>0</v>
      </c>
      <c r="K198" s="2">
        <f t="shared" si="21"/>
        <v>0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0</v>
      </c>
      <c r="G199" s="2">
        <f t="shared" ref="G199:G262" si="23">+F199-H199</f>
        <v>0</v>
      </c>
      <c r="H199" s="2">
        <f t="shared" si="18"/>
        <v>0</v>
      </c>
      <c r="I199" s="15">
        <f t="shared" si="22"/>
        <v>0</v>
      </c>
      <c r="J199" s="2">
        <f t="shared" si="19"/>
        <v>0</v>
      </c>
      <c r="K199" s="2">
        <f t="shared" si="21"/>
        <v>0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0</v>
      </c>
      <c r="G200" s="2">
        <f t="shared" si="23"/>
        <v>0</v>
      </c>
      <c r="H200" s="2">
        <f t="shared" ref="H200:H263" si="24">($G$2/12)*K200</f>
        <v>0</v>
      </c>
      <c r="I200" s="15">
        <f t="shared" si="22"/>
        <v>0</v>
      </c>
      <c r="J200" s="2">
        <f t="shared" ref="J200:J263" si="25">IF(K200=0,0,J199+H200)</f>
        <v>0</v>
      </c>
      <c r="K200" s="2">
        <f t="shared" si="21"/>
        <v>0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0</v>
      </c>
      <c r="G201" s="2">
        <f t="shared" si="23"/>
        <v>0</v>
      </c>
      <c r="H201" s="2">
        <f t="shared" si="24"/>
        <v>0</v>
      </c>
      <c r="I201" s="15">
        <f t="shared" si="22"/>
        <v>0</v>
      </c>
      <c r="J201" s="2">
        <f t="shared" si="25"/>
        <v>0</v>
      </c>
      <c r="K201" s="2">
        <f t="shared" si="21"/>
        <v>0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0</v>
      </c>
      <c r="G202" s="2">
        <f t="shared" si="23"/>
        <v>0</v>
      </c>
      <c r="H202" s="2">
        <f t="shared" si="24"/>
        <v>0</v>
      </c>
      <c r="I202" s="15">
        <f t="shared" si="22"/>
        <v>0</v>
      </c>
      <c r="J202" s="2">
        <f t="shared" si="25"/>
        <v>0</v>
      </c>
      <c r="K202" s="2">
        <f t="shared" ref="K202:K265" si="27">K201-G201</f>
        <v>0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0</v>
      </c>
      <c r="G203" s="2">
        <f t="shared" si="23"/>
        <v>0</v>
      </c>
      <c r="H203" s="2">
        <f t="shared" si="24"/>
        <v>0</v>
      </c>
      <c r="I203" s="15">
        <f t="shared" si="22"/>
        <v>0</v>
      </c>
      <c r="J203" s="2">
        <f t="shared" si="25"/>
        <v>0</v>
      </c>
      <c r="K203" s="2">
        <f t="shared" si="27"/>
        <v>0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0</v>
      </c>
      <c r="G204" s="2">
        <f t="shared" si="23"/>
        <v>0</v>
      </c>
      <c r="H204" s="2">
        <f t="shared" si="24"/>
        <v>0</v>
      </c>
      <c r="I204" s="15">
        <f t="shared" si="22"/>
        <v>0</v>
      </c>
      <c r="J204" s="2">
        <f t="shared" si="25"/>
        <v>0</v>
      </c>
      <c r="K204" s="2">
        <f t="shared" si="27"/>
        <v>0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0</v>
      </c>
      <c r="G205" s="2">
        <f t="shared" si="23"/>
        <v>0</v>
      </c>
      <c r="H205" s="2">
        <f t="shared" si="24"/>
        <v>0</v>
      </c>
      <c r="I205" s="15">
        <f t="shared" si="22"/>
        <v>0</v>
      </c>
      <c r="J205" s="2">
        <f t="shared" si="25"/>
        <v>0</v>
      </c>
      <c r="K205" s="2">
        <f t="shared" si="27"/>
        <v>0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0</v>
      </c>
      <c r="G206" s="2">
        <f t="shared" si="23"/>
        <v>0</v>
      </c>
      <c r="H206" s="2">
        <f t="shared" si="24"/>
        <v>0</v>
      </c>
      <c r="I206" s="15">
        <f t="shared" si="22"/>
        <v>0</v>
      </c>
      <c r="J206" s="2">
        <f t="shared" si="25"/>
        <v>0</v>
      </c>
      <c r="K206" s="2">
        <f t="shared" si="27"/>
        <v>0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0</v>
      </c>
      <c r="G207" s="2">
        <f t="shared" si="23"/>
        <v>0</v>
      </c>
      <c r="H207" s="2">
        <f t="shared" si="24"/>
        <v>0</v>
      </c>
      <c r="I207" s="15">
        <f t="shared" si="22"/>
        <v>0</v>
      </c>
      <c r="J207" s="2">
        <f t="shared" si="25"/>
        <v>0</v>
      </c>
      <c r="K207" s="2">
        <f t="shared" si="27"/>
        <v>0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0</v>
      </c>
      <c r="G208" s="2">
        <f t="shared" si="23"/>
        <v>0</v>
      </c>
      <c r="H208" s="2">
        <f t="shared" si="24"/>
        <v>0</v>
      </c>
      <c r="I208" s="15">
        <f t="shared" si="22"/>
        <v>0</v>
      </c>
      <c r="J208" s="2">
        <f t="shared" si="25"/>
        <v>0</v>
      </c>
      <c r="K208" s="2">
        <f t="shared" si="27"/>
        <v>0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0</v>
      </c>
      <c r="G209" s="2">
        <f t="shared" si="23"/>
        <v>0</v>
      </c>
      <c r="H209" s="2">
        <f t="shared" si="24"/>
        <v>0</v>
      </c>
      <c r="I209" s="15">
        <f t="shared" si="22"/>
        <v>0</v>
      </c>
      <c r="J209" s="2">
        <f t="shared" si="25"/>
        <v>0</v>
      </c>
      <c r="K209" s="2">
        <f t="shared" si="27"/>
        <v>0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0</v>
      </c>
      <c r="G210" s="2">
        <f t="shared" si="23"/>
        <v>0</v>
      </c>
      <c r="H210" s="2">
        <f t="shared" si="24"/>
        <v>0</v>
      </c>
      <c r="I210" s="15">
        <f t="shared" si="22"/>
        <v>0</v>
      </c>
      <c r="J210" s="2">
        <f t="shared" si="25"/>
        <v>0</v>
      </c>
      <c r="K210" s="2">
        <f t="shared" si="27"/>
        <v>0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0</v>
      </c>
      <c r="G211" s="2">
        <f t="shared" si="23"/>
        <v>0</v>
      </c>
      <c r="H211" s="2">
        <f t="shared" si="24"/>
        <v>0</v>
      </c>
      <c r="I211" s="15">
        <f t="shared" si="22"/>
        <v>0</v>
      </c>
      <c r="J211" s="2">
        <f t="shared" si="25"/>
        <v>0</v>
      </c>
      <c r="K211" s="2">
        <f t="shared" si="27"/>
        <v>0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0</v>
      </c>
      <c r="G212" s="2">
        <f t="shared" si="23"/>
        <v>0</v>
      </c>
      <c r="H212" s="2">
        <f t="shared" si="24"/>
        <v>0</v>
      </c>
      <c r="I212" s="15">
        <f t="shared" si="22"/>
        <v>0</v>
      </c>
      <c r="J212" s="2">
        <f t="shared" si="25"/>
        <v>0</v>
      </c>
      <c r="K212" s="2">
        <f t="shared" si="27"/>
        <v>0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0</v>
      </c>
      <c r="G213" s="2">
        <f t="shared" si="23"/>
        <v>0</v>
      </c>
      <c r="H213" s="2">
        <f t="shared" si="24"/>
        <v>0</v>
      </c>
      <c r="I213" s="15">
        <f t="shared" si="22"/>
        <v>0</v>
      </c>
      <c r="J213" s="2">
        <f t="shared" si="25"/>
        <v>0</v>
      </c>
      <c r="K213" s="2">
        <f t="shared" si="27"/>
        <v>0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0</v>
      </c>
      <c r="G214" s="2">
        <f t="shared" si="23"/>
        <v>0</v>
      </c>
      <c r="H214" s="2">
        <f t="shared" si="24"/>
        <v>0</v>
      </c>
      <c r="I214" s="15">
        <f t="shared" si="22"/>
        <v>0</v>
      </c>
      <c r="J214" s="2">
        <f t="shared" si="25"/>
        <v>0</v>
      </c>
      <c r="K214" s="2">
        <f t="shared" si="27"/>
        <v>0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0</v>
      </c>
      <c r="G215" s="2">
        <f t="shared" si="23"/>
        <v>0</v>
      </c>
      <c r="H215" s="2">
        <f t="shared" si="24"/>
        <v>0</v>
      </c>
      <c r="I215" s="15">
        <f t="shared" si="22"/>
        <v>0</v>
      </c>
      <c r="J215" s="2">
        <f t="shared" si="25"/>
        <v>0</v>
      </c>
      <c r="K215" s="2">
        <f t="shared" si="27"/>
        <v>0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0</v>
      </c>
      <c r="G216" s="2">
        <f t="shared" si="23"/>
        <v>0</v>
      </c>
      <c r="H216" s="2">
        <f t="shared" si="24"/>
        <v>0</v>
      </c>
      <c r="I216" s="15">
        <f t="shared" si="22"/>
        <v>0</v>
      </c>
      <c r="J216" s="2">
        <f t="shared" si="25"/>
        <v>0</v>
      </c>
      <c r="K216" s="2">
        <f t="shared" si="27"/>
        <v>0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0</v>
      </c>
      <c r="G217" s="2">
        <f t="shared" si="23"/>
        <v>0</v>
      </c>
      <c r="H217" s="2">
        <f t="shared" si="24"/>
        <v>0</v>
      </c>
      <c r="I217" s="15">
        <f t="shared" si="22"/>
        <v>0</v>
      </c>
      <c r="J217" s="2">
        <f t="shared" si="25"/>
        <v>0</v>
      </c>
      <c r="K217" s="2">
        <f t="shared" si="27"/>
        <v>0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0</v>
      </c>
      <c r="G218" s="2">
        <f t="shared" si="23"/>
        <v>0</v>
      </c>
      <c r="H218" s="2">
        <f t="shared" si="24"/>
        <v>0</v>
      </c>
      <c r="I218" s="15">
        <f t="shared" si="22"/>
        <v>0</v>
      </c>
      <c r="J218" s="2">
        <f t="shared" si="25"/>
        <v>0</v>
      </c>
      <c r="K218" s="2">
        <f t="shared" si="27"/>
        <v>0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0</v>
      </c>
      <c r="G219" s="2">
        <f t="shared" si="23"/>
        <v>0</v>
      </c>
      <c r="H219" s="2">
        <f t="shared" si="24"/>
        <v>0</v>
      </c>
      <c r="I219" s="15">
        <f t="shared" si="22"/>
        <v>0</v>
      </c>
      <c r="J219" s="2">
        <f t="shared" si="25"/>
        <v>0</v>
      </c>
      <c r="K219" s="2">
        <f t="shared" si="27"/>
        <v>0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0</v>
      </c>
      <c r="G220" s="2">
        <f t="shared" si="23"/>
        <v>0</v>
      </c>
      <c r="H220" s="2">
        <f t="shared" si="24"/>
        <v>0</v>
      </c>
      <c r="I220" s="15">
        <f t="shared" si="22"/>
        <v>0</v>
      </c>
      <c r="J220" s="2">
        <f t="shared" si="25"/>
        <v>0</v>
      </c>
      <c r="K220" s="2">
        <f t="shared" si="27"/>
        <v>0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0</v>
      </c>
      <c r="G221" s="2">
        <f t="shared" si="23"/>
        <v>0</v>
      </c>
      <c r="H221" s="2">
        <f t="shared" si="24"/>
        <v>0</v>
      </c>
      <c r="I221" s="15">
        <f t="shared" si="22"/>
        <v>0</v>
      </c>
      <c r="J221" s="2">
        <f t="shared" si="25"/>
        <v>0</v>
      </c>
      <c r="K221" s="2">
        <f t="shared" si="27"/>
        <v>0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0</v>
      </c>
      <c r="G222" s="2">
        <f t="shared" si="23"/>
        <v>0</v>
      </c>
      <c r="H222" s="2">
        <f t="shared" si="24"/>
        <v>0</v>
      </c>
      <c r="I222" s="15">
        <f t="shared" si="22"/>
        <v>0</v>
      </c>
      <c r="J222" s="2">
        <f t="shared" si="25"/>
        <v>0</v>
      </c>
      <c r="K222" s="2">
        <f t="shared" si="27"/>
        <v>0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0</v>
      </c>
      <c r="G223" s="2">
        <f t="shared" si="23"/>
        <v>0</v>
      </c>
      <c r="H223" s="2">
        <f t="shared" si="24"/>
        <v>0</v>
      </c>
      <c r="I223" s="15">
        <f t="shared" si="22"/>
        <v>0</v>
      </c>
      <c r="J223" s="2">
        <f t="shared" si="25"/>
        <v>0</v>
      </c>
      <c r="K223" s="2">
        <f t="shared" si="27"/>
        <v>0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0</v>
      </c>
      <c r="G224" s="2">
        <f t="shared" si="23"/>
        <v>0</v>
      </c>
      <c r="H224" s="2">
        <f t="shared" si="24"/>
        <v>0</v>
      </c>
      <c r="I224" s="15">
        <f t="shared" si="22"/>
        <v>0</v>
      </c>
      <c r="J224" s="2">
        <f t="shared" si="25"/>
        <v>0</v>
      </c>
      <c r="K224" s="2">
        <f t="shared" si="27"/>
        <v>0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0</v>
      </c>
      <c r="G225" s="2">
        <f t="shared" si="23"/>
        <v>0</v>
      </c>
      <c r="H225" s="2">
        <f t="shared" si="24"/>
        <v>0</v>
      </c>
      <c r="I225" s="15">
        <f t="shared" si="22"/>
        <v>0</v>
      </c>
      <c r="J225" s="2">
        <f t="shared" si="25"/>
        <v>0</v>
      </c>
      <c r="K225" s="2">
        <f t="shared" si="27"/>
        <v>0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0</v>
      </c>
      <c r="G226" s="2">
        <f t="shared" si="23"/>
        <v>0</v>
      </c>
      <c r="H226" s="2">
        <f t="shared" si="24"/>
        <v>0</v>
      </c>
      <c r="I226" s="15">
        <f t="shared" si="22"/>
        <v>0</v>
      </c>
      <c r="J226" s="2">
        <f t="shared" si="25"/>
        <v>0</v>
      </c>
      <c r="K226" s="2">
        <f t="shared" si="27"/>
        <v>0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0</v>
      </c>
      <c r="G227" s="2">
        <f t="shared" si="23"/>
        <v>0</v>
      </c>
      <c r="H227" s="2">
        <f t="shared" si="24"/>
        <v>0</v>
      </c>
      <c r="I227" s="15">
        <f t="shared" si="22"/>
        <v>0</v>
      </c>
      <c r="J227" s="2">
        <f t="shared" si="25"/>
        <v>0</v>
      </c>
      <c r="K227" s="2">
        <f t="shared" si="27"/>
        <v>0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0</v>
      </c>
      <c r="G228" s="2">
        <f t="shared" si="23"/>
        <v>0</v>
      </c>
      <c r="H228" s="2">
        <f t="shared" si="24"/>
        <v>0</v>
      </c>
      <c r="I228" s="15">
        <f t="shared" si="22"/>
        <v>0</v>
      </c>
      <c r="J228" s="2">
        <f t="shared" si="25"/>
        <v>0</v>
      </c>
      <c r="K228" s="2">
        <f t="shared" si="27"/>
        <v>0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0</v>
      </c>
      <c r="G229" s="2">
        <f t="shared" si="23"/>
        <v>0</v>
      </c>
      <c r="H229" s="2">
        <f t="shared" si="24"/>
        <v>0</v>
      </c>
      <c r="I229" s="15">
        <f t="shared" si="22"/>
        <v>0</v>
      </c>
      <c r="J229" s="2">
        <f t="shared" si="25"/>
        <v>0</v>
      </c>
      <c r="K229" s="2">
        <f t="shared" si="27"/>
        <v>0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0</v>
      </c>
      <c r="G230" s="2">
        <f t="shared" si="23"/>
        <v>0</v>
      </c>
      <c r="H230" s="2">
        <f t="shared" si="24"/>
        <v>0</v>
      </c>
      <c r="I230" s="15">
        <f t="shared" si="22"/>
        <v>0</v>
      </c>
      <c r="J230" s="2">
        <f t="shared" si="25"/>
        <v>0</v>
      </c>
      <c r="K230" s="2">
        <f t="shared" si="27"/>
        <v>0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0</v>
      </c>
      <c r="G231" s="2">
        <f t="shared" si="23"/>
        <v>0</v>
      </c>
      <c r="H231" s="2">
        <f t="shared" si="24"/>
        <v>0</v>
      </c>
      <c r="I231" s="15">
        <f t="shared" si="22"/>
        <v>0</v>
      </c>
      <c r="J231" s="2">
        <f t="shared" si="25"/>
        <v>0</v>
      </c>
      <c r="K231" s="2">
        <f t="shared" si="27"/>
        <v>0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0</v>
      </c>
      <c r="G232" s="2">
        <f t="shared" si="23"/>
        <v>0</v>
      </c>
      <c r="H232" s="2">
        <f t="shared" si="24"/>
        <v>0</v>
      </c>
      <c r="I232" s="15">
        <f t="shared" si="22"/>
        <v>0</v>
      </c>
      <c r="J232" s="2">
        <f t="shared" si="25"/>
        <v>0</v>
      </c>
      <c r="K232" s="2">
        <f t="shared" si="27"/>
        <v>0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0</v>
      </c>
      <c r="G233" s="2">
        <f t="shared" si="23"/>
        <v>0</v>
      </c>
      <c r="H233" s="2">
        <f t="shared" si="24"/>
        <v>0</v>
      </c>
      <c r="I233" s="15">
        <f t="shared" si="22"/>
        <v>0</v>
      </c>
      <c r="J233" s="2">
        <f t="shared" si="25"/>
        <v>0</v>
      </c>
      <c r="K233" s="2">
        <f t="shared" si="27"/>
        <v>0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0</v>
      </c>
      <c r="G234" s="2">
        <f t="shared" si="23"/>
        <v>0</v>
      </c>
      <c r="H234" s="2">
        <f t="shared" si="24"/>
        <v>0</v>
      </c>
      <c r="I234" s="15">
        <f t="shared" si="22"/>
        <v>0</v>
      </c>
      <c r="J234" s="2">
        <f t="shared" si="25"/>
        <v>0</v>
      </c>
      <c r="K234" s="2">
        <f t="shared" si="27"/>
        <v>0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0</v>
      </c>
      <c r="G235" s="2">
        <f t="shared" si="23"/>
        <v>0</v>
      </c>
      <c r="H235" s="2">
        <f t="shared" si="24"/>
        <v>0</v>
      </c>
      <c r="I235" s="15">
        <f t="shared" si="22"/>
        <v>0</v>
      </c>
      <c r="J235" s="2">
        <f t="shared" si="25"/>
        <v>0</v>
      </c>
      <c r="K235" s="2">
        <f t="shared" si="27"/>
        <v>0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0</v>
      </c>
      <c r="G236" s="2">
        <f t="shared" si="23"/>
        <v>0</v>
      </c>
      <c r="H236" s="2">
        <f t="shared" si="24"/>
        <v>0</v>
      </c>
      <c r="I236" s="15">
        <f t="shared" si="22"/>
        <v>0</v>
      </c>
      <c r="J236" s="2">
        <f t="shared" si="25"/>
        <v>0</v>
      </c>
      <c r="K236" s="2">
        <f t="shared" si="27"/>
        <v>0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0</v>
      </c>
      <c r="G237" s="2">
        <f t="shared" si="23"/>
        <v>0</v>
      </c>
      <c r="H237" s="2">
        <f t="shared" si="24"/>
        <v>0</v>
      </c>
      <c r="I237" s="15">
        <f t="shared" si="22"/>
        <v>0</v>
      </c>
      <c r="J237" s="2">
        <f t="shared" si="25"/>
        <v>0</v>
      </c>
      <c r="K237" s="2">
        <f t="shared" si="27"/>
        <v>0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0</v>
      </c>
      <c r="G238" s="2">
        <f t="shared" si="23"/>
        <v>0</v>
      </c>
      <c r="H238" s="2">
        <f t="shared" si="24"/>
        <v>0</v>
      </c>
      <c r="I238" s="15">
        <f t="shared" si="22"/>
        <v>0</v>
      </c>
      <c r="J238" s="2">
        <f t="shared" si="25"/>
        <v>0</v>
      </c>
      <c r="K238" s="2">
        <f t="shared" si="27"/>
        <v>0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0</v>
      </c>
      <c r="G239" s="2">
        <f t="shared" si="23"/>
        <v>0</v>
      </c>
      <c r="H239" s="2">
        <f t="shared" si="24"/>
        <v>0</v>
      </c>
      <c r="I239" s="15">
        <f t="shared" si="22"/>
        <v>0</v>
      </c>
      <c r="J239" s="2">
        <f t="shared" si="25"/>
        <v>0</v>
      </c>
      <c r="K239" s="2">
        <f t="shared" si="27"/>
        <v>0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0</v>
      </c>
      <c r="G240" s="2">
        <f t="shared" si="23"/>
        <v>0</v>
      </c>
      <c r="H240" s="2">
        <f t="shared" si="24"/>
        <v>0</v>
      </c>
      <c r="I240" s="15">
        <f t="shared" si="22"/>
        <v>0</v>
      </c>
      <c r="J240" s="2">
        <f t="shared" si="25"/>
        <v>0</v>
      </c>
      <c r="K240" s="2">
        <f t="shared" si="27"/>
        <v>0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0</v>
      </c>
      <c r="G241" s="2">
        <f t="shared" si="23"/>
        <v>0</v>
      </c>
      <c r="H241" s="2">
        <f t="shared" si="24"/>
        <v>0</v>
      </c>
      <c r="I241" s="15">
        <f t="shared" si="22"/>
        <v>0</v>
      </c>
      <c r="J241" s="2">
        <f t="shared" si="25"/>
        <v>0</v>
      </c>
      <c r="K241" s="2">
        <f t="shared" si="27"/>
        <v>0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0</v>
      </c>
      <c r="G242" s="2">
        <f t="shared" si="23"/>
        <v>0</v>
      </c>
      <c r="H242" s="2">
        <f t="shared" si="24"/>
        <v>0</v>
      </c>
      <c r="I242" s="15">
        <f t="shared" si="22"/>
        <v>0</v>
      </c>
      <c r="J242" s="2">
        <f t="shared" si="25"/>
        <v>0</v>
      </c>
      <c r="K242" s="2">
        <f t="shared" si="27"/>
        <v>0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0</v>
      </c>
      <c r="G243" s="2">
        <f t="shared" si="23"/>
        <v>0</v>
      </c>
      <c r="H243" s="2">
        <f t="shared" si="24"/>
        <v>0</v>
      </c>
      <c r="I243" s="15">
        <f t="shared" si="22"/>
        <v>0</v>
      </c>
      <c r="J243" s="2">
        <f t="shared" si="25"/>
        <v>0</v>
      </c>
      <c r="K243" s="2">
        <f t="shared" si="27"/>
        <v>0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0</v>
      </c>
      <c r="G244" s="2">
        <f t="shared" si="23"/>
        <v>0</v>
      </c>
      <c r="H244" s="2">
        <f t="shared" si="24"/>
        <v>0</v>
      </c>
      <c r="I244" s="15">
        <f t="shared" si="22"/>
        <v>0</v>
      </c>
      <c r="J244" s="2">
        <f t="shared" si="25"/>
        <v>0</v>
      </c>
      <c r="K244" s="2">
        <f t="shared" si="27"/>
        <v>0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0</v>
      </c>
      <c r="G245" s="2">
        <f t="shared" si="23"/>
        <v>0</v>
      </c>
      <c r="H245" s="2">
        <f t="shared" si="24"/>
        <v>0</v>
      </c>
      <c r="I245" s="15">
        <f t="shared" si="22"/>
        <v>0</v>
      </c>
      <c r="J245" s="2">
        <f t="shared" si="25"/>
        <v>0</v>
      </c>
      <c r="K245" s="2">
        <f t="shared" si="27"/>
        <v>0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0</v>
      </c>
      <c r="G246" s="2">
        <f t="shared" si="23"/>
        <v>0</v>
      </c>
      <c r="H246" s="2">
        <f t="shared" si="24"/>
        <v>0</v>
      </c>
      <c r="I246" s="15">
        <f t="shared" si="22"/>
        <v>0</v>
      </c>
      <c r="J246" s="2">
        <f t="shared" si="25"/>
        <v>0</v>
      </c>
      <c r="K246" s="2">
        <f t="shared" si="27"/>
        <v>0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0</v>
      </c>
      <c r="G247" s="2">
        <f t="shared" si="23"/>
        <v>0</v>
      </c>
      <c r="H247" s="2">
        <f t="shared" si="24"/>
        <v>0</v>
      </c>
      <c r="I247" s="15">
        <f t="shared" si="22"/>
        <v>0</v>
      </c>
      <c r="J247" s="2">
        <f t="shared" si="25"/>
        <v>0</v>
      </c>
      <c r="K247" s="2">
        <f t="shared" si="27"/>
        <v>0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0</v>
      </c>
      <c r="G248" s="2">
        <f t="shared" si="23"/>
        <v>0</v>
      </c>
      <c r="H248" s="2">
        <f t="shared" si="24"/>
        <v>0</v>
      </c>
      <c r="I248" s="15">
        <f t="shared" si="22"/>
        <v>0</v>
      </c>
      <c r="J248" s="2">
        <f t="shared" si="25"/>
        <v>0</v>
      </c>
      <c r="K248" s="2">
        <f t="shared" si="27"/>
        <v>0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0</v>
      </c>
      <c r="G249" s="2">
        <f t="shared" si="23"/>
        <v>0</v>
      </c>
      <c r="H249" s="2">
        <f t="shared" si="24"/>
        <v>0</v>
      </c>
      <c r="I249" s="15">
        <f t="shared" si="22"/>
        <v>0</v>
      </c>
      <c r="J249" s="2">
        <f t="shared" si="25"/>
        <v>0</v>
      </c>
      <c r="K249" s="2">
        <f t="shared" si="27"/>
        <v>0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0</v>
      </c>
      <c r="G250" s="2">
        <f t="shared" si="23"/>
        <v>0</v>
      </c>
      <c r="H250" s="2">
        <f t="shared" si="24"/>
        <v>0</v>
      </c>
      <c r="I250" s="15">
        <f t="shared" si="22"/>
        <v>0</v>
      </c>
      <c r="J250" s="2">
        <f t="shared" si="25"/>
        <v>0</v>
      </c>
      <c r="K250" s="2">
        <f t="shared" si="27"/>
        <v>0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0</v>
      </c>
      <c r="G251" s="2">
        <f t="shared" si="23"/>
        <v>0</v>
      </c>
      <c r="H251" s="2">
        <f t="shared" si="24"/>
        <v>0</v>
      </c>
      <c r="I251" s="15">
        <f t="shared" si="22"/>
        <v>0</v>
      </c>
      <c r="J251" s="2">
        <f t="shared" si="25"/>
        <v>0</v>
      </c>
      <c r="K251" s="2">
        <f t="shared" si="27"/>
        <v>0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0</v>
      </c>
      <c r="G252" s="2">
        <f t="shared" si="23"/>
        <v>0</v>
      </c>
      <c r="H252" s="2">
        <f t="shared" si="24"/>
        <v>0</v>
      </c>
      <c r="I252" s="15">
        <f t="shared" si="22"/>
        <v>0</v>
      </c>
      <c r="J252" s="2">
        <f t="shared" si="25"/>
        <v>0</v>
      </c>
      <c r="K252" s="2">
        <f t="shared" si="27"/>
        <v>0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0</v>
      </c>
      <c r="G253" s="2">
        <f t="shared" si="23"/>
        <v>0</v>
      </c>
      <c r="H253" s="2">
        <f t="shared" si="24"/>
        <v>0</v>
      </c>
      <c r="I253" s="15">
        <f t="shared" si="22"/>
        <v>0</v>
      </c>
      <c r="J253" s="2">
        <f t="shared" si="25"/>
        <v>0</v>
      </c>
      <c r="K253" s="2">
        <f t="shared" si="27"/>
        <v>0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0</v>
      </c>
      <c r="G254" s="2">
        <f t="shared" si="23"/>
        <v>0</v>
      </c>
      <c r="H254" s="2">
        <f t="shared" si="24"/>
        <v>0</v>
      </c>
      <c r="I254" s="15">
        <f t="shared" si="22"/>
        <v>0</v>
      </c>
      <c r="J254" s="2">
        <f t="shared" si="25"/>
        <v>0</v>
      </c>
      <c r="K254" s="2">
        <f t="shared" si="27"/>
        <v>0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0</v>
      </c>
      <c r="G255" s="2">
        <f t="shared" si="23"/>
        <v>0</v>
      </c>
      <c r="H255" s="2">
        <f t="shared" si="24"/>
        <v>0</v>
      </c>
      <c r="I255" s="15">
        <f t="shared" si="22"/>
        <v>0</v>
      </c>
      <c r="J255" s="2">
        <f t="shared" si="25"/>
        <v>0</v>
      </c>
      <c r="K255" s="2">
        <f t="shared" si="27"/>
        <v>0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0</v>
      </c>
      <c r="G256" s="2">
        <f t="shared" si="23"/>
        <v>0</v>
      </c>
      <c r="H256" s="2">
        <f t="shared" si="24"/>
        <v>0</v>
      </c>
      <c r="I256" s="15">
        <f t="shared" si="22"/>
        <v>0</v>
      </c>
      <c r="J256" s="2">
        <f t="shared" si="25"/>
        <v>0</v>
      </c>
      <c r="K256" s="2">
        <f t="shared" si="27"/>
        <v>0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0</v>
      </c>
      <c r="G257" s="2">
        <f t="shared" si="23"/>
        <v>0</v>
      </c>
      <c r="H257" s="2">
        <f t="shared" si="24"/>
        <v>0</v>
      </c>
      <c r="I257" s="15">
        <f t="shared" si="22"/>
        <v>0</v>
      </c>
      <c r="J257" s="2">
        <f t="shared" si="25"/>
        <v>0</v>
      </c>
      <c r="K257" s="2">
        <f t="shared" si="27"/>
        <v>0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0</v>
      </c>
      <c r="G258" s="2">
        <f t="shared" si="23"/>
        <v>0</v>
      </c>
      <c r="H258" s="2">
        <f t="shared" si="24"/>
        <v>0</v>
      </c>
      <c r="I258" s="15">
        <f t="shared" si="22"/>
        <v>0</v>
      </c>
      <c r="J258" s="2">
        <f t="shared" si="25"/>
        <v>0</v>
      </c>
      <c r="K258" s="2">
        <f t="shared" si="27"/>
        <v>0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0</v>
      </c>
      <c r="G259" s="2">
        <f t="shared" si="23"/>
        <v>0</v>
      </c>
      <c r="H259" s="2">
        <f t="shared" si="24"/>
        <v>0</v>
      </c>
      <c r="I259" s="15">
        <f t="shared" si="22"/>
        <v>0</v>
      </c>
      <c r="J259" s="2">
        <f t="shared" si="25"/>
        <v>0</v>
      </c>
      <c r="K259" s="2">
        <f t="shared" si="27"/>
        <v>0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0</v>
      </c>
      <c r="G260" s="2">
        <f t="shared" si="23"/>
        <v>0</v>
      </c>
      <c r="H260" s="2">
        <f t="shared" si="24"/>
        <v>0</v>
      </c>
      <c r="I260" s="15">
        <f t="shared" si="22"/>
        <v>0</v>
      </c>
      <c r="J260" s="2">
        <f t="shared" si="25"/>
        <v>0</v>
      </c>
      <c r="K260" s="2">
        <f t="shared" si="27"/>
        <v>0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0</v>
      </c>
      <c r="G261" s="2">
        <f t="shared" si="23"/>
        <v>0</v>
      </c>
      <c r="H261" s="2">
        <f t="shared" si="24"/>
        <v>0</v>
      </c>
      <c r="I261" s="15">
        <f t="shared" ref="I261:I324" si="28">IF(AND(MOD(D261,12)=2, $B$2&gt;0,K261&gt;$B$2),$B$2,IF(K261=0,0,IF(D261&lt;=$B$3,$I$1,0)))</f>
        <v>0</v>
      </c>
      <c r="J261" s="2">
        <f t="shared" si="25"/>
        <v>0</v>
      </c>
      <c r="K261" s="2">
        <f t="shared" si="27"/>
        <v>0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0</v>
      </c>
      <c r="G262" s="2">
        <f t="shared" si="23"/>
        <v>0</v>
      </c>
      <c r="H262" s="2">
        <f t="shared" si="24"/>
        <v>0</v>
      </c>
      <c r="I262" s="15">
        <f t="shared" si="28"/>
        <v>0</v>
      </c>
      <c r="J262" s="2">
        <f t="shared" si="25"/>
        <v>0</v>
      </c>
      <c r="K262" s="2">
        <f t="shared" si="27"/>
        <v>0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0</v>
      </c>
      <c r="G263" s="2">
        <f t="shared" ref="G263:G326" si="29">+F263-H263</f>
        <v>0</v>
      </c>
      <c r="H263" s="2">
        <f t="shared" si="24"/>
        <v>0</v>
      </c>
      <c r="I263" s="15">
        <f t="shared" si="28"/>
        <v>0</v>
      </c>
      <c r="J263" s="2">
        <f t="shared" si="25"/>
        <v>0</v>
      </c>
      <c r="K263" s="2">
        <f t="shared" si="27"/>
        <v>0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0</v>
      </c>
      <c r="G264" s="2">
        <f t="shared" si="29"/>
        <v>0</v>
      </c>
      <c r="H264" s="2">
        <f t="shared" ref="H264:H327" si="30">($G$2/12)*K264</f>
        <v>0</v>
      </c>
      <c r="I264" s="15">
        <f t="shared" si="28"/>
        <v>0</v>
      </c>
      <c r="J264" s="2">
        <f t="shared" ref="J264:J327" si="31">IF(K264=0,0,J263+H264)</f>
        <v>0</v>
      </c>
      <c r="K264" s="2">
        <f t="shared" si="27"/>
        <v>0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0</v>
      </c>
      <c r="G265" s="2">
        <f t="shared" si="29"/>
        <v>0</v>
      </c>
      <c r="H265" s="2">
        <f t="shared" si="30"/>
        <v>0</v>
      </c>
      <c r="I265" s="15">
        <f t="shared" si="28"/>
        <v>0</v>
      </c>
      <c r="J265" s="2">
        <f t="shared" si="31"/>
        <v>0</v>
      </c>
      <c r="K265" s="2">
        <f t="shared" si="27"/>
        <v>0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0</v>
      </c>
      <c r="G266" s="2">
        <f t="shared" si="29"/>
        <v>0</v>
      </c>
      <c r="H266" s="2">
        <f t="shared" si="30"/>
        <v>0</v>
      </c>
      <c r="I266" s="15">
        <f t="shared" si="28"/>
        <v>0</v>
      </c>
      <c r="J266" s="2">
        <f t="shared" si="31"/>
        <v>0</v>
      </c>
      <c r="K266" s="2">
        <f t="shared" ref="K266:K329" si="33">K265-G265</f>
        <v>0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0</v>
      </c>
      <c r="G267" s="2">
        <f t="shared" si="29"/>
        <v>0</v>
      </c>
      <c r="H267" s="2">
        <f t="shared" si="30"/>
        <v>0</v>
      </c>
      <c r="I267" s="15">
        <f t="shared" si="28"/>
        <v>0</v>
      </c>
      <c r="J267" s="2">
        <f t="shared" si="31"/>
        <v>0</v>
      </c>
      <c r="K267" s="2">
        <f t="shared" si="33"/>
        <v>0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0</v>
      </c>
      <c r="G268" s="2">
        <f t="shared" si="29"/>
        <v>0</v>
      </c>
      <c r="H268" s="2">
        <f t="shared" si="30"/>
        <v>0</v>
      </c>
      <c r="I268" s="15">
        <f t="shared" si="28"/>
        <v>0</v>
      </c>
      <c r="J268" s="2">
        <f t="shared" si="31"/>
        <v>0</v>
      </c>
      <c r="K268" s="2">
        <f t="shared" si="33"/>
        <v>0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0</v>
      </c>
      <c r="G269" s="2">
        <f t="shared" si="29"/>
        <v>0</v>
      </c>
      <c r="H269" s="2">
        <f t="shared" si="30"/>
        <v>0</v>
      </c>
      <c r="I269" s="15">
        <f t="shared" si="28"/>
        <v>0</v>
      </c>
      <c r="J269" s="2">
        <f t="shared" si="31"/>
        <v>0</v>
      </c>
      <c r="K269" s="2">
        <f t="shared" si="33"/>
        <v>0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0</v>
      </c>
      <c r="G270" s="2">
        <f t="shared" si="29"/>
        <v>0</v>
      </c>
      <c r="H270" s="2">
        <f t="shared" si="30"/>
        <v>0</v>
      </c>
      <c r="I270" s="15">
        <f t="shared" si="28"/>
        <v>0</v>
      </c>
      <c r="J270" s="2">
        <f t="shared" si="31"/>
        <v>0</v>
      </c>
      <c r="K270" s="2">
        <f t="shared" si="33"/>
        <v>0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0</v>
      </c>
      <c r="G271" s="2">
        <f t="shared" si="29"/>
        <v>0</v>
      </c>
      <c r="H271" s="2">
        <f t="shared" si="30"/>
        <v>0</v>
      </c>
      <c r="I271" s="15">
        <f t="shared" si="28"/>
        <v>0</v>
      </c>
      <c r="J271" s="2">
        <f t="shared" si="31"/>
        <v>0</v>
      </c>
      <c r="K271" s="2">
        <f t="shared" si="33"/>
        <v>0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0</v>
      </c>
      <c r="G272" s="2">
        <f t="shared" si="29"/>
        <v>0</v>
      </c>
      <c r="H272" s="2">
        <f t="shared" si="30"/>
        <v>0</v>
      </c>
      <c r="I272" s="15">
        <f t="shared" si="28"/>
        <v>0</v>
      </c>
      <c r="J272" s="2">
        <f t="shared" si="31"/>
        <v>0</v>
      </c>
      <c r="K272" s="2">
        <f t="shared" si="33"/>
        <v>0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0</v>
      </c>
      <c r="G273" s="2">
        <f t="shared" si="29"/>
        <v>0</v>
      </c>
      <c r="H273" s="2">
        <f t="shared" si="30"/>
        <v>0</v>
      </c>
      <c r="I273" s="15">
        <f t="shared" si="28"/>
        <v>0</v>
      </c>
      <c r="J273" s="2">
        <f t="shared" si="31"/>
        <v>0</v>
      </c>
      <c r="K273" s="2">
        <f t="shared" si="33"/>
        <v>0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0</v>
      </c>
      <c r="G274" s="2">
        <f t="shared" si="29"/>
        <v>0</v>
      </c>
      <c r="H274" s="2">
        <f t="shared" si="30"/>
        <v>0</v>
      </c>
      <c r="I274" s="15">
        <f t="shared" si="28"/>
        <v>0</v>
      </c>
      <c r="J274" s="2">
        <f t="shared" si="31"/>
        <v>0</v>
      </c>
      <c r="K274" s="2">
        <f t="shared" si="33"/>
        <v>0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0</v>
      </c>
      <c r="G275" s="2">
        <f t="shared" si="29"/>
        <v>0</v>
      </c>
      <c r="H275" s="2">
        <f t="shared" si="30"/>
        <v>0</v>
      </c>
      <c r="I275" s="15">
        <f t="shared" si="28"/>
        <v>0</v>
      </c>
      <c r="J275" s="2">
        <f t="shared" si="31"/>
        <v>0</v>
      </c>
      <c r="K275" s="2">
        <f t="shared" si="33"/>
        <v>0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0</v>
      </c>
      <c r="G276" s="2">
        <f t="shared" si="29"/>
        <v>0</v>
      </c>
      <c r="H276" s="2">
        <f t="shared" si="30"/>
        <v>0</v>
      </c>
      <c r="I276" s="15">
        <f t="shared" si="28"/>
        <v>0</v>
      </c>
      <c r="J276" s="2">
        <f t="shared" si="31"/>
        <v>0</v>
      </c>
      <c r="K276" s="2">
        <f t="shared" si="33"/>
        <v>0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0</v>
      </c>
      <c r="G277" s="2">
        <f t="shared" si="29"/>
        <v>0</v>
      </c>
      <c r="H277" s="2">
        <f t="shared" si="30"/>
        <v>0</v>
      </c>
      <c r="I277" s="15">
        <f t="shared" si="28"/>
        <v>0</v>
      </c>
      <c r="J277" s="2">
        <f t="shared" si="31"/>
        <v>0</v>
      </c>
      <c r="K277" s="2">
        <f t="shared" si="33"/>
        <v>0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0</v>
      </c>
      <c r="G278" s="2">
        <f t="shared" si="29"/>
        <v>0</v>
      </c>
      <c r="H278" s="2">
        <f t="shared" si="30"/>
        <v>0</v>
      </c>
      <c r="I278" s="15">
        <f t="shared" si="28"/>
        <v>0</v>
      </c>
      <c r="J278" s="2">
        <f t="shared" si="31"/>
        <v>0</v>
      </c>
      <c r="K278" s="2">
        <f t="shared" si="33"/>
        <v>0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0</v>
      </c>
      <c r="G279" s="2">
        <f t="shared" si="29"/>
        <v>0</v>
      </c>
      <c r="H279" s="2">
        <f t="shared" si="30"/>
        <v>0</v>
      </c>
      <c r="I279" s="15">
        <f t="shared" si="28"/>
        <v>0</v>
      </c>
      <c r="J279" s="2">
        <f t="shared" si="31"/>
        <v>0</v>
      </c>
      <c r="K279" s="2">
        <f t="shared" si="33"/>
        <v>0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0</v>
      </c>
      <c r="G280" s="2">
        <f t="shared" si="29"/>
        <v>0</v>
      </c>
      <c r="H280" s="2">
        <f t="shared" si="30"/>
        <v>0</v>
      </c>
      <c r="I280" s="15">
        <f t="shared" si="28"/>
        <v>0</v>
      </c>
      <c r="J280" s="2">
        <f t="shared" si="31"/>
        <v>0</v>
      </c>
      <c r="K280" s="2">
        <f t="shared" si="33"/>
        <v>0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0</v>
      </c>
      <c r="G281" s="2">
        <f t="shared" si="29"/>
        <v>0</v>
      </c>
      <c r="H281" s="2">
        <f t="shared" si="30"/>
        <v>0</v>
      </c>
      <c r="I281" s="15">
        <f t="shared" si="28"/>
        <v>0</v>
      </c>
      <c r="J281" s="2">
        <f t="shared" si="31"/>
        <v>0</v>
      </c>
      <c r="K281" s="2">
        <f t="shared" si="33"/>
        <v>0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0</v>
      </c>
      <c r="G282" s="2">
        <f t="shared" si="29"/>
        <v>0</v>
      </c>
      <c r="H282" s="2">
        <f t="shared" si="30"/>
        <v>0</v>
      </c>
      <c r="I282" s="15">
        <f t="shared" si="28"/>
        <v>0</v>
      </c>
      <c r="J282" s="2">
        <f t="shared" si="31"/>
        <v>0</v>
      </c>
      <c r="K282" s="2">
        <f t="shared" si="33"/>
        <v>0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0</v>
      </c>
      <c r="G283" s="2">
        <f t="shared" si="29"/>
        <v>0</v>
      </c>
      <c r="H283" s="2">
        <f t="shared" si="30"/>
        <v>0</v>
      </c>
      <c r="I283" s="15">
        <f t="shared" si="28"/>
        <v>0</v>
      </c>
      <c r="J283" s="2">
        <f t="shared" si="31"/>
        <v>0</v>
      </c>
      <c r="K283" s="2">
        <f t="shared" si="33"/>
        <v>0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0</v>
      </c>
      <c r="G284" s="2">
        <f t="shared" si="29"/>
        <v>0</v>
      </c>
      <c r="H284" s="2">
        <f t="shared" si="30"/>
        <v>0</v>
      </c>
      <c r="I284" s="15">
        <f t="shared" si="28"/>
        <v>0</v>
      </c>
      <c r="J284" s="2">
        <f t="shared" si="31"/>
        <v>0</v>
      </c>
      <c r="K284" s="2">
        <f t="shared" si="33"/>
        <v>0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0</v>
      </c>
      <c r="G285" s="2">
        <f t="shared" si="29"/>
        <v>0</v>
      </c>
      <c r="H285" s="2">
        <f t="shared" si="30"/>
        <v>0</v>
      </c>
      <c r="I285" s="15">
        <f t="shared" si="28"/>
        <v>0</v>
      </c>
      <c r="J285" s="2">
        <f t="shared" si="31"/>
        <v>0</v>
      </c>
      <c r="K285" s="2">
        <f t="shared" si="33"/>
        <v>0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0</v>
      </c>
      <c r="G286" s="2">
        <f t="shared" si="29"/>
        <v>0</v>
      </c>
      <c r="H286" s="2">
        <f t="shared" si="30"/>
        <v>0</v>
      </c>
      <c r="I286" s="15">
        <f t="shared" si="28"/>
        <v>0</v>
      </c>
      <c r="J286" s="2">
        <f t="shared" si="31"/>
        <v>0</v>
      </c>
      <c r="K286" s="2">
        <f t="shared" si="33"/>
        <v>0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0</v>
      </c>
      <c r="G287" s="2">
        <f t="shared" si="29"/>
        <v>0</v>
      </c>
      <c r="H287" s="2">
        <f t="shared" si="30"/>
        <v>0</v>
      </c>
      <c r="I287" s="15">
        <f t="shared" si="28"/>
        <v>0</v>
      </c>
      <c r="J287" s="2">
        <f t="shared" si="31"/>
        <v>0</v>
      </c>
      <c r="K287" s="2">
        <f t="shared" si="33"/>
        <v>0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0</v>
      </c>
      <c r="G288" s="2">
        <f t="shared" si="29"/>
        <v>0</v>
      </c>
      <c r="H288" s="2">
        <f t="shared" si="30"/>
        <v>0</v>
      </c>
      <c r="I288" s="15">
        <f t="shared" si="28"/>
        <v>0</v>
      </c>
      <c r="J288" s="2">
        <f t="shared" si="31"/>
        <v>0</v>
      </c>
      <c r="K288" s="2">
        <f t="shared" si="33"/>
        <v>0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0</v>
      </c>
      <c r="G289" s="2">
        <f t="shared" si="29"/>
        <v>0</v>
      </c>
      <c r="H289" s="2">
        <f t="shared" si="30"/>
        <v>0</v>
      </c>
      <c r="I289" s="15">
        <f t="shared" si="28"/>
        <v>0</v>
      </c>
      <c r="J289" s="2">
        <f t="shared" si="31"/>
        <v>0</v>
      </c>
      <c r="K289" s="2">
        <f t="shared" si="33"/>
        <v>0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0</v>
      </c>
      <c r="G290" s="2">
        <f t="shared" si="29"/>
        <v>0</v>
      </c>
      <c r="H290" s="2">
        <f t="shared" si="30"/>
        <v>0</v>
      </c>
      <c r="I290" s="15">
        <f t="shared" si="28"/>
        <v>0</v>
      </c>
      <c r="J290" s="2">
        <f t="shared" si="31"/>
        <v>0</v>
      </c>
      <c r="K290" s="2">
        <f t="shared" si="33"/>
        <v>0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0</v>
      </c>
      <c r="G291" s="2">
        <f t="shared" si="29"/>
        <v>0</v>
      </c>
      <c r="H291" s="2">
        <f t="shared" si="30"/>
        <v>0</v>
      </c>
      <c r="I291" s="15">
        <f t="shared" si="28"/>
        <v>0</v>
      </c>
      <c r="J291" s="2">
        <f t="shared" si="31"/>
        <v>0</v>
      </c>
      <c r="K291" s="2">
        <f t="shared" si="33"/>
        <v>0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0</v>
      </c>
      <c r="G292" s="2">
        <f t="shared" si="29"/>
        <v>0</v>
      </c>
      <c r="H292" s="2">
        <f t="shared" si="30"/>
        <v>0</v>
      </c>
      <c r="I292" s="15">
        <f t="shared" si="28"/>
        <v>0</v>
      </c>
      <c r="J292" s="2">
        <f t="shared" si="31"/>
        <v>0</v>
      </c>
      <c r="K292" s="2">
        <f t="shared" si="33"/>
        <v>0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0</v>
      </c>
      <c r="G293" s="2">
        <f t="shared" si="29"/>
        <v>0</v>
      </c>
      <c r="H293" s="2">
        <f t="shared" si="30"/>
        <v>0</v>
      </c>
      <c r="I293" s="15">
        <f t="shared" si="28"/>
        <v>0</v>
      </c>
      <c r="J293" s="2">
        <f t="shared" si="31"/>
        <v>0</v>
      </c>
      <c r="K293" s="2">
        <f t="shared" si="33"/>
        <v>0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0</v>
      </c>
      <c r="G294" s="2">
        <f t="shared" si="29"/>
        <v>0</v>
      </c>
      <c r="H294" s="2">
        <f t="shared" si="30"/>
        <v>0</v>
      </c>
      <c r="I294" s="15">
        <f t="shared" si="28"/>
        <v>0</v>
      </c>
      <c r="J294" s="2">
        <f t="shared" si="31"/>
        <v>0</v>
      </c>
      <c r="K294" s="2">
        <f t="shared" si="33"/>
        <v>0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0</v>
      </c>
      <c r="G295" s="2">
        <f t="shared" si="29"/>
        <v>0</v>
      </c>
      <c r="H295" s="2">
        <f t="shared" si="30"/>
        <v>0</v>
      </c>
      <c r="I295" s="15">
        <f t="shared" si="28"/>
        <v>0</v>
      </c>
      <c r="J295" s="2">
        <f t="shared" si="31"/>
        <v>0</v>
      </c>
      <c r="K295" s="2">
        <f t="shared" si="33"/>
        <v>0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0</v>
      </c>
      <c r="G296" s="2">
        <f t="shared" si="29"/>
        <v>0</v>
      </c>
      <c r="H296" s="2">
        <f t="shared" si="30"/>
        <v>0</v>
      </c>
      <c r="I296" s="15">
        <f t="shared" si="28"/>
        <v>0</v>
      </c>
      <c r="J296" s="2">
        <f t="shared" si="31"/>
        <v>0</v>
      </c>
      <c r="K296" s="2">
        <f t="shared" si="33"/>
        <v>0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0</v>
      </c>
      <c r="G297" s="2">
        <f t="shared" si="29"/>
        <v>0</v>
      </c>
      <c r="H297" s="2">
        <f t="shared" si="30"/>
        <v>0</v>
      </c>
      <c r="I297" s="15">
        <f t="shared" si="28"/>
        <v>0</v>
      </c>
      <c r="J297" s="2">
        <f t="shared" si="31"/>
        <v>0</v>
      </c>
      <c r="K297" s="2">
        <f t="shared" si="33"/>
        <v>0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0</v>
      </c>
      <c r="G298" s="2">
        <f t="shared" si="29"/>
        <v>0</v>
      </c>
      <c r="H298" s="2">
        <f t="shared" si="30"/>
        <v>0</v>
      </c>
      <c r="I298" s="15">
        <f t="shared" si="28"/>
        <v>0</v>
      </c>
      <c r="J298" s="2">
        <f t="shared" si="31"/>
        <v>0</v>
      </c>
      <c r="K298" s="2">
        <f t="shared" si="33"/>
        <v>0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0</v>
      </c>
      <c r="G299" s="2">
        <f t="shared" si="29"/>
        <v>0</v>
      </c>
      <c r="H299" s="2">
        <f t="shared" si="30"/>
        <v>0</v>
      </c>
      <c r="I299" s="15">
        <f t="shared" si="28"/>
        <v>0</v>
      </c>
      <c r="J299" s="2">
        <f t="shared" si="31"/>
        <v>0</v>
      </c>
      <c r="K299" s="2">
        <f t="shared" si="33"/>
        <v>0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0</v>
      </c>
      <c r="G300" s="2">
        <f t="shared" si="29"/>
        <v>0</v>
      </c>
      <c r="H300" s="2">
        <f t="shared" si="30"/>
        <v>0</v>
      </c>
      <c r="I300" s="15">
        <f t="shared" si="28"/>
        <v>0</v>
      </c>
      <c r="J300" s="2">
        <f t="shared" si="31"/>
        <v>0</v>
      </c>
      <c r="K300" s="2">
        <f t="shared" si="33"/>
        <v>0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0</v>
      </c>
      <c r="G301" s="2">
        <f t="shared" si="29"/>
        <v>0</v>
      </c>
      <c r="H301" s="2">
        <f t="shared" si="30"/>
        <v>0</v>
      </c>
      <c r="I301" s="15">
        <f t="shared" si="28"/>
        <v>0</v>
      </c>
      <c r="J301" s="2">
        <f t="shared" si="31"/>
        <v>0</v>
      </c>
      <c r="K301" s="2">
        <f t="shared" si="33"/>
        <v>0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0</v>
      </c>
      <c r="G302" s="2">
        <f t="shared" si="29"/>
        <v>0</v>
      </c>
      <c r="H302" s="2">
        <f t="shared" si="30"/>
        <v>0</v>
      </c>
      <c r="I302" s="15">
        <f t="shared" si="28"/>
        <v>0</v>
      </c>
      <c r="J302" s="2">
        <f t="shared" si="31"/>
        <v>0</v>
      </c>
      <c r="K302" s="2">
        <f t="shared" si="33"/>
        <v>0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0</v>
      </c>
      <c r="G303" s="2">
        <f t="shared" si="29"/>
        <v>0</v>
      </c>
      <c r="H303" s="2">
        <f t="shared" si="30"/>
        <v>0</v>
      </c>
      <c r="I303" s="15">
        <f t="shared" si="28"/>
        <v>0</v>
      </c>
      <c r="J303" s="2">
        <f t="shared" si="31"/>
        <v>0</v>
      </c>
      <c r="K303" s="2">
        <f t="shared" si="33"/>
        <v>0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0</v>
      </c>
      <c r="G304" s="2">
        <f t="shared" si="29"/>
        <v>0</v>
      </c>
      <c r="H304" s="2">
        <f t="shared" si="30"/>
        <v>0</v>
      </c>
      <c r="I304" s="15">
        <f t="shared" si="28"/>
        <v>0</v>
      </c>
      <c r="J304" s="2">
        <f t="shared" si="31"/>
        <v>0</v>
      </c>
      <c r="K304" s="2">
        <f t="shared" si="33"/>
        <v>0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0</v>
      </c>
      <c r="G305" s="2">
        <f t="shared" si="29"/>
        <v>0</v>
      </c>
      <c r="H305" s="2">
        <f t="shared" si="30"/>
        <v>0</v>
      </c>
      <c r="I305" s="15">
        <f t="shared" si="28"/>
        <v>0</v>
      </c>
      <c r="J305" s="2">
        <f t="shared" si="31"/>
        <v>0</v>
      </c>
      <c r="K305" s="2">
        <f t="shared" si="33"/>
        <v>0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0</v>
      </c>
      <c r="G306" s="2">
        <f t="shared" si="29"/>
        <v>0</v>
      </c>
      <c r="H306" s="2">
        <f t="shared" si="30"/>
        <v>0</v>
      </c>
      <c r="I306" s="15">
        <f t="shared" si="28"/>
        <v>0</v>
      </c>
      <c r="J306" s="2">
        <f t="shared" si="31"/>
        <v>0</v>
      </c>
      <c r="K306" s="2">
        <f t="shared" si="33"/>
        <v>0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0</v>
      </c>
      <c r="G307" s="2">
        <f t="shared" si="29"/>
        <v>0</v>
      </c>
      <c r="H307" s="2">
        <f t="shared" si="30"/>
        <v>0</v>
      </c>
      <c r="I307" s="15">
        <f t="shared" si="28"/>
        <v>0</v>
      </c>
      <c r="J307" s="2">
        <f t="shared" si="31"/>
        <v>0</v>
      </c>
      <c r="K307" s="2">
        <f t="shared" si="33"/>
        <v>0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0</v>
      </c>
      <c r="G308" s="2">
        <f t="shared" si="29"/>
        <v>0</v>
      </c>
      <c r="H308" s="2">
        <f t="shared" si="30"/>
        <v>0</v>
      </c>
      <c r="I308" s="15">
        <f t="shared" si="28"/>
        <v>0</v>
      </c>
      <c r="J308" s="2">
        <f t="shared" si="31"/>
        <v>0</v>
      </c>
      <c r="K308" s="2">
        <f t="shared" si="33"/>
        <v>0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0</v>
      </c>
      <c r="G309" s="2">
        <f t="shared" si="29"/>
        <v>0</v>
      </c>
      <c r="H309" s="2">
        <f t="shared" si="30"/>
        <v>0</v>
      </c>
      <c r="I309" s="15">
        <f t="shared" si="28"/>
        <v>0</v>
      </c>
      <c r="J309" s="2">
        <f t="shared" si="31"/>
        <v>0</v>
      </c>
      <c r="K309" s="2">
        <f t="shared" si="33"/>
        <v>0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0</v>
      </c>
      <c r="G310" s="2">
        <f t="shared" si="29"/>
        <v>0</v>
      </c>
      <c r="H310" s="2">
        <f t="shared" si="30"/>
        <v>0</v>
      </c>
      <c r="I310" s="15">
        <f t="shared" si="28"/>
        <v>0</v>
      </c>
      <c r="J310" s="2">
        <f t="shared" si="31"/>
        <v>0</v>
      </c>
      <c r="K310" s="2">
        <f t="shared" si="33"/>
        <v>0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0</v>
      </c>
      <c r="G311" s="2">
        <f t="shared" si="29"/>
        <v>0</v>
      </c>
      <c r="H311" s="2">
        <f t="shared" si="30"/>
        <v>0</v>
      </c>
      <c r="I311" s="15">
        <f t="shared" si="28"/>
        <v>0</v>
      </c>
      <c r="J311" s="2">
        <f t="shared" si="31"/>
        <v>0</v>
      </c>
      <c r="K311" s="2">
        <f t="shared" si="33"/>
        <v>0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0</v>
      </c>
      <c r="G312" s="2">
        <f t="shared" si="29"/>
        <v>0</v>
      </c>
      <c r="H312" s="2">
        <f t="shared" si="30"/>
        <v>0</v>
      </c>
      <c r="I312" s="15">
        <f t="shared" si="28"/>
        <v>0</v>
      </c>
      <c r="J312" s="2">
        <f t="shared" si="31"/>
        <v>0</v>
      </c>
      <c r="K312" s="2">
        <f t="shared" si="33"/>
        <v>0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0</v>
      </c>
      <c r="G313" s="2">
        <f t="shared" si="29"/>
        <v>0</v>
      </c>
      <c r="H313" s="2">
        <f t="shared" si="30"/>
        <v>0</v>
      </c>
      <c r="I313" s="15">
        <f t="shared" si="28"/>
        <v>0</v>
      </c>
      <c r="J313" s="2">
        <f t="shared" si="31"/>
        <v>0</v>
      </c>
      <c r="K313" s="2">
        <f t="shared" si="33"/>
        <v>0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0</v>
      </c>
      <c r="G314" s="2">
        <f t="shared" si="29"/>
        <v>0</v>
      </c>
      <c r="H314" s="2">
        <f t="shared" si="30"/>
        <v>0</v>
      </c>
      <c r="I314" s="15">
        <f t="shared" si="28"/>
        <v>0</v>
      </c>
      <c r="J314" s="2">
        <f t="shared" si="31"/>
        <v>0</v>
      </c>
      <c r="K314" s="2">
        <f t="shared" si="33"/>
        <v>0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0</v>
      </c>
      <c r="G315" s="2">
        <f t="shared" si="29"/>
        <v>0</v>
      </c>
      <c r="H315" s="2">
        <f t="shared" si="30"/>
        <v>0</v>
      </c>
      <c r="I315" s="15">
        <f t="shared" si="28"/>
        <v>0</v>
      </c>
      <c r="J315" s="2">
        <f t="shared" si="31"/>
        <v>0</v>
      </c>
      <c r="K315" s="2">
        <f t="shared" si="33"/>
        <v>0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0</v>
      </c>
      <c r="G316" s="2">
        <f t="shared" si="29"/>
        <v>0</v>
      </c>
      <c r="H316" s="2">
        <f t="shared" si="30"/>
        <v>0</v>
      </c>
      <c r="I316" s="15">
        <f t="shared" si="28"/>
        <v>0</v>
      </c>
      <c r="J316" s="2">
        <f t="shared" si="31"/>
        <v>0</v>
      </c>
      <c r="K316" s="2">
        <f t="shared" si="33"/>
        <v>0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0</v>
      </c>
      <c r="G317" s="2">
        <f t="shared" si="29"/>
        <v>0</v>
      </c>
      <c r="H317" s="2">
        <f t="shared" si="30"/>
        <v>0</v>
      </c>
      <c r="I317" s="15">
        <f t="shared" si="28"/>
        <v>0</v>
      </c>
      <c r="J317" s="2">
        <f t="shared" si="31"/>
        <v>0</v>
      </c>
      <c r="K317" s="2">
        <f t="shared" si="33"/>
        <v>0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0</v>
      </c>
      <c r="G318" s="2">
        <f t="shared" si="29"/>
        <v>0</v>
      </c>
      <c r="H318" s="2">
        <f t="shared" si="30"/>
        <v>0</v>
      </c>
      <c r="I318" s="15">
        <f t="shared" si="28"/>
        <v>0</v>
      </c>
      <c r="J318" s="2">
        <f t="shared" si="31"/>
        <v>0</v>
      </c>
      <c r="K318" s="2">
        <f t="shared" si="33"/>
        <v>0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0</v>
      </c>
      <c r="G319" s="2">
        <f t="shared" si="29"/>
        <v>0</v>
      </c>
      <c r="H319" s="2">
        <f t="shared" si="30"/>
        <v>0</v>
      </c>
      <c r="I319" s="15">
        <f t="shared" si="28"/>
        <v>0</v>
      </c>
      <c r="J319" s="2">
        <f t="shared" si="31"/>
        <v>0</v>
      </c>
      <c r="K319" s="2">
        <f t="shared" si="33"/>
        <v>0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0</v>
      </c>
      <c r="G320" s="2">
        <f t="shared" si="29"/>
        <v>0</v>
      </c>
      <c r="H320" s="2">
        <f t="shared" si="30"/>
        <v>0</v>
      </c>
      <c r="I320" s="15">
        <f t="shared" si="28"/>
        <v>0</v>
      </c>
      <c r="J320" s="2">
        <f t="shared" si="31"/>
        <v>0</v>
      </c>
      <c r="K320" s="2">
        <f t="shared" si="33"/>
        <v>0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0</v>
      </c>
      <c r="G321" s="2">
        <f t="shared" si="29"/>
        <v>0</v>
      </c>
      <c r="H321" s="2">
        <f t="shared" si="30"/>
        <v>0</v>
      </c>
      <c r="I321" s="15">
        <f t="shared" si="28"/>
        <v>0</v>
      </c>
      <c r="J321" s="2">
        <f t="shared" si="31"/>
        <v>0</v>
      </c>
      <c r="K321" s="2">
        <f t="shared" si="33"/>
        <v>0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0</v>
      </c>
      <c r="G322" s="2">
        <f t="shared" si="29"/>
        <v>0</v>
      </c>
      <c r="H322" s="2">
        <f t="shared" si="30"/>
        <v>0</v>
      </c>
      <c r="I322" s="15">
        <f t="shared" si="28"/>
        <v>0</v>
      </c>
      <c r="J322" s="2">
        <f t="shared" si="31"/>
        <v>0</v>
      </c>
      <c r="K322" s="2">
        <f t="shared" si="33"/>
        <v>0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0</v>
      </c>
      <c r="G323" s="2">
        <f t="shared" si="29"/>
        <v>0</v>
      </c>
      <c r="H323" s="2">
        <f t="shared" si="30"/>
        <v>0</v>
      </c>
      <c r="I323" s="15">
        <f t="shared" si="28"/>
        <v>0</v>
      </c>
      <c r="J323" s="2">
        <f t="shared" si="31"/>
        <v>0</v>
      </c>
      <c r="K323" s="2">
        <f t="shared" si="33"/>
        <v>0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0</v>
      </c>
      <c r="G324" s="2">
        <f t="shared" si="29"/>
        <v>0</v>
      </c>
      <c r="H324" s="2">
        <f t="shared" si="30"/>
        <v>0</v>
      </c>
      <c r="I324" s="15">
        <f t="shared" si="28"/>
        <v>0</v>
      </c>
      <c r="J324" s="2">
        <f t="shared" si="31"/>
        <v>0</v>
      </c>
      <c r="K324" s="2">
        <f t="shared" si="33"/>
        <v>0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0</v>
      </c>
      <c r="G325" s="2">
        <f t="shared" si="29"/>
        <v>0</v>
      </c>
      <c r="H325" s="2">
        <f t="shared" si="30"/>
        <v>0</v>
      </c>
      <c r="I325" s="15">
        <f t="shared" ref="I325:I364" si="34">IF(AND(MOD(D325,12)=2, $B$2&gt;0,K325&gt;$B$2),$B$2,IF(K325=0,0,IF(D325&lt;=$B$3,$I$1,0)))</f>
        <v>0</v>
      </c>
      <c r="J325" s="2">
        <f t="shared" si="31"/>
        <v>0</v>
      </c>
      <c r="K325" s="2">
        <f t="shared" si="33"/>
        <v>0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0</v>
      </c>
      <c r="G326" s="2">
        <f t="shared" si="29"/>
        <v>0</v>
      </c>
      <c r="H326" s="2">
        <f t="shared" si="30"/>
        <v>0</v>
      </c>
      <c r="I326" s="15">
        <f t="shared" si="34"/>
        <v>0</v>
      </c>
      <c r="J326" s="2">
        <f t="shared" si="31"/>
        <v>0</v>
      </c>
      <c r="K326" s="2">
        <f t="shared" si="33"/>
        <v>0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0</v>
      </c>
      <c r="G327" s="2">
        <f t="shared" ref="G327:G364" si="35">+F327-H327</f>
        <v>0</v>
      </c>
      <c r="H327" s="2">
        <f t="shared" si="30"/>
        <v>0</v>
      </c>
      <c r="I327" s="15">
        <f t="shared" si="34"/>
        <v>0</v>
      </c>
      <c r="J327" s="2">
        <f t="shared" si="31"/>
        <v>0</v>
      </c>
      <c r="K327" s="2">
        <f t="shared" si="33"/>
        <v>0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0</v>
      </c>
      <c r="G328" s="2">
        <f t="shared" si="35"/>
        <v>0</v>
      </c>
      <c r="H328" s="2">
        <f t="shared" ref="H328:H364" si="36">($G$2/12)*K328</f>
        <v>0</v>
      </c>
      <c r="I328" s="15">
        <f t="shared" si="34"/>
        <v>0</v>
      </c>
      <c r="J328" s="2">
        <f t="shared" ref="J328:J364" si="37">IF(K328=0,0,J327+H328)</f>
        <v>0</v>
      </c>
      <c r="K328" s="2">
        <f t="shared" si="33"/>
        <v>0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0</v>
      </c>
      <c r="G329" s="2">
        <f t="shared" si="35"/>
        <v>0</v>
      </c>
      <c r="H329" s="2">
        <f t="shared" si="36"/>
        <v>0</v>
      </c>
      <c r="I329" s="15">
        <f t="shared" si="34"/>
        <v>0</v>
      </c>
      <c r="J329" s="2">
        <f t="shared" si="37"/>
        <v>0</v>
      </c>
      <c r="K329" s="2">
        <f t="shared" si="33"/>
        <v>0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0</v>
      </c>
      <c r="G330" s="2">
        <f t="shared" si="35"/>
        <v>0</v>
      </c>
      <c r="H330" s="2">
        <f t="shared" si="36"/>
        <v>0</v>
      </c>
      <c r="I330" s="15">
        <f t="shared" si="34"/>
        <v>0</v>
      </c>
      <c r="J330" s="2">
        <f t="shared" si="37"/>
        <v>0</v>
      </c>
      <c r="K330" s="2">
        <f t="shared" ref="K330:K364" si="39">K329-G329</f>
        <v>0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0</v>
      </c>
      <c r="G331" s="2">
        <f t="shared" si="35"/>
        <v>0</v>
      </c>
      <c r="H331" s="2">
        <f t="shared" si="36"/>
        <v>0</v>
      </c>
      <c r="I331" s="15">
        <f t="shared" si="34"/>
        <v>0</v>
      </c>
      <c r="J331" s="2">
        <f t="shared" si="37"/>
        <v>0</v>
      </c>
      <c r="K331" s="2">
        <f t="shared" si="39"/>
        <v>0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0</v>
      </c>
      <c r="G332" s="2">
        <f t="shared" si="35"/>
        <v>0</v>
      </c>
      <c r="H332" s="2">
        <f t="shared" si="36"/>
        <v>0</v>
      </c>
      <c r="I332" s="15">
        <f t="shared" si="34"/>
        <v>0</v>
      </c>
      <c r="J332" s="2">
        <f t="shared" si="37"/>
        <v>0</v>
      </c>
      <c r="K332" s="2">
        <f t="shared" si="39"/>
        <v>0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0</v>
      </c>
      <c r="G333" s="2">
        <f t="shared" si="35"/>
        <v>0</v>
      </c>
      <c r="H333" s="2">
        <f t="shared" si="36"/>
        <v>0</v>
      </c>
      <c r="I333" s="15">
        <f t="shared" si="34"/>
        <v>0</v>
      </c>
      <c r="J333" s="2">
        <f t="shared" si="37"/>
        <v>0</v>
      </c>
      <c r="K333" s="2">
        <f t="shared" si="39"/>
        <v>0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0</v>
      </c>
      <c r="G334" s="2">
        <f t="shared" si="35"/>
        <v>0</v>
      </c>
      <c r="H334" s="2">
        <f t="shared" si="36"/>
        <v>0</v>
      </c>
      <c r="I334" s="15">
        <f t="shared" si="34"/>
        <v>0</v>
      </c>
      <c r="J334" s="2">
        <f t="shared" si="37"/>
        <v>0</v>
      </c>
      <c r="K334" s="2">
        <f t="shared" si="39"/>
        <v>0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0</v>
      </c>
      <c r="G335" s="2">
        <f t="shared" si="35"/>
        <v>0</v>
      </c>
      <c r="H335" s="2">
        <f t="shared" si="36"/>
        <v>0</v>
      </c>
      <c r="I335" s="15">
        <f t="shared" si="34"/>
        <v>0</v>
      </c>
      <c r="J335" s="2">
        <f t="shared" si="37"/>
        <v>0</v>
      </c>
      <c r="K335" s="2">
        <f t="shared" si="39"/>
        <v>0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0</v>
      </c>
      <c r="G336" s="2">
        <f t="shared" si="35"/>
        <v>0</v>
      </c>
      <c r="H336" s="2">
        <f t="shared" si="36"/>
        <v>0</v>
      </c>
      <c r="I336" s="15">
        <f t="shared" si="34"/>
        <v>0</v>
      </c>
      <c r="J336" s="2">
        <f t="shared" si="37"/>
        <v>0</v>
      </c>
      <c r="K336" s="2">
        <f t="shared" si="39"/>
        <v>0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0</v>
      </c>
      <c r="G337" s="2">
        <f t="shared" si="35"/>
        <v>0</v>
      </c>
      <c r="H337" s="2">
        <f t="shared" si="36"/>
        <v>0</v>
      </c>
      <c r="I337" s="15">
        <f t="shared" si="34"/>
        <v>0</v>
      </c>
      <c r="J337" s="2">
        <f t="shared" si="37"/>
        <v>0</v>
      </c>
      <c r="K337" s="2">
        <f t="shared" si="39"/>
        <v>0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0</v>
      </c>
      <c r="G338" s="2">
        <f t="shared" si="35"/>
        <v>0</v>
      </c>
      <c r="H338" s="2">
        <f t="shared" si="36"/>
        <v>0</v>
      </c>
      <c r="I338" s="15">
        <f t="shared" si="34"/>
        <v>0</v>
      </c>
      <c r="J338" s="2">
        <f t="shared" si="37"/>
        <v>0</v>
      </c>
      <c r="K338" s="2">
        <f t="shared" si="39"/>
        <v>0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0</v>
      </c>
      <c r="G339" s="2">
        <f t="shared" si="35"/>
        <v>0</v>
      </c>
      <c r="H339" s="2">
        <f t="shared" si="36"/>
        <v>0</v>
      </c>
      <c r="I339" s="15">
        <f t="shared" si="34"/>
        <v>0</v>
      </c>
      <c r="J339" s="2">
        <f t="shared" si="37"/>
        <v>0</v>
      </c>
      <c r="K339" s="2">
        <f t="shared" si="39"/>
        <v>0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0</v>
      </c>
      <c r="G340" s="2">
        <f t="shared" si="35"/>
        <v>0</v>
      </c>
      <c r="H340" s="2">
        <f t="shared" si="36"/>
        <v>0</v>
      </c>
      <c r="I340" s="15">
        <f t="shared" si="34"/>
        <v>0</v>
      </c>
      <c r="J340" s="2">
        <f t="shared" si="37"/>
        <v>0</v>
      </c>
      <c r="K340" s="2">
        <f t="shared" si="39"/>
        <v>0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0</v>
      </c>
      <c r="G341" s="2">
        <f t="shared" si="35"/>
        <v>0</v>
      </c>
      <c r="H341" s="2">
        <f t="shared" si="36"/>
        <v>0</v>
      </c>
      <c r="I341" s="15">
        <f t="shared" si="34"/>
        <v>0</v>
      </c>
      <c r="J341" s="2">
        <f t="shared" si="37"/>
        <v>0</v>
      </c>
      <c r="K341" s="2">
        <f t="shared" si="39"/>
        <v>0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0</v>
      </c>
      <c r="G342" s="2">
        <f t="shared" si="35"/>
        <v>0</v>
      </c>
      <c r="H342" s="2">
        <f t="shared" si="36"/>
        <v>0</v>
      </c>
      <c r="I342" s="15">
        <f t="shared" si="34"/>
        <v>0</v>
      </c>
      <c r="J342" s="2">
        <f t="shared" si="37"/>
        <v>0</v>
      </c>
      <c r="K342" s="2">
        <f t="shared" si="39"/>
        <v>0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0</v>
      </c>
      <c r="G343" s="2">
        <f t="shared" si="35"/>
        <v>0</v>
      </c>
      <c r="H343" s="2">
        <f t="shared" si="36"/>
        <v>0</v>
      </c>
      <c r="I343" s="15">
        <f t="shared" si="34"/>
        <v>0</v>
      </c>
      <c r="J343" s="2">
        <f t="shared" si="37"/>
        <v>0</v>
      </c>
      <c r="K343" s="2">
        <f t="shared" si="39"/>
        <v>0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0</v>
      </c>
      <c r="G344" s="2">
        <f t="shared" si="35"/>
        <v>0</v>
      </c>
      <c r="H344" s="2">
        <f t="shared" si="36"/>
        <v>0</v>
      </c>
      <c r="I344" s="15">
        <f t="shared" si="34"/>
        <v>0</v>
      </c>
      <c r="J344" s="2">
        <f t="shared" si="37"/>
        <v>0</v>
      </c>
      <c r="K344" s="2">
        <f t="shared" si="39"/>
        <v>0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0</v>
      </c>
      <c r="G345" s="2">
        <f t="shared" si="35"/>
        <v>0</v>
      </c>
      <c r="H345" s="2">
        <f t="shared" si="36"/>
        <v>0</v>
      </c>
      <c r="I345" s="15">
        <f t="shared" si="34"/>
        <v>0</v>
      </c>
      <c r="J345" s="2">
        <f t="shared" si="37"/>
        <v>0</v>
      </c>
      <c r="K345" s="2">
        <f t="shared" si="39"/>
        <v>0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0</v>
      </c>
      <c r="G346" s="2">
        <f t="shared" si="35"/>
        <v>0</v>
      </c>
      <c r="H346" s="2">
        <f t="shared" si="36"/>
        <v>0</v>
      </c>
      <c r="I346" s="15">
        <f t="shared" si="34"/>
        <v>0</v>
      </c>
      <c r="J346" s="2">
        <f t="shared" si="37"/>
        <v>0</v>
      </c>
      <c r="K346" s="2">
        <f t="shared" si="39"/>
        <v>0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0</v>
      </c>
      <c r="G347" s="2">
        <f t="shared" si="35"/>
        <v>0</v>
      </c>
      <c r="H347" s="2">
        <f t="shared" si="36"/>
        <v>0</v>
      </c>
      <c r="I347" s="15">
        <f t="shared" si="34"/>
        <v>0</v>
      </c>
      <c r="J347" s="2">
        <f t="shared" si="37"/>
        <v>0</v>
      </c>
      <c r="K347" s="2">
        <f t="shared" si="39"/>
        <v>0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0</v>
      </c>
      <c r="G348" s="2">
        <f t="shared" si="35"/>
        <v>0</v>
      </c>
      <c r="H348" s="2">
        <f t="shared" si="36"/>
        <v>0</v>
      </c>
      <c r="I348" s="15">
        <f t="shared" si="34"/>
        <v>0</v>
      </c>
      <c r="J348" s="2">
        <f t="shared" si="37"/>
        <v>0</v>
      </c>
      <c r="K348" s="2">
        <f t="shared" si="39"/>
        <v>0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0</v>
      </c>
      <c r="G349" s="2">
        <f t="shared" si="35"/>
        <v>0</v>
      </c>
      <c r="H349" s="2">
        <f t="shared" si="36"/>
        <v>0</v>
      </c>
      <c r="I349" s="15">
        <f t="shared" si="34"/>
        <v>0</v>
      </c>
      <c r="J349" s="2">
        <f t="shared" si="37"/>
        <v>0</v>
      </c>
      <c r="K349" s="2">
        <f t="shared" si="39"/>
        <v>0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0</v>
      </c>
      <c r="G350" s="2">
        <f t="shared" si="35"/>
        <v>0</v>
      </c>
      <c r="H350" s="2">
        <f t="shared" si="36"/>
        <v>0</v>
      </c>
      <c r="I350" s="15">
        <f t="shared" si="34"/>
        <v>0</v>
      </c>
      <c r="J350" s="2">
        <f t="shared" si="37"/>
        <v>0</v>
      </c>
      <c r="K350" s="2">
        <f t="shared" si="39"/>
        <v>0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0</v>
      </c>
      <c r="G351" s="2">
        <f t="shared" si="35"/>
        <v>0</v>
      </c>
      <c r="H351" s="2">
        <f t="shared" si="36"/>
        <v>0</v>
      </c>
      <c r="I351" s="15">
        <f t="shared" si="34"/>
        <v>0</v>
      </c>
      <c r="J351" s="2">
        <f t="shared" si="37"/>
        <v>0</v>
      </c>
      <c r="K351" s="2">
        <f t="shared" si="39"/>
        <v>0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0</v>
      </c>
      <c r="G352" s="2">
        <f t="shared" si="35"/>
        <v>0</v>
      </c>
      <c r="H352" s="2">
        <f t="shared" si="36"/>
        <v>0</v>
      </c>
      <c r="I352" s="15">
        <f t="shared" si="34"/>
        <v>0</v>
      </c>
      <c r="J352" s="2">
        <f t="shared" si="37"/>
        <v>0</v>
      </c>
      <c r="K352" s="2">
        <f t="shared" si="39"/>
        <v>0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0</v>
      </c>
      <c r="G353" s="2">
        <f t="shared" si="35"/>
        <v>0</v>
      </c>
      <c r="H353" s="2">
        <f t="shared" si="36"/>
        <v>0</v>
      </c>
      <c r="I353" s="15">
        <f t="shared" si="34"/>
        <v>0</v>
      </c>
      <c r="J353" s="2">
        <f t="shared" si="37"/>
        <v>0</v>
      </c>
      <c r="K353" s="2">
        <f t="shared" si="39"/>
        <v>0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0</v>
      </c>
      <c r="G354" s="2">
        <f t="shared" si="35"/>
        <v>0</v>
      </c>
      <c r="H354" s="2">
        <f t="shared" si="36"/>
        <v>0</v>
      </c>
      <c r="I354" s="15">
        <f t="shared" si="34"/>
        <v>0</v>
      </c>
      <c r="J354" s="2">
        <f t="shared" si="37"/>
        <v>0</v>
      </c>
      <c r="K354" s="2">
        <f t="shared" si="39"/>
        <v>0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0</v>
      </c>
      <c r="G355" s="2">
        <f t="shared" si="35"/>
        <v>0</v>
      </c>
      <c r="H355" s="2">
        <f t="shared" si="36"/>
        <v>0</v>
      </c>
      <c r="I355" s="15">
        <f t="shared" si="34"/>
        <v>0</v>
      </c>
      <c r="J355" s="2">
        <f t="shared" si="37"/>
        <v>0</v>
      </c>
      <c r="K355" s="2">
        <f t="shared" si="39"/>
        <v>0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0</v>
      </c>
      <c r="G356" s="2">
        <f t="shared" si="35"/>
        <v>0</v>
      </c>
      <c r="H356" s="2">
        <f t="shared" si="36"/>
        <v>0</v>
      </c>
      <c r="I356" s="15">
        <f t="shared" si="34"/>
        <v>0</v>
      </c>
      <c r="J356" s="2">
        <f t="shared" si="37"/>
        <v>0</v>
      </c>
      <c r="K356" s="2">
        <f t="shared" si="39"/>
        <v>0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0</v>
      </c>
      <c r="G357" s="2">
        <f t="shared" si="35"/>
        <v>0</v>
      </c>
      <c r="H357" s="2">
        <f t="shared" si="36"/>
        <v>0</v>
      </c>
      <c r="I357" s="15">
        <f t="shared" si="34"/>
        <v>0</v>
      </c>
      <c r="J357" s="2">
        <f t="shared" si="37"/>
        <v>0</v>
      </c>
      <c r="K357" s="2">
        <f t="shared" si="39"/>
        <v>0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0</v>
      </c>
      <c r="G358" s="2">
        <f t="shared" si="35"/>
        <v>0</v>
      </c>
      <c r="H358" s="2">
        <f t="shared" si="36"/>
        <v>0</v>
      </c>
      <c r="I358" s="15">
        <f t="shared" si="34"/>
        <v>0</v>
      </c>
      <c r="J358" s="2">
        <f t="shared" si="37"/>
        <v>0</v>
      </c>
      <c r="K358" s="2">
        <f t="shared" si="39"/>
        <v>0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0</v>
      </c>
      <c r="G359" s="2">
        <f t="shared" si="35"/>
        <v>0</v>
      </c>
      <c r="H359" s="2">
        <f t="shared" si="36"/>
        <v>0</v>
      </c>
      <c r="I359" s="15">
        <f t="shared" si="34"/>
        <v>0</v>
      </c>
      <c r="J359" s="2">
        <f t="shared" si="37"/>
        <v>0</v>
      </c>
      <c r="K359" s="2">
        <f t="shared" si="39"/>
        <v>0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0</v>
      </c>
      <c r="G360" s="2">
        <f t="shared" si="35"/>
        <v>0</v>
      </c>
      <c r="H360" s="2">
        <f t="shared" si="36"/>
        <v>0</v>
      </c>
      <c r="I360" s="15">
        <f t="shared" si="34"/>
        <v>0</v>
      </c>
      <c r="J360" s="2">
        <f t="shared" si="37"/>
        <v>0</v>
      </c>
      <c r="K360" s="2">
        <f t="shared" si="39"/>
        <v>0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0</v>
      </c>
      <c r="G361" s="2">
        <f t="shared" si="35"/>
        <v>0</v>
      </c>
      <c r="H361" s="2">
        <f t="shared" si="36"/>
        <v>0</v>
      </c>
      <c r="I361" s="15">
        <f t="shared" si="34"/>
        <v>0</v>
      </c>
      <c r="J361" s="2">
        <f t="shared" si="37"/>
        <v>0</v>
      </c>
      <c r="K361" s="2">
        <f t="shared" si="39"/>
        <v>0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0</v>
      </c>
      <c r="G362" s="2">
        <f t="shared" si="35"/>
        <v>0</v>
      </c>
      <c r="H362" s="2">
        <f t="shared" si="36"/>
        <v>0</v>
      </c>
      <c r="I362" s="15">
        <f t="shared" si="34"/>
        <v>0</v>
      </c>
      <c r="J362" s="2">
        <f t="shared" si="37"/>
        <v>0</v>
      </c>
      <c r="K362" s="2">
        <f t="shared" si="39"/>
        <v>0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0</v>
      </c>
      <c r="G363" s="2">
        <f t="shared" si="35"/>
        <v>0</v>
      </c>
      <c r="H363" s="2">
        <f t="shared" si="36"/>
        <v>0</v>
      </c>
      <c r="I363" s="15">
        <f t="shared" si="34"/>
        <v>0</v>
      </c>
      <c r="J363" s="2">
        <f t="shared" si="37"/>
        <v>0</v>
      </c>
      <c r="K363" s="2">
        <f t="shared" si="39"/>
        <v>0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0</v>
      </c>
      <c r="G364" s="2">
        <f t="shared" si="35"/>
        <v>0</v>
      </c>
      <c r="H364" s="2">
        <f t="shared" si="36"/>
        <v>0</v>
      </c>
      <c r="I364" s="15">
        <f t="shared" si="34"/>
        <v>0</v>
      </c>
      <c r="J364" s="2">
        <f t="shared" si="37"/>
        <v>0</v>
      </c>
      <c r="K364" s="2">
        <f t="shared" si="39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S3" sqref="S3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4.42578125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8.71093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8.42578125" style="14" bestFit="1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179</v>
      </c>
      <c r="D2" s="13" t="s">
        <v>146</v>
      </c>
      <c r="E2" s="13" t="s">
        <v>160</v>
      </c>
      <c r="F2" s="13" t="s">
        <v>48</v>
      </c>
      <c r="G2" s="13" t="s">
        <v>33</v>
      </c>
      <c r="H2" s="13" t="s">
        <v>34</v>
      </c>
      <c r="I2" s="13" t="s">
        <v>185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128</v>
      </c>
      <c r="Q2" s="13" t="s">
        <v>41</v>
      </c>
      <c r="R2" s="13" t="s">
        <v>42</v>
      </c>
      <c r="S2" s="13" t="s">
        <v>43</v>
      </c>
      <c r="T2" s="13" t="s">
        <v>21</v>
      </c>
      <c r="U2" s="13" t="s">
        <v>47</v>
      </c>
    </row>
    <row r="3" spans="1:21">
      <c r="A3" s="20">
        <f>'Data Input'!I3</f>
        <v>2016</v>
      </c>
      <c r="B3" s="53">
        <f>IF(Table12[[#This Row],[year]]&lt;'Data Input'!$I$4,12*'Data Input'!$B$24*(1+'Data Input'!$E$29)^(Table12[[#This Row],[year]]-'Data Input'!$I$3),12*'Data Input'!$B$35*(1+'Data Input'!$E$38)^(Table12[[#This Row],[year]]-'Data Input'!$I$4))</f>
        <v>0</v>
      </c>
      <c r="C3" s="53">
        <f>IF(Table12[[#This Row],[year]]&lt;'Data Input'!$I$4,12*'Data Input'!$C$24*(1+'Data Input'!$E$29)^(Table12[[#This Row],[year]]-'Data Input'!$I$3),12*'Data Input'!$C$35*(1+'Data Input'!$E$38)^(Table12[[#This Row],[year]]-'Data Input'!$I$4))</f>
        <v>1500</v>
      </c>
      <c r="D3" s="53">
        <f>ROUNDDOWN('Student Loans'!B6+'Credit Card Debt'!B6,2)</f>
        <v>0</v>
      </c>
      <c r="E3" s="53">
        <f>MIN('Data Input'!$C$12+'Data Input'!$F$12,'Main Info'!B2*'Data Input'!$C$11+'Main Info'!E2*'Data Input'!$F$11+'Data Input'!$C$10+'Data Input'!$F$10)</f>
        <v>0</v>
      </c>
      <c r="F3" s="53">
        <f>12*'Data Input'!F61+12*100</f>
        <v>1200</v>
      </c>
      <c r="G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" s="53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" s="53">
        <f>IF(Table12[[#This Row],[year]]&lt;'Data Input'!$I$4,12*'Data Input'!$I$24*(1+'Data Input'!$E$29)^(Table12[[#This Row],[year]]-'Data Input'!$I$3),12*'Data Input'!$I$35*(1+'Data Input'!$E$38)^(Table12[[#This Row],[year]]-'Data Input'!$I$4))</f>
        <v>3000</v>
      </c>
      <c r="J3" s="53">
        <f>IF(Table12[[#This Row],[year]]&lt;'Data Input'!$I$4,12*'Data Input'!$J$24*(1+'Data Input'!$E$29)^(Table12[[#This Row],[year]]-'Data Input'!$I$3),12*'Data Input'!$J$35*(1+'Data Input'!$E$38)^(Table12[[#This Row],[year]]-'Data Input'!$I$4))</f>
        <v>3600</v>
      </c>
      <c r="K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L3" s="53">
        <f>IF(Table12[[#This Row],[year]]&lt;'Data Input'!$I$4,12*'Data Input'!$L$24*(1+'Data Input'!$E$29)^(Table12[[#This Row],[year]]-'Data Input'!$I$3),12*'Data Input'!$L$35*(1+'Data Input'!$E$38)^(Table12[[#This Row],[year]]-'Data Input'!$I$4))</f>
        <v>1200</v>
      </c>
      <c r="M3" s="53">
        <f>IF(Table12[[#This Row],[year]]&lt;'Data Input'!$I$4,12*'Data Input'!$M$24*(1+'Data Input'!$E$29)^(Table12[[#This Row],[year]]-'Data Input'!$I$3),12*'Data Input'!$M$35*(1+'Data Input'!$E$38)^(Table12[[#This Row],[year]]-'Data Input'!$I$4))</f>
        <v>4800</v>
      </c>
      <c r="N3" s="53">
        <f>IF(Table12[[#This Row],[year]]&lt;'Data Input'!$I$4,12*'Data Input'!$N$24,12*'Data Input'!$N$35)</f>
        <v>2400</v>
      </c>
      <c r="O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" s="53">
        <f>IF(Table12[[#This Row],[year]]&lt;'Data Input'!$I$4,12*'Data Input'!$P$24*(1+'Data Input'!$E$29)^(Table12[[#This Row],[year]]-'Data Input'!$I$3),12*'Data Input'!$P$35*(1+'Data Input'!$E$38)^(Table12[[#This Row],[year]]-'Data Input'!$I$4))</f>
        <v>3600</v>
      </c>
      <c r="Q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" s="53">
        <f>SUM(Table12[[#This Row],[Utilities]:[Misc. Housing costs]])</f>
        <v>30420</v>
      </c>
      <c r="U3" s="54">
        <f>Table12[[#This Row],[Total]]/12</f>
        <v>2535</v>
      </c>
    </row>
    <row r="4" spans="1:21">
      <c r="A4" s="19">
        <f>A3+1</f>
        <v>2017</v>
      </c>
      <c r="B4" s="53">
        <f>IF(Table12[[#This Row],[year]]&lt;'Data Input'!$I$4,12*'Data Input'!$B$24*(1+'Data Input'!$E$29)^(Table12[[#This Row],[year]]-'Data Input'!$I$3),12*'Data Input'!$B$35*(1+'Data Input'!$E$38)^(Table12[[#This Row],[year]]-'Data Input'!$I$4))</f>
        <v>0</v>
      </c>
      <c r="C4" s="53">
        <f>IF(Table12[[#This Row],[year]]&lt;'Data Input'!$I$4,12*'Data Input'!$C$24*(1+'Data Input'!$E$29)^(Table12[[#This Row],[year]]-'Data Input'!$I$3),12*'Data Input'!$C$35*(1+'Data Input'!$E$38)^(Table12[[#This Row],[year]]-'Data Input'!$I$4))</f>
        <v>1515</v>
      </c>
      <c r="D4" s="53">
        <f>ROUNDDOWN('Student Loans'!B7+'Credit Card Debt'!B7,2)</f>
        <v>0</v>
      </c>
      <c r="E4" s="53">
        <f>MIN('Data Input'!$C$12+'Data Input'!$F$12,'Main Info'!B3*'Data Input'!$C$11+'Main Info'!E3*'Data Input'!$F$11+'Data Input'!$C$10+'Data Input'!$F$10)</f>
        <v>0</v>
      </c>
      <c r="F4" s="53">
        <f>12*'Data Input'!F62+12*100</f>
        <v>6000</v>
      </c>
      <c r="G4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4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4" s="53">
        <f>IF(Table12[[#This Row],[year]]&lt;'Data Input'!$I$4,12*'Data Input'!$I$24*(1+'Data Input'!$E$29)^(Table12[[#This Row],[year]]-'Data Input'!$I$3),12*'Data Input'!$I$35*(1+'Data Input'!$E$38)^(Table12[[#This Row],[year]]-'Data Input'!$I$4))</f>
        <v>3030</v>
      </c>
      <c r="J4" s="53">
        <f>IF(Table12[[#This Row],[year]]&lt;'Data Input'!$I$4,12*'Data Input'!$J$24*(1+'Data Input'!$E$29)^(Table12[[#This Row],[year]]-'Data Input'!$I$3),12*'Data Input'!$J$35*(1+'Data Input'!$E$38)^(Table12[[#This Row],[year]]-'Data Input'!$I$4))</f>
        <v>3636</v>
      </c>
      <c r="K4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L4" s="53">
        <f>IF(Table12[[#This Row],[year]]&lt;'Data Input'!$I$4,12*'Data Input'!$L$24*(1+'Data Input'!$E$29)^(Table12[[#This Row],[year]]-'Data Input'!$I$3),12*'Data Input'!$L$35*(1+'Data Input'!$E$38)^(Table12[[#This Row],[year]]-'Data Input'!$I$4))</f>
        <v>1212</v>
      </c>
      <c r="M4" s="53">
        <f>IF(Table12[[#This Row],[year]]&lt;'Data Input'!$I$4,12*'Data Input'!$M$24*(1+'Data Input'!$E$29)^(Table12[[#This Row],[year]]-'Data Input'!$I$3),12*'Data Input'!$M$35*(1+'Data Input'!$E$38)^(Table12[[#This Row],[year]]-'Data Input'!$I$4))</f>
        <v>4848</v>
      </c>
      <c r="N4" s="55">
        <f>IF(Table12[[#This Row],[year]]&lt;'Data Input'!$I$4,12*'Data Input'!$N$24,12*'Data Input'!$N$35)</f>
        <v>2400</v>
      </c>
      <c r="O4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4" s="53">
        <f>IF(Table12[[#This Row],[year]]&lt;'Data Input'!$I$4,12*'Data Input'!$P$24*(1+'Data Input'!$E$29)^(Table12[[#This Row],[year]]-'Data Input'!$I$3),12*'Data Input'!$P$35*(1+'Data Input'!$E$38)^(Table12[[#This Row],[year]]-'Data Input'!$I$4))</f>
        <v>3636</v>
      </c>
      <c r="Q4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4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4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4" s="55">
        <f>SUM(Table12[[#This Row],[Utilities]:[Misc. Housing costs]])</f>
        <v>35488.199999999997</v>
      </c>
      <c r="U4" s="54">
        <f>Table12[[#This Row],[Total]]/12</f>
        <v>2957.35</v>
      </c>
    </row>
    <row r="5" spans="1:21">
      <c r="A5" s="19">
        <f t="shared" ref="A5:A42" si="0">A4+1</f>
        <v>2018</v>
      </c>
      <c r="B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5" s="53">
        <f>ROUNDDOWN('Student Loans'!B8+'Credit Card Debt'!B8,2)</f>
        <v>0</v>
      </c>
      <c r="E5" s="53">
        <f>MIN('Data Input'!$C$12+'Data Input'!$F$12,'Main Info'!B4*'Data Input'!$C$11+'Main Info'!E4*'Data Input'!$F$11+'Data Input'!$C$10+'Data Input'!$F$10)</f>
        <v>0</v>
      </c>
      <c r="F5" s="53">
        <f>12*'Data Input'!F63+12*100</f>
        <v>6000</v>
      </c>
      <c r="G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5" s="56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5" s="53">
        <f>IF(Table12[[#This Row],[year]]&lt;'Data Input'!$I$4,12*'Data Input'!$I$24*(1+'Data Input'!$E$29)^(Table12[[#This Row],[year]]-'Data Input'!$I$3),12*'Data Input'!$I$35*(1+'Data Input'!$E$38)^(Table12[[#This Row],[year]]-'Data Input'!$I$4))</f>
        <v>3000</v>
      </c>
      <c r="J5" s="53">
        <f>IF(Table12[[#This Row],[year]]&lt;'Data Input'!$I$4,12*'Data Input'!$J$24*(1+'Data Input'!$E$29)^(Table12[[#This Row],[year]]-'Data Input'!$I$3),12*'Data Input'!$J$35*(1+'Data Input'!$E$38)^(Table12[[#This Row],[year]]-'Data Input'!$I$4))</f>
        <v>6000</v>
      </c>
      <c r="K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L5" s="53">
        <f>IF(Table12[[#This Row],[year]]&lt;'Data Input'!$I$4,12*'Data Input'!$L$24*(1+'Data Input'!$E$29)^(Table12[[#This Row],[year]]-'Data Input'!$I$3),12*'Data Input'!$L$35*(1+'Data Input'!$E$38)^(Table12[[#This Row],[year]]-'Data Input'!$I$4))</f>
        <v>1200</v>
      </c>
      <c r="M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5" s="56">
        <f>IF(Table12[[#This Row],[year]]&lt;'Data Input'!$I$4,12*'Data Input'!$N$24,12*'Data Input'!$N$35)</f>
        <v>2400</v>
      </c>
      <c r="O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5" s="53">
        <f>IF(Table12[[#This Row],[year]]&lt;'Data Input'!$I$4,12*'Data Input'!$P$24*(1+'Data Input'!$E$29)^(Table12[[#This Row],[year]]-'Data Input'!$I$3),12*'Data Input'!$P$35*(1+'Data Input'!$E$38)^(Table12[[#This Row],[year]]-'Data Input'!$I$4))</f>
        <v>6000</v>
      </c>
      <c r="Q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5" s="55">
        <f>SUM(Table12[[#This Row],[Utilities]:[Misc. Housing costs]])</f>
        <v>43920</v>
      </c>
      <c r="U5" s="54">
        <f>Table12[[#This Row],[Total]]/12</f>
        <v>3660</v>
      </c>
    </row>
    <row r="6" spans="1:21">
      <c r="A6" s="19">
        <f t="shared" si="0"/>
        <v>2019</v>
      </c>
      <c r="B6" s="53">
        <f>IF(Table12[[#This Row],[year]]&lt;'Data Input'!$I$4,12*'Data Input'!$B$24*(1+'Data Input'!$E$29)^(Table12[[#This Row],[year]]-'Data Input'!$I$3),12*'Data Input'!$B$35*(1+'Data Input'!$E$38)^(Table12[[#This Row],[year]]-'Data Input'!$I$4))</f>
        <v>4848</v>
      </c>
      <c r="C6" s="53">
        <f>IF(Table12[[#This Row],[year]]&lt;'Data Input'!$I$4,12*'Data Input'!$C$24*(1+'Data Input'!$E$29)^(Table12[[#This Row],[year]]-'Data Input'!$I$3),12*'Data Input'!$C$35*(1+'Data Input'!$E$38)^(Table12[[#This Row],[year]]-'Data Input'!$I$4))</f>
        <v>3030</v>
      </c>
      <c r="D6" s="53">
        <f>ROUNDDOWN('Student Loans'!B9+'Credit Card Debt'!B9,2)</f>
        <v>0</v>
      </c>
      <c r="E6" s="53">
        <f>MIN('Data Input'!$C$12+'Data Input'!$F$12,'Main Info'!B5*'Data Input'!$C$11+'Main Info'!E5*'Data Input'!$F$11+'Data Input'!$C$10+'Data Input'!$F$10)</f>
        <v>0</v>
      </c>
      <c r="F6" s="53">
        <f>12*'Data Input'!F64+12*100</f>
        <v>6000</v>
      </c>
      <c r="G6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6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6" s="53">
        <f>IF(Table12[[#This Row],[year]]&lt;'Data Input'!$I$4,12*'Data Input'!$I$24*(1+'Data Input'!$E$29)^(Table12[[#This Row],[year]]-'Data Input'!$I$3),12*'Data Input'!$I$35*(1+'Data Input'!$E$38)^(Table12[[#This Row],[year]]-'Data Input'!$I$4))</f>
        <v>3030</v>
      </c>
      <c r="J6" s="53">
        <f>IF(Table12[[#This Row],[year]]&lt;'Data Input'!$I$4,12*'Data Input'!$J$24*(1+'Data Input'!$E$29)^(Table12[[#This Row],[year]]-'Data Input'!$I$3),12*'Data Input'!$J$35*(1+'Data Input'!$E$38)^(Table12[[#This Row],[year]]-'Data Input'!$I$4))</f>
        <v>6060</v>
      </c>
      <c r="K6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L6" s="53">
        <f>IF(Table12[[#This Row],[year]]&lt;'Data Input'!$I$4,12*'Data Input'!$L$24*(1+'Data Input'!$E$29)^(Table12[[#This Row],[year]]-'Data Input'!$I$3),12*'Data Input'!$L$35*(1+'Data Input'!$E$38)^(Table12[[#This Row],[year]]-'Data Input'!$I$4))</f>
        <v>1212</v>
      </c>
      <c r="M6" s="53">
        <f>IF(Table12[[#This Row],[year]]&lt;'Data Input'!$I$4,12*'Data Input'!$M$24*(1+'Data Input'!$E$29)^(Table12[[#This Row],[year]]-'Data Input'!$I$3),12*'Data Input'!$M$35*(1+'Data Input'!$E$38)^(Table12[[#This Row],[year]]-'Data Input'!$I$4))</f>
        <v>2424</v>
      </c>
      <c r="N6" s="55">
        <f>IF(Table12[[#This Row],[year]]&lt;'Data Input'!$I$4,12*'Data Input'!$N$24,12*'Data Input'!$N$35)</f>
        <v>2400</v>
      </c>
      <c r="O6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6" s="53">
        <f>IF(Table12[[#This Row],[year]]&lt;'Data Input'!$I$4,12*'Data Input'!$P$24*(1+'Data Input'!$E$29)^(Table12[[#This Row],[year]]-'Data Input'!$I$3),12*'Data Input'!$P$35*(1+'Data Input'!$E$38)^(Table12[[#This Row],[year]]-'Data Input'!$I$4))</f>
        <v>6060</v>
      </c>
      <c r="Q6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6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6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6" s="55">
        <f>SUM(Table12[[#This Row],[Utilities]:[Misc. Housing costs]])</f>
        <v>44275.199999999997</v>
      </c>
      <c r="U6" s="54">
        <f>Table12[[#This Row],[Total]]/12</f>
        <v>3689.6</v>
      </c>
    </row>
    <row r="7" spans="1:21">
      <c r="A7" s="19">
        <f t="shared" si="0"/>
        <v>2020</v>
      </c>
      <c r="B7" s="53">
        <f>IF(Table12[[#This Row],[year]]&lt;'Data Input'!$I$4,12*'Data Input'!$B$24*(1+'Data Input'!$E$29)^(Table12[[#This Row],[year]]-'Data Input'!$I$3),12*'Data Input'!$B$35*(1+'Data Input'!$E$38)^(Table12[[#This Row],[year]]-'Data Input'!$I$4))</f>
        <v>4896.4800000000005</v>
      </c>
      <c r="C7" s="53">
        <f>IF(Table12[[#This Row],[year]]&lt;'Data Input'!$I$4,12*'Data Input'!$C$24*(1+'Data Input'!$E$29)^(Table12[[#This Row],[year]]-'Data Input'!$I$3),12*'Data Input'!$C$35*(1+'Data Input'!$E$38)^(Table12[[#This Row],[year]]-'Data Input'!$I$4))</f>
        <v>3060.3</v>
      </c>
      <c r="D7" s="53">
        <f>ROUNDDOWN('Student Loans'!B10+'Credit Card Debt'!B10,2)</f>
        <v>0</v>
      </c>
      <c r="E7" s="53">
        <f>MIN('Data Input'!$C$12+'Data Input'!$F$12,'Main Info'!B6*'Data Input'!$C$11+'Main Info'!E6*'Data Input'!$F$11+'Data Input'!$C$10+'Data Input'!$F$10)</f>
        <v>0</v>
      </c>
      <c r="F7" s="53">
        <f>12*'Data Input'!F65+12*100</f>
        <v>6000</v>
      </c>
      <c r="G7" s="53">
        <f>IF(Table12[[#This Row],[year]]&lt;'Data Input'!$I$4,12*'Data Input'!$G$24*(1+'Data Input'!$E$29)^(Table12[[#This Row],[year]]-'Data Input'!$I$3),12*'Data Input'!$G$35*(1+'Data Input'!$E$38)^(Table12[[#This Row],[year]]-'Data Input'!$I$4))</f>
        <v>1224.1200000000001</v>
      </c>
      <c r="H7" s="55">
        <f>IF(Table12[[#This Row],[year]]&lt;'Data Input'!$I$4,12*'Data Input'!$H$24*(1+'Data Input'!$E$29)^(Table12[[#This Row],[year]]-'Data Input'!$I$3),12*'Data Input'!$H$35*(1+'Data Input'!$E$38)^(Table12[[#This Row],[year]]-'Data Input'!$I$4))</f>
        <v>734.47199999999998</v>
      </c>
      <c r="I7" s="53">
        <f>IF(Table12[[#This Row],[year]]&lt;'Data Input'!$I$4,12*'Data Input'!$I$24*(1+'Data Input'!$E$29)^(Table12[[#This Row],[year]]-'Data Input'!$I$3),12*'Data Input'!$I$35*(1+'Data Input'!$E$38)^(Table12[[#This Row],[year]]-'Data Input'!$I$4))</f>
        <v>3060.3</v>
      </c>
      <c r="J7" s="53">
        <f>IF(Table12[[#This Row],[year]]&lt;'Data Input'!$I$4,12*'Data Input'!$J$24*(1+'Data Input'!$E$29)^(Table12[[#This Row],[year]]-'Data Input'!$I$3),12*'Data Input'!$J$35*(1+'Data Input'!$E$38)^(Table12[[#This Row],[year]]-'Data Input'!$I$4))</f>
        <v>6120.6</v>
      </c>
      <c r="K7" s="53">
        <f>IF(Table12[[#This Row],[year]]&lt;'Data Input'!$I$4,12*'Data Input'!$K$24*(1+'Data Input'!$E$29)^(Table12[[#This Row],[year]]-'Data Input'!$I$3),12*'Data Input'!$K$35*(1+'Data Input'!$E$38)^(Table12[[#This Row],[year]]-'Data Input'!$I$4))</f>
        <v>1224.1200000000001</v>
      </c>
      <c r="L7" s="53">
        <f>IF(Table12[[#This Row],[year]]&lt;'Data Input'!$I$4,12*'Data Input'!$L$24*(1+'Data Input'!$E$29)^(Table12[[#This Row],[year]]-'Data Input'!$I$3),12*'Data Input'!$L$35*(1+'Data Input'!$E$38)^(Table12[[#This Row],[year]]-'Data Input'!$I$4))</f>
        <v>1224.1200000000001</v>
      </c>
      <c r="M7" s="53">
        <f>IF(Table12[[#This Row],[year]]&lt;'Data Input'!$I$4,12*'Data Input'!$M$24*(1+'Data Input'!$E$29)^(Table12[[#This Row],[year]]-'Data Input'!$I$3),12*'Data Input'!$M$35*(1+'Data Input'!$E$38)^(Table12[[#This Row],[year]]-'Data Input'!$I$4))</f>
        <v>2448.2400000000002</v>
      </c>
      <c r="N7" s="55">
        <f>IF(Table12[[#This Row],[year]]&lt;'Data Input'!$I$4,12*'Data Input'!$N$24,12*'Data Input'!$N$35)</f>
        <v>2400</v>
      </c>
      <c r="O7" s="53">
        <f>IF(Table12[[#This Row],[year]]&lt;'Data Input'!$I$4,12*'Data Input'!$O$24*(1+'Data Input'!$E$29)^(Table12[[#This Row],[year]]-'Data Input'!$I$3),12*'Data Input'!$O$35*(1+'Data Input'!$E$38)^(Table12[[#This Row],[year]]-'Data Input'!$I$4))</f>
        <v>1224.1200000000001</v>
      </c>
      <c r="P7" s="53">
        <f>IF(Table12[[#This Row],[year]]&lt;'Data Input'!$I$4,12*'Data Input'!$P$24*(1+'Data Input'!$E$29)^(Table12[[#This Row],[year]]-'Data Input'!$I$3),12*'Data Input'!$P$35*(1+'Data Input'!$E$38)^(Table12[[#This Row],[year]]-'Data Input'!$I$4))</f>
        <v>6120.6</v>
      </c>
      <c r="Q7" s="53">
        <f>IF(Table12[[#This Row],[year]]&lt;'Data Input'!$I$4,12*'Data Input'!$Q$24*(1+'Data Input'!$E$29)^(Table12[[#This Row],[year]]-'Data Input'!$I$3),12*'Data Input'!$Q$35*(1+'Data Input'!$E$38)^(Table12[[#This Row],[year]]-'Data Input'!$I$4))</f>
        <v>1224.1200000000001</v>
      </c>
      <c r="R7" s="53">
        <f>IF(Table12[[#This Row],[year]]&lt;'Data Input'!$I$4,12*'Data Input'!$R$24*(1+'Data Input'!$E$29)^(Table12[[#This Row],[year]]-'Data Input'!$I$3),12*'Data Input'!$R$35*(1+'Data Input'!$E$38)^(Table12[[#This Row],[year]]-'Data Input'!$I$4))</f>
        <v>2448.2400000000002</v>
      </c>
      <c r="S7" s="53">
        <f>IF(Table12[[#This Row],[year]]&lt;'Data Input'!$I$4,12*'Data Input'!$S$24*(1+'Data Input'!$E$29)^(Table12[[#This Row],[year]]-'Data Input'!$I$3),12*'Data Input'!$S$35*(1+'Data Input'!$E$38)^(Table12[[#This Row],[year]]-'Data Input'!$I$4))</f>
        <v>1224.1200000000001</v>
      </c>
      <c r="T7" s="55">
        <f>SUM(Table12[[#This Row],[Utilities]:[Misc. Housing costs]])</f>
        <v>44633.952000000005</v>
      </c>
      <c r="U7" s="54">
        <f>Table12[[#This Row],[Total]]/12</f>
        <v>3719.4960000000005</v>
      </c>
    </row>
    <row r="8" spans="1:21">
      <c r="A8" s="19">
        <f t="shared" si="0"/>
        <v>2021</v>
      </c>
      <c r="B8" s="53">
        <f>IF(Table12[[#This Row],[year]]&lt;'Data Input'!$I$4,12*'Data Input'!$B$24*(1+'Data Input'!$E$29)^(Table12[[#This Row],[year]]-'Data Input'!$I$3),12*'Data Input'!$B$35*(1+'Data Input'!$E$38)^(Table12[[#This Row],[year]]-'Data Input'!$I$4))</f>
        <v>4945.4447999999993</v>
      </c>
      <c r="C8" s="53">
        <f>IF(Table12[[#This Row],[year]]&lt;'Data Input'!$I$4,12*'Data Input'!$C$24*(1+'Data Input'!$E$29)^(Table12[[#This Row],[year]]-'Data Input'!$I$3),12*'Data Input'!$C$35*(1+'Data Input'!$E$38)^(Table12[[#This Row],[year]]-'Data Input'!$I$4))</f>
        <v>3090.9029999999998</v>
      </c>
      <c r="D8" s="53">
        <f>ROUNDDOWN('Student Loans'!B11+'Credit Card Debt'!B11,2)</f>
        <v>0</v>
      </c>
      <c r="E8" s="53">
        <f>MIN('Data Input'!$C$12+'Data Input'!$F$12,'Main Info'!B7*'Data Input'!$C$11+'Main Info'!E7*'Data Input'!$F$11+'Data Input'!$C$10+'Data Input'!$F$10)</f>
        <v>0</v>
      </c>
      <c r="F8" s="53">
        <f>12*'Data Input'!F66+12*100</f>
        <v>11400</v>
      </c>
      <c r="G8" s="53">
        <f>IF(Table12[[#This Row],[year]]&lt;'Data Input'!$I$4,12*'Data Input'!$G$24*(1+'Data Input'!$E$29)^(Table12[[#This Row],[year]]-'Data Input'!$I$3),12*'Data Input'!$G$35*(1+'Data Input'!$E$38)^(Table12[[#This Row],[year]]-'Data Input'!$I$4))</f>
        <v>1236.3611999999998</v>
      </c>
      <c r="H8" s="55">
        <f>IF(Table12[[#This Row],[year]]&lt;'Data Input'!$I$4,12*'Data Input'!$H$24*(1+'Data Input'!$E$29)^(Table12[[#This Row],[year]]-'Data Input'!$I$3),12*'Data Input'!$H$35*(1+'Data Input'!$E$38)^(Table12[[#This Row],[year]]-'Data Input'!$I$4))</f>
        <v>741.81671999999992</v>
      </c>
      <c r="I8" s="53">
        <f>IF(Table12[[#This Row],[year]]&lt;'Data Input'!$I$4,12*'Data Input'!$I$24*(1+'Data Input'!$E$29)^(Table12[[#This Row],[year]]-'Data Input'!$I$3),12*'Data Input'!$I$35*(1+'Data Input'!$E$38)^(Table12[[#This Row],[year]]-'Data Input'!$I$4))</f>
        <v>3090.9029999999998</v>
      </c>
      <c r="J8" s="53">
        <f>IF(Table12[[#This Row],[year]]&lt;'Data Input'!$I$4,12*'Data Input'!$J$24*(1+'Data Input'!$E$29)^(Table12[[#This Row],[year]]-'Data Input'!$I$3),12*'Data Input'!$J$35*(1+'Data Input'!$E$38)^(Table12[[#This Row],[year]]-'Data Input'!$I$4))</f>
        <v>6181.8059999999996</v>
      </c>
      <c r="K8" s="53">
        <f>IF(Table12[[#This Row],[year]]&lt;'Data Input'!$I$4,12*'Data Input'!$K$24*(1+'Data Input'!$E$29)^(Table12[[#This Row],[year]]-'Data Input'!$I$3),12*'Data Input'!$K$35*(1+'Data Input'!$E$38)^(Table12[[#This Row],[year]]-'Data Input'!$I$4))</f>
        <v>1236.3611999999998</v>
      </c>
      <c r="L8" s="53">
        <f>IF(Table12[[#This Row],[year]]&lt;'Data Input'!$I$4,12*'Data Input'!$L$24*(1+'Data Input'!$E$29)^(Table12[[#This Row],[year]]-'Data Input'!$I$3),12*'Data Input'!$L$35*(1+'Data Input'!$E$38)^(Table12[[#This Row],[year]]-'Data Input'!$I$4))</f>
        <v>1236.3611999999998</v>
      </c>
      <c r="M8" s="53">
        <f>IF(Table12[[#This Row],[year]]&lt;'Data Input'!$I$4,12*'Data Input'!$M$24*(1+'Data Input'!$E$29)^(Table12[[#This Row],[year]]-'Data Input'!$I$3),12*'Data Input'!$M$35*(1+'Data Input'!$E$38)^(Table12[[#This Row],[year]]-'Data Input'!$I$4))</f>
        <v>2472.7223999999997</v>
      </c>
      <c r="N8" s="55">
        <f>IF(Table12[[#This Row],[year]]&lt;'Data Input'!$I$4,12*'Data Input'!$N$24,12*'Data Input'!$N$35)</f>
        <v>2400</v>
      </c>
      <c r="O8" s="53">
        <f>IF(Table12[[#This Row],[year]]&lt;'Data Input'!$I$4,12*'Data Input'!$O$24*(1+'Data Input'!$E$29)^(Table12[[#This Row],[year]]-'Data Input'!$I$3),12*'Data Input'!$O$35*(1+'Data Input'!$E$38)^(Table12[[#This Row],[year]]-'Data Input'!$I$4))</f>
        <v>1236.3611999999998</v>
      </c>
      <c r="P8" s="53">
        <f>IF(Table12[[#This Row],[year]]&lt;'Data Input'!$I$4,12*'Data Input'!$P$24*(1+'Data Input'!$E$29)^(Table12[[#This Row],[year]]-'Data Input'!$I$3),12*'Data Input'!$P$35*(1+'Data Input'!$E$38)^(Table12[[#This Row],[year]]-'Data Input'!$I$4))</f>
        <v>6181.8059999999996</v>
      </c>
      <c r="Q8" s="53">
        <f>IF(Table12[[#This Row],[year]]&lt;'Data Input'!$I$4,12*'Data Input'!$Q$24*(1+'Data Input'!$E$29)^(Table12[[#This Row],[year]]-'Data Input'!$I$3),12*'Data Input'!$Q$35*(1+'Data Input'!$E$38)^(Table12[[#This Row],[year]]-'Data Input'!$I$4))</f>
        <v>1236.3611999999998</v>
      </c>
      <c r="R8" s="53">
        <f>IF(Table12[[#This Row],[year]]&lt;'Data Input'!$I$4,12*'Data Input'!$R$24*(1+'Data Input'!$E$29)^(Table12[[#This Row],[year]]-'Data Input'!$I$3),12*'Data Input'!$R$35*(1+'Data Input'!$E$38)^(Table12[[#This Row],[year]]-'Data Input'!$I$4))</f>
        <v>2472.7223999999997</v>
      </c>
      <c r="S8" s="53">
        <f>IF(Table12[[#This Row],[year]]&lt;'Data Input'!$I$4,12*'Data Input'!$S$24*(1+'Data Input'!$E$29)^(Table12[[#This Row],[year]]-'Data Input'!$I$3),12*'Data Input'!$S$35*(1+'Data Input'!$E$38)^(Table12[[#This Row],[year]]-'Data Input'!$I$4))</f>
        <v>1236.3611999999998</v>
      </c>
      <c r="T8" s="55">
        <f>SUM(Table12[[#This Row],[Utilities]:[Misc. Housing costs]])</f>
        <v>50396.291519999992</v>
      </c>
      <c r="U8" s="54">
        <f>Table12[[#This Row],[Total]]/12</f>
        <v>4199.690959999999</v>
      </c>
    </row>
    <row r="9" spans="1:21">
      <c r="A9" s="19">
        <f t="shared" si="0"/>
        <v>2022</v>
      </c>
      <c r="B9" s="53">
        <f>IF(Table12[[#This Row],[year]]&lt;'Data Input'!$I$4,12*'Data Input'!$B$24*(1+'Data Input'!$E$29)^(Table12[[#This Row],[year]]-'Data Input'!$I$3),12*'Data Input'!$B$35*(1+'Data Input'!$E$38)^(Table12[[#This Row],[year]]-'Data Input'!$I$4))</f>
        <v>4994.8992479999997</v>
      </c>
      <c r="C9" s="53">
        <f>IF(Table12[[#This Row],[year]]&lt;'Data Input'!$I$4,12*'Data Input'!$C$24*(1+'Data Input'!$E$29)^(Table12[[#This Row],[year]]-'Data Input'!$I$3),12*'Data Input'!$C$35*(1+'Data Input'!$E$38)^(Table12[[#This Row],[year]]-'Data Input'!$I$4))</f>
        <v>3121.81203</v>
      </c>
      <c r="D9" s="53">
        <f>ROUNDDOWN('Student Loans'!B12+'Credit Card Debt'!B12,2)</f>
        <v>0</v>
      </c>
      <c r="E9" s="53">
        <f>MIN('Data Input'!$C$12+'Data Input'!$F$12,'Main Info'!B8*'Data Input'!$C$11+'Main Info'!E8*'Data Input'!$F$11+'Data Input'!$C$10+'Data Input'!$F$10)</f>
        <v>0</v>
      </c>
      <c r="F9" s="53">
        <f>12*'Data Input'!F67+12*100</f>
        <v>6600</v>
      </c>
      <c r="G9" s="53">
        <f>IF(Table12[[#This Row],[year]]&lt;'Data Input'!$I$4,12*'Data Input'!$G$24*(1+'Data Input'!$E$29)^(Table12[[#This Row],[year]]-'Data Input'!$I$3),12*'Data Input'!$G$35*(1+'Data Input'!$E$38)^(Table12[[#This Row],[year]]-'Data Input'!$I$4))</f>
        <v>1248.7248119999999</v>
      </c>
      <c r="H9" s="55">
        <f>IF(Table12[[#This Row],[year]]&lt;'Data Input'!$I$4,12*'Data Input'!$H$24*(1+'Data Input'!$E$29)^(Table12[[#This Row],[year]]-'Data Input'!$I$3),12*'Data Input'!$H$35*(1+'Data Input'!$E$38)^(Table12[[#This Row],[year]]-'Data Input'!$I$4))</f>
        <v>749.2348872</v>
      </c>
      <c r="I9" s="53">
        <f>IF(Table12[[#This Row],[year]]&lt;'Data Input'!$I$4,12*'Data Input'!$I$24*(1+'Data Input'!$E$29)^(Table12[[#This Row],[year]]-'Data Input'!$I$3),12*'Data Input'!$I$35*(1+'Data Input'!$E$38)^(Table12[[#This Row],[year]]-'Data Input'!$I$4))</f>
        <v>3121.81203</v>
      </c>
      <c r="J9" s="53">
        <f>IF(Table12[[#This Row],[year]]&lt;'Data Input'!$I$4,12*'Data Input'!$J$24*(1+'Data Input'!$E$29)^(Table12[[#This Row],[year]]-'Data Input'!$I$3),12*'Data Input'!$J$35*(1+'Data Input'!$E$38)^(Table12[[#This Row],[year]]-'Data Input'!$I$4))</f>
        <v>6243.6240600000001</v>
      </c>
      <c r="K9" s="53">
        <f>IF(Table12[[#This Row],[year]]&lt;'Data Input'!$I$4,12*'Data Input'!$K$24*(1+'Data Input'!$E$29)^(Table12[[#This Row],[year]]-'Data Input'!$I$3),12*'Data Input'!$K$35*(1+'Data Input'!$E$38)^(Table12[[#This Row],[year]]-'Data Input'!$I$4))</f>
        <v>1248.7248119999999</v>
      </c>
      <c r="L9" s="53">
        <f>IF(Table12[[#This Row],[year]]&lt;'Data Input'!$I$4,12*'Data Input'!$L$24*(1+'Data Input'!$E$29)^(Table12[[#This Row],[year]]-'Data Input'!$I$3),12*'Data Input'!$L$35*(1+'Data Input'!$E$38)^(Table12[[#This Row],[year]]-'Data Input'!$I$4))</f>
        <v>1248.7248119999999</v>
      </c>
      <c r="M9" s="53">
        <f>IF(Table12[[#This Row],[year]]&lt;'Data Input'!$I$4,12*'Data Input'!$M$24*(1+'Data Input'!$E$29)^(Table12[[#This Row],[year]]-'Data Input'!$I$3),12*'Data Input'!$M$35*(1+'Data Input'!$E$38)^(Table12[[#This Row],[year]]-'Data Input'!$I$4))</f>
        <v>2497.4496239999999</v>
      </c>
      <c r="N9" s="55">
        <f>IF(Table12[[#This Row],[year]]&lt;'Data Input'!$I$4,12*'Data Input'!$N$24,12*'Data Input'!$N$35)</f>
        <v>2400</v>
      </c>
      <c r="O9" s="53">
        <f>IF(Table12[[#This Row],[year]]&lt;'Data Input'!$I$4,12*'Data Input'!$O$24*(1+'Data Input'!$E$29)^(Table12[[#This Row],[year]]-'Data Input'!$I$3),12*'Data Input'!$O$35*(1+'Data Input'!$E$38)^(Table12[[#This Row],[year]]-'Data Input'!$I$4))</f>
        <v>1248.7248119999999</v>
      </c>
      <c r="P9" s="53">
        <f>IF(Table12[[#This Row],[year]]&lt;'Data Input'!$I$4,12*'Data Input'!$P$24*(1+'Data Input'!$E$29)^(Table12[[#This Row],[year]]-'Data Input'!$I$3),12*'Data Input'!$P$35*(1+'Data Input'!$E$38)^(Table12[[#This Row],[year]]-'Data Input'!$I$4))</f>
        <v>6243.6240600000001</v>
      </c>
      <c r="Q9" s="53">
        <f>IF(Table12[[#This Row],[year]]&lt;'Data Input'!$I$4,12*'Data Input'!$Q$24*(1+'Data Input'!$E$29)^(Table12[[#This Row],[year]]-'Data Input'!$I$3),12*'Data Input'!$Q$35*(1+'Data Input'!$E$38)^(Table12[[#This Row],[year]]-'Data Input'!$I$4))</f>
        <v>1248.7248119999999</v>
      </c>
      <c r="R9" s="53">
        <f>IF(Table12[[#This Row],[year]]&lt;'Data Input'!$I$4,12*'Data Input'!$R$24*(1+'Data Input'!$E$29)^(Table12[[#This Row],[year]]-'Data Input'!$I$3),12*'Data Input'!$R$35*(1+'Data Input'!$E$38)^(Table12[[#This Row],[year]]-'Data Input'!$I$4))</f>
        <v>2497.4496239999999</v>
      </c>
      <c r="S9" s="53">
        <f>IF(Table12[[#This Row],[year]]&lt;'Data Input'!$I$4,12*'Data Input'!$S$24*(1+'Data Input'!$E$29)^(Table12[[#This Row],[year]]-'Data Input'!$I$3),12*'Data Input'!$S$35*(1+'Data Input'!$E$38)^(Table12[[#This Row],[year]]-'Data Input'!$I$4))</f>
        <v>1248.7248119999999</v>
      </c>
      <c r="T9" s="55">
        <f>SUM(Table12[[#This Row],[Utilities]:[Misc. Housing costs]])</f>
        <v>45962.254435200004</v>
      </c>
      <c r="U9" s="54">
        <f>Table12[[#This Row],[Total]]/12</f>
        <v>3830.1878696000003</v>
      </c>
    </row>
    <row r="10" spans="1:21">
      <c r="A10" s="19">
        <f t="shared" si="0"/>
        <v>2023</v>
      </c>
      <c r="B10" s="53">
        <f>IF(Table12[[#This Row],[year]]&lt;'Data Input'!$I$4,12*'Data Input'!$B$24*(1+'Data Input'!$E$29)^(Table12[[#This Row],[year]]-'Data Input'!$I$3),12*'Data Input'!$B$35*(1+'Data Input'!$E$38)^(Table12[[#This Row],[year]]-'Data Input'!$I$4))</f>
        <v>5044.8482404799997</v>
      </c>
      <c r="C10" s="53">
        <f>IF(Table12[[#This Row],[year]]&lt;'Data Input'!$I$4,12*'Data Input'!$C$24*(1+'Data Input'!$E$29)^(Table12[[#This Row],[year]]-'Data Input'!$I$3),12*'Data Input'!$C$35*(1+'Data Input'!$E$38)^(Table12[[#This Row],[year]]-'Data Input'!$I$4))</f>
        <v>3153.0301502999996</v>
      </c>
      <c r="D10" s="53">
        <f>ROUNDDOWN('Student Loans'!B13+'Credit Card Debt'!B13,2)</f>
        <v>0</v>
      </c>
      <c r="E10" s="53">
        <f>MIN('Data Input'!$C$12+'Data Input'!$F$12,'Main Info'!B9*'Data Input'!$C$11+'Main Info'!E9*'Data Input'!$F$11+'Data Input'!$C$10+'Data Input'!$F$10)</f>
        <v>0</v>
      </c>
      <c r="F10" s="53">
        <f>12*'Data Input'!F68+12*100</f>
        <v>6600</v>
      </c>
      <c r="G10" s="53">
        <f>IF(Table12[[#This Row],[year]]&lt;'Data Input'!$I$4,12*'Data Input'!$G$24*(1+'Data Input'!$E$29)^(Table12[[#This Row],[year]]-'Data Input'!$I$3),12*'Data Input'!$G$35*(1+'Data Input'!$E$38)^(Table12[[#This Row],[year]]-'Data Input'!$I$4))</f>
        <v>1261.2120601199999</v>
      </c>
      <c r="H10" s="55">
        <f>IF(Table12[[#This Row],[year]]&lt;'Data Input'!$I$4,12*'Data Input'!$H$24*(1+'Data Input'!$E$29)^(Table12[[#This Row],[year]]-'Data Input'!$I$3),12*'Data Input'!$H$35*(1+'Data Input'!$E$38)^(Table12[[#This Row],[year]]-'Data Input'!$I$4))</f>
        <v>756.72723607199998</v>
      </c>
      <c r="I10" s="53">
        <f>IF(Table12[[#This Row],[year]]&lt;'Data Input'!$I$4,12*'Data Input'!$I$24*(1+'Data Input'!$E$29)^(Table12[[#This Row],[year]]-'Data Input'!$I$3),12*'Data Input'!$I$35*(1+'Data Input'!$E$38)^(Table12[[#This Row],[year]]-'Data Input'!$I$4))</f>
        <v>3153.0301502999996</v>
      </c>
      <c r="J10" s="53">
        <f>IF(Table12[[#This Row],[year]]&lt;'Data Input'!$I$4,12*'Data Input'!$J$24*(1+'Data Input'!$E$29)^(Table12[[#This Row],[year]]-'Data Input'!$I$3),12*'Data Input'!$J$35*(1+'Data Input'!$E$38)^(Table12[[#This Row],[year]]-'Data Input'!$I$4))</f>
        <v>6306.0603005999992</v>
      </c>
      <c r="K10" s="53">
        <f>IF(Table12[[#This Row],[year]]&lt;'Data Input'!$I$4,12*'Data Input'!$K$24*(1+'Data Input'!$E$29)^(Table12[[#This Row],[year]]-'Data Input'!$I$3),12*'Data Input'!$K$35*(1+'Data Input'!$E$38)^(Table12[[#This Row],[year]]-'Data Input'!$I$4))</f>
        <v>1261.2120601199999</v>
      </c>
      <c r="L10" s="53">
        <f>IF(Table12[[#This Row],[year]]&lt;'Data Input'!$I$4,12*'Data Input'!$L$24*(1+'Data Input'!$E$29)^(Table12[[#This Row],[year]]-'Data Input'!$I$3),12*'Data Input'!$L$35*(1+'Data Input'!$E$38)^(Table12[[#This Row],[year]]-'Data Input'!$I$4))</f>
        <v>1261.2120601199999</v>
      </c>
      <c r="M10" s="53">
        <f>IF(Table12[[#This Row],[year]]&lt;'Data Input'!$I$4,12*'Data Input'!$M$24*(1+'Data Input'!$E$29)^(Table12[[#This Row],[year]]-'Data Input'!$I$3),12*'Data Input'!$M$35*(1+'Data Input'!$E$38)^(Table12[[#This Row],[year]]-'Data Input'!$I$4))</f>
        <v>2522.4241202399999</v>
      </c>
      <c r="N10" s="55">
        <f>IF(Table12[[#This Row],[year]]&lt;'Data Input'!$I$4,12*'Data Input'!$N$24,12*'Data Input'!$N$35)</f>
        <v>2400</v>
      </c>
      <c r="O10" s="53">
        <f>IF(Table12[[#This Row],[year]]&lt;'Data Input'!$I$4,12*'Data Input'!$O$24*(1+'Data Input'!$E$29)^(Table12[[#This Row],[year]]-'Data Input'!$I$3),12*'Data Input'!$O$35*(1+'Data Input'!$E$38)^(Table12[[#This Row],[year]]-'Data Input'!$I$4))</f>
        <v>1261.2120601199999</v>
      </c>
      <c r="P10" s="53">
        <f>IF(Table12[[#This Row],[year]]&lt;'Data Input'!$I$4,12*'Data Input'!$P$24*(1+'Data Input'!$E$29)^(Table12[[#This Row],[year]]-'Data Input'!$I$3),12*'Data Input'!$P$35*(1+'Data Input'!$E$38)^(Table12[[#This Row],[year]]-'Data Input'!$I$4))</f>
        <v>6306.0603005999992</v>
      </c>
      <c r="Q10" s="53">
        <f>IF(Table12[[#This Row],[year]]&lt;'Data Input'!$I$4,12*'Data Input'!$Q$24*(1+'Data Input'!$E$29)^(Table12[[#This Row],[year]]-'Data Input'!$I$3),12*'Data Input'!$Q$35*(1+'Data Input'!$E$38)^(Table12[[#This Row],[year]]-'Data Input'!$I$4))</f>
        <v>1261.2120601199999</v>
      </c>
      <c r="R10" s="53">
        <f>IF(Table12[[#This Row],[year]]&lt;'Data Input'!$I$4,12*'Data Input'!$R$24*(1+'Data Input'!$E$29)^(Table12[[#This Row],[year]]-'Data Input'!$I$3),12*'Data Input'!$R$35*(1+'Data Input'!$E$38)^(Table12[[#This Row],[year]]-'Data Input'!$I$4))</f>
        <v>2522.4241202399999</v>
      </c>
      <c r="S10" s="53">
        <f>IF(Table12[[#This Row],[year]]&lt;'Data Input'!$I$4,12*'Data Input'!$S$24*(1+'Data Input'!$E$29)^(Table12[[#This Row],[year]]-'Data Input'!$I$3),12*'Data Input'!$S$35*(1+'Data Input'!$E$38)^(Table12[[#This Row],[year]]-'Data Input'!$I$4))</f>
        <v>1261.2120601199999</v>
      </c>
      <c r="T10" s="55">
        <f>SUM(Table12[[#This Row],[Utilities]:[Misc. Housing costs]])</f>
        <v>46331.876979552006</v>
      </c>
      <c r="U10" s="54">
        <f>Table12[[#This Row],[Total]]/12</f>
        <v>3860.9897482960005</v>
      </c>
    </row>
    <row r="11" spans="1:21">
      <c r="A11" s="19">
        <f t="shared" si="0"/>
        <v>2024</v>
      </c>
      <c r="B11" s="53">
        <f>IF(Table12[[#This Row],[year]]&lt;'Data Input'!$I$4,12*'Data Input'!$B$24*(1+'Data Input'!$E$29)^(Table12[[#This Row],[year]]-'Data Input'!$I$3),12*'Data Input'!$B$35*(1+'Data Input'!$E$38)^(Table12[[#This Row],[year]]-'Data Input'!$I$4))</f>
        <v>5095.2967228848011</v>
      </c>
      <c r="C11" s="53">
        <f>IF(Table12[[#This Row],[year]]&lt;'Data Input'!$I$4,12*'Data Input'!$C$24*(1+'Data Input'!$E$29)^(Table12[[#This Row],[year]]-'Data Input'!$I$3),12*'Data Input'!$C$35*(1+'Data Input'!$E$38)^(Table12[[#This Row],[year]]-'Data Input'!$I$4))</f>
        <v>3184.5604518030004</v>
      </c>
      <c r="D11" s="53">
        <f>ROUNDDOWN('Student Loans'!B14+'Credit Card Debt'!B14,2)</f>
        <v>0</v>
      </c>
      <c r="E11" s="53">
        <f>MIN('Data Input'!$C$12+'Data Input'!$F$12,'Main Info'!B10*'Data Input'!$C$11+'Main Info'!E10*'Data Input'!$F$11+'Data Input'!$C$10+'Data Input'!$F$10)</f>
        <v>0</v>
      </c>
      <c r="F11" s="53">
        <f>12*'Data Input'!F69+12*100</f>
        <v>6600</v>
      </c>
      <c r="G11" s="53">
        <f>IF(Table12[[#This Row],[year]]&lt;'Data Input'!$I$4,12*'Data Input'!$G$24*(1+'Data Input'!$E$29)^(Table12[[#This Row],[year]]-'Data Input'!$I$3),12*'Data Input'!$G$35*(1+'Data Input'!$E$38)^(Table12[[#This Row],[year]]-'Data Input'!$I$4))</f>
        <v>1273.8241807212003</v>
      </c>
      <c r="H11" s="55">
        <f>IF(Table12[[#This Row],[year]]&lt;'Data Input'!$I$4,12*'Data Input'!$H$24*(1+'Data Input'!$E$29)^(Table12[[#This Row],[year]]-'Data Input'!$I$3),12*'Data Input'!$H$35*(1+'Data Input'!$E$38)^(Table12[[#This Row],[year]]-'Data Input'!$I$4))</f>
        <v>764.29450843272014</v>
      </c>
      <c r="I11" s="53">
        <f>IF(Table12[[#This Row],[year]]&lt;'Data Input'!$I$4,12*'Data Input'!$I$24*(1+'Data Input'!$E$29)^(Table12[[#This Row],[year]]-'Data Input'!$I$3),12*'Data Input'!$I$35*(1+'Data Input'!$E$38)^(Table12[[#This Row],[year]]-'Data Input'!$I$4))</f>
        <v>3184.5604518030004</v>
      </c>
      <c r="J11" s="53">
        <f>IF(Table12[[#This Row],[year]]&lt;'Data Input'!$I$4,12*'Data Input'!$J$24*(1+'Data Input'!$E$29)^(Table12[[#This Row],[year]]-'Data Input'!$I$3),12*'Data Input'!$J$35*(1+'Data Input'!$E$38)^(Table12[[#This Row],[year]]-'Data Input'!$I$4))</f>
        <v>6369.1209036060009</v>
      </c>
      <c r="K11" s="53">
        <f>IF(Table12[[#This Row],[year]]&lt;'Data Input'!$I$4,12*'Data Input'!$K$24*(1+'Data Input'!$E$29)^(Table12[[#This Row],[year]]-'Data Input'!$I$3),12*'Data Input'!$K$35*(1+'Data Input'!$E$38)^(Table12[[#This Row],[year]]-'Data Input'!$I$4))</f>
        <v>1273.8241807212003</v>
      </c>
      <c r="L11" s="53">
        <f>IF(Table12[[#This Row],[year]]&lt;'Data Input'!$I$4,12*'Data Input'!$L$24*(1+'Data Input'!$E$29)^(Table12[[#This Row],[year]]-'Data Input'!$I$3),12*'Data Input'!$L$35*(1+'Data Input'!$E$38)^(Table12[[#This Row],[year]]-'Data Input'!$I$4))</f>
        <v>1273.8241807212003</v>
      </c>
      <c r="M11" s="53">
        <f>IF(Table12[[#This Row],[year]]&lt;'Data Input'!$I$4,12*'Data Input'!$M$24*(1+'Data Input'!$E$29)^(Table12[[#This Row],[year]]-'Data Input'!$I$3),12*'Data Input'!$M$35*(1+'Data Input'!$E$38)^(Table12[[#This Row],[year]]-'Data Input'!$I$4))</f>
        <v>2547.6483614424005</v>
      </c>
      <c r="N11" s="55">
        <f>IF(Table12[[#This Row],[year]]&lt;'Data Input'!$I$4,12*'Data Input'!$N$24,12*'Data Input'!$N$35)</f>
        <v>2400</v>
      </c>
      <c r="O11" s="53">
        <f>IF(Table12[[#This Row],[year]]&lt;'Data Input'!$I$4,12*'Data Input'!$O$24*(1+'Data Input'!$E$29)^(Table12[[#This Row],[year]]-'Data Input'!$I$3),12*'Data Input'!$O$35*(1+'Data Input'!$E$38)^(Table12[[#This Row],[year]]-'Data Input'!$I$4))</f>
        <v>1273.8241807212003</v>
      </c>
      <c r="P11" s="53">
        <f>IF(Table12[[#This Row],[year]]&lt;'Data Input'!$I$4,12*'Data Input'!$P$24*(1+'Data Input'!$E$29)^(Table12[[#This Row],[year]]-'Data Input'!$I$3),12*'Data Input'!$P$35*(1+'Data Input'!$E$38)^(Table12[[#This Row],[year]]-'Data Input'!$I$4))</f>
        <v>6369.1209036060009</v>
      </c>
      <c r="Q11" s="53">
        <f>IF(Table12[[#This Row],[year]]&lt;'Data Input'!$I$4,12*'Data Input'!$Q$24*(1+'Data Input'!$E$29)^(Table12[[#This Row],[year]]-'Data Input'!$I$3),12*'Data Input'!$Q$35*(1+'Data Input'!$E$38)^(Table12[[#This Row],[year]]-'Data Input'!$I$4))</f>
        <v>1273.8241807212003</v>
      </c>
      <c r="R11" s="53">
        <f>IF(Table12[[#This Row],[year]]&lt;'Data Input'!$I$4,12*'Data Input'!$R$24*(1+'Data Input'!$E$29)^(Table12[[#This Row],[year]]-'Data Input'!$I$3),12*'Data Input'!$R$35*(1+'Data Input'!$E$38)^(Table12[[#This Row],[year]]-'Data Input'!$I$4))</f>
        <v>2547.6483614424005</v>
      </c>
      <c r="S11" s="53">
        <f>IF(Table12[[#This Row],[year]]&lt;'Data Input'!$I$4,12*'Data Input'!$S$24*(1+'Data Input'!$E$29)^(Table12[[#This Row],[year]]-'Data Input'!$I$3),12*'Data Input'!$S$35*(1+'Data Input'!$E$38)^(Table12[[#This Row],[year]]-'Data Input'!$I$4))</f>
        <v>1273.8241807212003</v>
      </c>
      <c r="T11" s="55">
        <f>SUM(Table12[[#This Row],[Utilities]:[Misc. Housing costs]])</f>
        <v>46705.195749347535</v>
      </c>
      <c r="U11" s="54">
        <f>Table12[[#This Row],[Total]]/12</f>
        <v>3892.0996457789611</v>
      </c>
    </row>
    <row r="12" spans="1:21">
      <c r="A12" s="19">
        <f t="shared" si="0"/>
        <v>2025</v>
      </c>
      <c r="B12" s="53">
        <f>IF(Table12[[#This Row],[year]]&lt;'Data Input'!$I$4,12*'Data Input'!$B$24*(1+'Data Input'!$E$29)^(Table12[[#This Row],[year]]-'Data Input'!$I$3),12*'Data Input'!$B$35*(1+'Data Input'!$E$38)^(Table12[[#This Row],[year]]-'Data Input'!$I$4))</f>
        <v>5146.2496901136474</v>
      </c>
      <c r="C12" s="53">
        <f>IF(Table12[[#This Row],[year]]&lt;'Data Input'!$I$4,12*'Data Input'!$C$24*(1+'Data Input'!$E$29)^(Table12[[#This Row],[year]]-'Data Input'!$I$3),12*'Data Input'!$C$35*(1+'Data Input'!$E$38)^(Table12[[#This Row],[year]]-'Data Input'!$I$4))</f>
        <v>3216.4060563210296</v>
      </c>
      <c r="D12" s="53">
        <f>ROUNDDOWN('Student Loans'!B15+'Credit Card Debt'!B15,2)</f>
        <v>0</v>
      </c>
      <c r="E12" s="53">
        <f>MIN('Data Input'!$C$12+'Data Input'!$F$12,'Main Info'!B11*'Data Input'!$C$11+'Main Info'!E11*'Data Input'!$F$11+'Data Input'!$C$10+'Data Input'!$F$10)</f>
        <v>0</v>
      </c>
      <c r="F12" s="53">
        <f>12*'Data Input'!F70+12*100</f>
        <v>6600</v>
      </c>
      <c r="G12" s="53">
        <f>IF(Table12[[#This Row],[year]]&lt;'Data Input'!$I$4,12*'Data Input'!$G$24*(1+'Data Input'!$E$29)^(Table12[[#This Row],[year]]-'Data Input'!$I$3),12*'Data Input'!$G$35*(1+'Data Input'!$E$38)^(Table12[[#This Row],[year]]-'Data Input'!$I$4))</f>
        <v>1286.5624225284118</v>
      </c>
      <c r="H12" s="55">
        <f>IF(Table12[[#This Row],[year]]&lt;'Data Input'!$I$4,12*'Data Input'!$H$24*(1+'Data Input'!$E$29)^(Table12[[#This Row],[year]]-'Data Input'!$I$3),12*'Data Input'!$H$35*(1+'Data Input'!$E$38)^(Table12[[#This Row],[year]]-'Data Input'!$I$4))</f>
        <v>771.93745351704706</v>
      </c>
      <c r="I12" s="53">
        <f>IF(Table12[[#This Row],[year]]&lt;'Data Input'!$I$4,12*'Data Input'!$I$24*(1+'Data Input'!$E$29)^(Table12[[#This Row],[year]]-'Data Input'!$I$3),12*'Data Input'!$I$35*(1+'Data Input'!$E$38)^(Table12[[#This Row],[year]]-'Data Input'!$I$4))</f>
        <v>3216.4060563210296</v>
      </c>
      <c r="J12" s="53">
        <f>IF(Table12[[#This Row],[year]]&lt;'Data Input'!$I$4,12*'Data Input'!$J$24*(1+'Data Input'!$E$29)^(Table12[[#This Row],[year]]-'Data Input'!$I$3),12*'Data Input'!$J$35*(1+'Data Input'!$E$38)^(Table12[[#This Row],[year]]-'Data Input'!$I$4))</f>
        <v>6432.8121126420592</v>
      </c>
      <c r="K12" s="53">
        <f>IF(Table12[[#This Row],[year]]&lt;'Data Input'!$I$4,12*'Data Input'!$K$24*(1+'Data Input'!$E$29)^(Table12[[#This Row],[year]]-'Data Input'!$I$3),12*'Data Input'!$K$35*(1+'Data Input'!$E$38)^(Table12[[#This Row],[year]]-'Data Input'!$I$4))</f>
        <v>1286.5624225284118</v>
      </c>
      <c r="L12" s="53">
        <f>IF(Table12[[#This Row],[year]]&lt;'Data Input'!$I$4,12*'Data Input'!$L$24*(1+'Data Input'!$E$29)^(Table12[[#This Row],[year]]-'Data Input'!$I$3),12*'Data Input'!$L$35*(1+'Data Input'!$E$38)^(Table12[[#This Row],[year]]-'Data Input'!$I$4))</f>
        <v>1286.5624225284118</v>
      </c>
      <c r="M12" s="53">
        <f>IF(Table12[[#This Row],[year]]&lt;'Data Input'!$I$4,12*'Data Input'!$M$24*(1+'Data Input'!$E$29)^(Table12[[#This Row],[year]]-'Data Input'!$I$3),12*'Data Input'!$M$35*(1+'Data Input'!$E$38)^(Table12[[#This Row],[year]]-'Data Input'!$I$4))</f>
        <v>2573.1248450568237</v>
      </c>
      <c r="N12" s="55">
        <f>IF(Table12[[#This Row],[year]]&lt;'Data Input'!$I$4,12*'Data Input'!$N$24,12*'Data Input'!$N$35)</f>
        <v>2400</v>
      </c>
      <c r="O12" s="53">
        <f>IF(Table12[[#This Row],[year]]&lt;'Data Input'!$I$4,12*'Data Input'!$O$24*(1+'Data Input'!$E$29)^(Table12[[#This Row],[year]]-'Data Input'!$I$3),12*'Data Input'!$O$35*(1+'Data Input'!$E$38)^(Table12[[#This Row],[year]]-'Data Input'!$I$4))</f>
        <v>1286.5624225284118</v>
      </c>
      <c r="P12" s="53">
        <f>IF(Table12[[#This Row],[year]]&lt;'Data Input'!$I$4,12*'Data Input'!$P$24*(1+'Data Input'!$E$29)^(Table12[[#This Row],[year]]-'Data Input'!$I$3),12*'Data Input'!$P$35*(1+'Data Input'!$E$38)^(Table12[[#This Row],[year]]-'Data Input'!$I$4))</f>
        <v>6432.8121126420592</v>
      </c>
      <c r="Q12" s="53">
        <f>IF(Table12[[#This Row],[year]]&lt;'Data Input'!$I$4,12*'Data Input'!$Q$24*(1+'Data Input'!$E$29)^(Table12[[#This Row],[year]]-'Data Input'!$I$3),12*'Data Input'!$Q$35*(1+'Data Input'!$E$38)^(Table12[[#This Row],[year]]-'Data Input'!$I$4))</f>
        <v>1286.5624225284118</v>
      </c>
      <c r="R12" s="53">
        <f>IF(Table12[[#This Row],[year]]&lt;'Data Input'!$I$4,12*'Data Input'!$R$24*(1+'Data Input'!$E$29)^(Table12[[#This Row],[year]]-'Data Input'!$I$3),12*'Data Input'!$R$35*(1+'Data Input'!$E$38)^(Table12[[#This Row],[year]]-'Data Input'!$I$4))</f>
        <v>2573.1248450568237</v>
      </c>
      <c r="S12" s="53">
        <f>IF(Table12[[#This Row],[year]]&lt;'Data Input'!$I$4,12*'Data Input'!$S$24*(1+'Data Input'!$E$29)^(Table12[[#This Row],[year]]-'Data Input'!$I$3),12*'Data Input'!$S$35*(1+'Data Input'!$E$38)^(Table12[[#This Row],[year]]-'Data Input'!$I$4))</f>
        <v>1286.5624225284118</v>
      </c>
      <c r="T12" s="55">
        <f>SUM(Table12[[#This Row],[Utilities]:[Misc. Housing costs]])</f>
        <v>47082.247706840993</v>
      </c>
      <c r="U12" s="54">
        <f>Table12[[#This Row],[Total]]/12</f>
        <v>3923.5206422367496</v>
      </c>
    </row>
    <row r="13" spans="1:21">
      <c r="A13" s="19">
        <f t="shared" si="0"/>
        <v>2026</v>
      </c>
      <c r="B13" s="53">
        <f>IF(Table12[[#This Row],[year]]&lt;'Data Input'!$I$4,12*'Data Input'!$B$24*(1+'Data Input'!$E$29)^(Table12[[#This Row],[year]]-'Data Input'!$I$3),12*'Data Input'!$B$35*(1+'Data Input'!$E$38)^(Table12[[#This Row],[year]]-'Data Input'!$I$4))</f>
        <v>5197.7121870147848</v>
      </c>
      <c r="C13" s="53">
        <f>IF(Table12[[#This Row],[year]]&lt;'Data Input'!$I$4,12*'Data Input'!$C$24*(1+'Data Input'!$E$29)^(Table12[[#This Row],[year]]-'Data Input'!$I$3),12*'Data Input'!$C$35*(1+'Data Input'!$E$38)^(Table12[[#This Row],[year]]-'Data Input'!$I$4))</f>
        <v>3248.5701168842406</v>
      </c>
      <c r="D13" s="53">
        <f>ROUNDDOWN('Student Loans'!B16+'Credit Card Debt'!B16,2)</f>
        <v>0</v>
      </c>
      <c r="E13" s="53">
        <f>MIN('Data Input'!$C$12+'Data Input'!$F$12,'Main Info'!B12*'Data Input'!$C$11+'Main Info'!E12*'Data Input'!$F$11+'Data Input'!$C$10+'Data Input'!$F$10)</f>
        <v>0</v>
      </c>
      <c r="F13" s="53">
        <f>12*'Data Input'!F71+12*100</f>
        <v>1200</v>
      </c>
      <c r="G13" s="53">
        <f>IF(Table12[[#This Row],[year]]&lt;'Data Input'!$I$4,12*'Data Input'!$G$24*(1+'Data Input'!$E$29)^(Table12[[#This Row],[year]]-'Data Input'!$I$3),12*'Data Input'!$G$35*(1+'Data Input'!$E$38)^(Table12[[#This Row],[year]]-'Data Input'!$I$4))</f>
        <v>1299.4280467536962</v>
      </c>
      <c r="H13" s="55">
        <f>IF(Table12[[#This Row],[year]]&lt;'Data Input'!$I$4,12*'Data Input'!$H$24*(1+'Data Input'!$E$29)^(Table12[[#This Row],[year]]-'Data Input'!$I$3),12*'Data Input'!$H$35*(1+'Data Input'!$E$38)^(Table12[[#This Row],[year]]-'Data Input'!$I$4))</f>
        <v>779.65682805221775</v>
      </c>
      <c r="I13" s="53">
        <f>IF(Table12[[#This Row],[year]]&lt;'Data Input'!$I$4,12*'Data Input'!$I$24*(1+'Data Input'!$E$29)^(Table12[[#This Row],[year]]-'Data Input'!$I$3),12*'Data Input'!$I$35*(1+'Data Input'!$E$38)^(Table12[[#This Row],[year]]-'Data Input'!$I$4))</f>
        <v>3248.5701168842406</v>
      </c>
      <c r="J13" s="53">
        <f>IF(Table12[[#This Row],[year]]&lt;'Data Input'!$I$4,12*'Data Input'!$J$24*(1+'Data Input'!$E$29)^(Table12[[#This Row],[year]]-'Data Input'!$I$3),12*'Data Input'!$J$35*(1+'Data Input'!$E$38)^(Table12[[#This Row],[year]]-'Data Input'!$I$4))</f>
        <v>6497.1402337684813</v>
      </c>
      <c r="K13" s="53">
        <f>IF(Table12[[#This Row],[year]]&lt;'Data Input'!$I$4,12*'Data Input'!$K$24*(1+'Data Input'!$E$29)^(Table12[[#This Row],[year]]-'Data Input'!$I$3),12*'Data Input'!$K$35*(1+'Data Input'!$E$38)^(Table12[[#This Row],[year]]-'Data Input'!$I$4))</f>
        <v>1299.4280467536962</v>
      </c>
      <c r="L13" s="53">
        <f>IF(Table12[[#This Row],[year]]&lt;'Data Input'!$I$4,12*'Data Input'!$L$24*(1+'Data Input'!$E$29)^(Table12[[#This Row],[year]]-'Data Input'!$I$3),12*'Data Input'!$L$35*(1+'Data Input'!$E$38)^(Table12[[#This Row],[year]]-'Data Input'!$I$4))</f>
        <v>1299.4280467536962</v>
      </c>
      <c r="M13" s="53">
        <f>IF(Table12[[#This Row],[year]]&lt;'Data Input'!$I$4,12*'Data Input'!$M$24*(1+'Data Input'!$E$29)^(Table12[[#This Row],[year]]-'Data Input'!$I$3),12*'Data Input'!$M$35*(1+'Data Input'!$E$38)^(Table12[[#This Row],[year]]-'Data Input'!$I$4))</f>
        <v>2598.8560935073924</v>
      </c>
      <c r="N13" s="55">
        <f>IF(Table12[[#This Row],[year]]&lt;'Data Input'!$I$4,12*'Data Input'!$N$24,12*'Data Input'!$N$35)</f>
        <v>2400</v>
      </c>
      <c r="O13" s="53">
        <f>IF(Table12[[#This Row],[year]]&lt;'Data Input'!$I$4,12*'Data Input'!$O$24*(1+'Data Input'!$E$29)^(Table12[[#This Row],[year]]-'Data Input'!$I$3),12*'Data Input'!$O$35*(1+'Data Input'!$E$38)^(Table12[[#This Row],[year]]-'Data Input'!$I$4))</f>
        <v>1299.4280467536962</v>
      </c>
      <c r="P13" s="53">
        <f>IF(Table12[[#This Row],[year]]&lt;'Data Input'!$I$4,12*'Data Input'!$P$24*(1+'Data Input'!$E$29)^(Table12[[#This Row],[year]]-'Data Input'!$I$3),12*'Data Input'!$P$35*(1+'Data Input'!$E$38)^(Table12[[#This Row],[year]]-'Data Input'!$I$4))</f>
        <v>6497.1402337684813</v>
      </c>
      <c r="Q13" s="53">
        <f>IF(Table12[[#This Row],[year]]&lt;'Data Input'!$I$4,12*'Data Input'!$Q$24*(1+'Data Input'!$E$29)^(Table12[[#This Row],[year]]-'Data Input'!$I$3),12*'Data Input'!$Q$35*(1+'Data Input'!$E$38)^(Table12[[#This Row],[year]]-'Data Input'!$I$4))</f>
        <v>1299.4280467536962</v>
      </c>
      <c r="R13" s="53">
        <f>IF(Table12[[#This Row],[year]]&lt;'Data Input'!$I$4,12*'Data Input'!$R$24*(1+'Data Input'!$E$29)^(Table12[[#This Row],[year]]-'Data Input'!$I$3),12*'Data Input'!$R$35*(1+'Data Input'!$E$38)^(Table12[[#This Row],[year]]-'Data Input'!$I$4))</f>
        <v>2598.8560935073924</v>
      </c>
      <c r="S13" s="53">
        <f>IF(Table12[[#This Row],[year]]&lt;'Data Input'!$I$4,12*'Data Input'!$S$24*(1+'Data Input'!$E$29)^(Table12[[#This Row],[year]]-'Data Input'!$I$3),12*'Data Input'!$S$35*(1+'Data Input'!$E$38)^(Table12[[#This Row],[year]]-'Data Input'!$I$4))</f>
        <v>1299.4280467536962</v>
      </c>
      <c r="T13" s="55">
        <f>SUM(Table12[[#This Row],[Utilities]:[Misc. Housing costs]])</f>
        <v>42063.070183909396</v>
      </c>
      <c r="U13" s="54">
        <f>Table12[[#This Row],[Total]]/12</f>
        <v>3505.2558486591165</v>
      </c>
    </row>
    <row r="14" spans="1:21">
      <c r="A14" s="19">
        <f t="shared" si="0"/>
        <v>2027</v>
      </c>
      <c r="B14" s="53">
        <f>IF(Table12[[#This Row],[year]]&lt;'Data Input'!$I$4,12*'Data Input'!$B$24*(1+'Data Input'!$E$29)^(Table12[[#This Row],[year]]-'Data Input'!$I$3),12*'Data Input'!$B$35*(1+'Data Input'!$E$38)^(Table12[[#This Row],[year]]-'Data Input'!$I$4))</f>
        <v>5249.6893088849338</v>
      </c>
      <c r="C14" s="53">
        <f>IF(Table12[[#This Row],[year]]&lt;'Data Input'!$I$4,12*'Data Input'!$C$24*(1+'Data Input'!$E$29)^(Table12[[#This Row],[year]]-'Data Input'!$I$3),12*'Data Input'!$C$35*(1+'Data Input'!$E$38)^(Table12[[#This Row],[year]]-'Data Input'!$I$4))</f>
        <v>3281.0558180530834</v>
      </c>
      <c r="D14" s="53">
        <f>ROUNDDOWN('Student Loans'!B17+'Credit Card Debt'!B17,2)</f>
        <v>0</v>
      </c>
      <c r="E14" s="53">
        <f>MIN('Data Input'!$C$12+'Data Input'!$F$12,'Main Info'!B13*'Data Input'!$C$11+'Main Info'!E13*'Data Input'!$F$11+'Data Input'!$C$10+'Data Input'!$F$10)</f>
        <v>0</v>
      </c>
      <c r="F14" s="53">
        <f>12*'Data Input'!F72+12*100</f>
        <v>1200</v>
      </c>
      <c r="G14" s="53">
        <f>IF(Table12[[#This Row],[year]]&lt;'Data Input'!$I$4,12*'Data Input'!$G$24*(1+'Data Input'!$E$29)^(Table12[[#This Row],[year]]-'Data Input'!$I$3),12*'Data Input'!$G$35*(1+'Data Input'!$E$38)^(Table12[[#This Row],[year]]-'Data Input'!$I$4))</f>
        <v>1312.4223272212334</v>
      </c>
      <c r="H14" s="55">
        <f>IF(Table12[[#This Row],[year]]&lt;'Data Input'!$I$4,12*'Data Input'!$H$24*(1+'Data Input'!$E$29)^(Table12[[#This Row],[year]]-'Data Input'!$I$3),12*'Data Input'!$H$35*(1+'Data Input'!$E$38)^(Table12[[#This Row],[year]]-'Data Input'!$I$4))</f>
        <v>787.45339633274</v>
      </c>
      <c r="I14" s="53">
        <f>IF(Table12[[#This Row],[year]]&lt;'Data Input'!$I$4,12*'Data Input'!$I$24*(1+'Data Input'!$E$29)^(Table12[[#This Row],[year]]-'Data Input'!$I$3),12*'Data Input'!$I$35*(1+'Data Input'!$E$38)^(Table12[[#This Row],[year]]-'Data Input'!$I$4))</f>
        <v>3281.0558180530834</v>
      </c>
      <c r="J14" s="53">
        <f>IF(Table12[[#This Row],[year]]&lt;'Data Input'!$I$4,12*'Data Input'!$J$24*(1+'Data Input'!$E$29)^(Table12[[#This Row],[year]]-'Data Input'!$I$3),12*'Data Input'!$J$35*(1+'Data Input'!$E$38)^(Table12[[#This Row],[year]]-'Data Input'!$I$4))</f>
        <v>6562.1116361061668</v>
      </c>
      <c r="K14" s="53">
        <f>IF(Table12[[#This Row],[year]]&lt;'Data Input'!$I$4,12*'Data Input'!$K$24*(1+'Data Input'!$E$29)^(Table12[[#This Row],[year]]-'Data Input'!$I$3),12*'Data Input'!$K$35*(1+'Data Input'!$E$38)^(Table12[[#This Row],[year]]-'Data Input'!$I$4))</f>
        <v>1312.4223272212334</v>
      </c>
      <c r="L14" s="53">
        <f>IF(Table12[[#This Row],[year]]&lt;'Data Input'!$I$4,12*'Data Input'!$L$24*(1+'Data Input'!$E$29)^(Table12[[#This Row],[year]]-'Data Input'!$I$3),12*'Data Input'!$L$35*(1+'Data Input'!$E$38)^(Table12[[#This Row],[year]]-'Data Input'!$I$4))</f>
        <v>1312.4223272212334</v>
      </c>
      <c r="M14" s="53">
        <f>IF(Table12[[#This Row],[year]]&lt;'Data Input'!$I$4,12*'Data Input'!$M$24*(1+'Data Input'!$E$29)^(Table12[[#This Row],[year]]-'Data Input'!$I$3),12*'Data Input'!$M$35*(1+'Data Input'!$E$38)^(Table12[[#This Row],[year]]-'Data Input'!$I$4))</f>
        <v>2624.8446544424669</v>
      </c>
      <c r="N14" s="55">
        <f>IF(Table12[[#This Row],[year]]&lt;'Data Input'!$I$4,12*'Data Input'!$N$24,12*'Data Input'!$N$35)</f>
        <v>2400</v>
      </c>
      <c r="O14" s="53">
        <f>IF(Table12[[#This Row],[year]]&lt;'Data Input'!$I$4,12*'Data Input'!$O$24*(1+'Data Input'!$E$29)^(Table12[[#This Row],[year]]-'Data Input'!$I$3),12*'Data Input'!$O$35*(1+'Data Input'!$E$38)^(Table12[[#This Row],[year]]-'Data Input'!$I$4))</f>
        <v>1312.4223272212334</v>
      </c>
      <c r="P14" s="53">
        <f>IF(Table12[[#This Row],[year]]&lt;'Data Input'!$I$4,12*'Data Input'!$P$24*(1+'Data Input'!$E$29)^(Table12[[#This Row],[year]]-'Data Input'!$I$3),12*'Data Input'!$P$35*(1+'Data Input'!$E$38)^(Table12[[#This Row],[year]]-'Data Input'!$I$4))</f>
        <v>6562.1116361061668</v>
      </c>
      <c r="Q14" s="53">
        <f>IF(Table12[[#This Row],[year]]&lt;'Data Input'!$I$4,12*'Data Input'!$Q$24*(1+'Data Input'!$E$29)^(Table12[[#This Row],[year]]-'Data Input'!$I$3),12*'Data Input'!$Q$35*(1+'Data Input'!$E$38)^(Table12[[#This Row],[year]]-'Data Input'!$I$4))</f>
        <v>1312.4223272212334</v>
      </c>
      <c r="R14" s="53">
        <f>IF(Table12[[#This Row],[year]]&lt;'Data Input'!$I$4,12*'Data Input'!$R$24*(1+'Data Input'!$E$29)^(Table12[[#This Row],[year]]-'Data Input'!$I$3),12*'Data Input'!$R$35*(1+'Data Input'!$E$38)^(Table12[[#This Row],[year]]-'Data Input'!$I$4))</f>
        <v>2624.8446544424669</v>
      </c>
      <c r="S14" s="53">
        <f>IF(Table12[[#This Row],[year]]&lt;'Data Input'!$I$4,12*'Data Input'!$S$24*(1+'Data Input'!$E$29)^(Table12[[#This Row],[year]]-'Data Input'!$I$3),12*'Data Input'!$S$35*(1+'Data Input'!$E$38)^(Table12[[#This Row],[year]]-'Data Input'!$I$4))</f>
        <v>1312.4223272212334</v>
      </c>
      <c r="T14" s="55">
        <f>SUM(Table12[[#This Row],[Utilities]:[Misc. Housing costs]])</f>
        <v>42447.700885748505</v>
      </c>
      <c r="U14" s="54">
        <f>Table12[[#This Row],[Total]]/12</f>
        <v>3537.3084071457088</v>
      </c>
    </row>
    <row r="15" spans="1:21">
      <c r="A15" s="19">
        <f t="shared" si="0"/>
        <v>2028</v>
      </c>
      <c r="B15" s="53">
        <f>IF(Table12[[#This Row],[year]]&lt;'Data Input'!$I$4,12*'Data Input'!$B$24*(1+'Data Input'!$E$29)^(Table12[[#This Row],[year]]-'Data Input'!$I$3),12*'Data Input'!$B$35*(1+'Data Input'!$E$38)^(Table12[[#This Row],[year]]-'Data Input'!$I$4))</f>
        <v>5302.1862019737828</v>
      </c>
      <c r="C15" s="53">
        <f>IF(Table12[[#This Row],[year]]&lt;'Data Input'!$I$4,12*'Data Input'!$C$24*(1+'Data Input'!$E$29)^(Table12[[#This Row],[year]]-'Data Input'!$I$3),12*'Data Input'!$C$35*(1+'Data Input'!$E$38)^(Table12[[#This Row],[year]]-'Data Input'!$I$4))</f>
        <v>3313.8663762336141</v>
      </c>
      <c r="D15" s="53">
        <f>ROUNDDOWN('Student Loans'!B18+'Credit Card Debt'!B18,2)</f>
        <v>0</v>
      </c>
      <c r="E15" s="53">
        <f>MIN('Data Input'!$C$12+'Data Input'!$F$12,'Main Info'!B14*'Data Input'!$C$11+'Main Info'!E14*'Data Input'!$F$11+'Data Input'!$C$10+'Data Input'!$F$10)</f>
        <v>0</v>
      </c>
      <c r="F15" s="53">
        <f>12*'Data Input'!F73+12*100</f>
        <v>1200</v>
      </c>
      <c r="G15" s="53">
        <f>IF(Table12[[#This Row],[year]]&lt;'Data Input'!$I$4,12*'Data Input'!$G$24*(1+'Data Input'!$E$29)^(Table12[[#This Row],[year]]-'Data Input'!$I$3),12*'Data Input'!$G$35*(1+'Data Input'!$E$38)^(Table12[[#This Row],[year]]-'Data Input'!$I$4))</f>
        <v>1325.5465504934457</v>
      </c>
      <c r="H15" s="55">
        <f>IF(Table12[[#This Row],[year]]&lt;'Data Input'!$I$4,12*'Data Input'!$H$24*(1+'Data Input'!$E$29)^(Table12[[#This Row],[year]]-'Data Input'!$I$3),12*'Data Input'!$H$35*(1+'Data Input'!$E$38)^(Table12[[#This Row],[year]]-'Data Input'!$I$4))</f>
        <v>795.32793029606739</v>
      </c>
      <c r="I15" s="53">
        <f>IF(Table12[[#This Row],[year]]&lt;'Data Input'!$I$4,12*'Data Input'!$I$24*(1+'Data Input'!$E$29)^(Table12[[#This Row],[year]]-'Data Input'!$I$3),12*'Data Input'!$I$35*(1+'Data Input'!$E$38)^(Table12[[#This Row],[year]]-'Data Input'!$I$4))</f>
        <v>3313.8663762336141</v>
      </c>
      <c r="J15" s="53">
        <f>IF(Table12[[#This Row],[year]]&lt;'Data Input'!$I$4,12*'Data Input'!$J$24*(1+'Data Input'!$E$29)^(Table12[[#This Row],[year]]-'Data Input'!$I$3),12*'Data Input'!$J$35*(1+'Data Input'!$E$38)^(Table12[[#This Row],[year]]-'Data Input'!$I$4))</f>
        <v>6627.7327524672282</v>
      </c>
      <c r="K15" s="53">
        <f>IF(Table12[[#This Row],[year]]&lt;'Data Input'!$I$4,12*'Data Input'!$K$24*(1+'Data Input'!$E$29)^(Table12[[#This Row],[year]]-'Data Input'!$I$3),12*'Data Input'!$K$35*(1+'Data Input'!$E$38)^(Table12[[#This Row],[year]]-'Data Input'!$I$4))</f>
        <v>1325.5465504934457</v>
      </c>
      <c r="L15" s="53">
        <f>IF(Table12[[#This Row],[year]]&lt;'Data Input'!$I$4,12*'Data Input'!$L$24*(1+'Data Input'!$E$29)^(Table12[[#This Row],[year]]-'Data Input'!$I$3),12*'Data Input'!$L$35*(1+'Data Input'!$E$38)^(Table12[[#This Row],[year]]-'Data Input'!$I$4))</f>
        <v>1325.5465504934457</v>
      </c>
      <c r="M15" s="53">
        <f>IF(Table12[[#This Row],[year]]&lt;'Data Input'!$I$4,12*'Data Input'!$M$24*(1+'Data Input'!$E$29)^(Table12[[#This Row],[year]]-'Data Input'!$I$3),12*'Data Input'!$M$35*(1+'Data Input'!$E$38)^(Table12[[#This Row],[year]]-'Data Input'!$I$4))</f>
        <v>2651.0931009868914</v>
      </c>
      <c r="N15" s="55">
        <f>IF(Table12[[#This Row],[year]]&lt;'Data Input'!$I$4,12*'Data Input'!$N$24,12*'Data Input'!$N$35)</f>
        <v>2400</v>
      </c>
      <c r="O15" s="53">
        <f>IF(Table12[[#This Row],[year]]&lt;'Data Input'!$I$4,12*'Data Input'!$O$24*(1+'Data Input'!$E$29)^(Table12[[#This Row],[year]]-'Data Input'!$I$3),12*'Data Input'!$O$35*(1+'Data Input'!$E$38)^(Table12[[#This Row],[year]]-'Data Input'!$I$4))</f>
        <v>1325.5465504934457</v>
      </c>
      <c r="P15" s="53">
        <f>IF(Table12[[#This Row],[year]]&lt;'Data Input'!$I$4,12*'Data Input'!$P$24*(1+'Data Input'!$E$29)^(Table12[[#This Row],[year]]-'Data Input'!$I$3),12*'Data Input'!$P$35*(1+'Data Input'!$E$38)^(Table12[[#This Row],[year]]-'Data Input'!$I$4))</f>
        <v>6627.7327524672282</v>
      </c>
      <c r="Q15" s="53">
        <f>IF(Table12[[#This Row],[year]]&lt;'Data Input'!$I$4,12*'Data Input'!$Q$24*(1+'Data Input'!$E$29)^(Table12[[#This Row],[year]]-'Data Input'!$I$3),12*'Data Input'!$Q$35*(1+'Data Input'!$E$38)^(Table12[[#This Row],[year]]-'Data Input'!$I$4))</f>
        <v>1325.5465504934457</v>
      </c>
      <c r="R15" s="53">
        <f>IF(Table12[[#This Row],[year]]&lt;'Data Input'!$I$4,12*'Data Input'!$R$24*(1+'Data Input'!$E$29)^(Table12[[#This Row],[year]]-'Data Input'!$I$3),12*'Data Input'!$R$35*(1+'Data Input'!$E$38)^(Table12[[#This Row],[year]]-'Data Input'!$I$4))</f>
        <v>2651.0931009868914</v>
      </c>
      <c r="S15" s="53">
        <f>IF(Table12[[#This Row],[year]]&lt;'Data Input'!$I$4,12*'Data Input'!$S$24*(1+'Data Input'!$E$29)^(Table12[[#This Row],[year]]-'Data Input'!$I$3),12*'Data Input'!$S$35*(1+'Data Input'!$E$38)^(Table12[[#This Row],[year]]-'Data Input'!$I$4))</f>
        <v>1325.5465504934457</v>
      </c>
      <c r="T15" s="55">
        <f>SUM(Table12[[#This Row],[Utilities]:[Misc. Housing costs]])</f>
        <v>42836.177894606</v>
      </c>
      <c r="U15" s="54">
        <f>Table12[[#This Row],[Total]]/12</f>
        <v>3569.6814912171667</v>
      </c>
    </row>
    <row r="16" spans="1:21">
      <c r="A16" s="19">
        <f t="shared" si="0"/>
        <v>2029</v>
      </c>
      <c r="B16" s="53">
        <f>IF(Table12[[#This Row],[year]]&lt;'Data Input'!$I$4,12*'Data Input'!$B$24*(1+'Data Input'!$E$29)^(Table12[[#This Row],[year]]-'Data Input'!$I$3),12*'Data Input'!$B$35*(1+'Data Input'!$E$38)^(Table12[[#This Row],[year]]-'Data Input'!$I$4))</f>
        <v>5355.2080639935193</v>
      </c>
      <c r="C16" s="53">
        <f>IF(Table12[[#This Row],[year]]&lt;'Data Input'!$I$4,12*'Data Input'!$C$24*(1+'Data Input'!$E$29)^(Table12[[#This Row],[year]]-'Data Input'!$I$3),12*'Data Input'!$C$35*(1+'Data Input'!$E$38)^(Table12[[#This Row],[year]]-'Data Input'!$I$4))</f>
        <v>3347.0050399959496</v>
      </c>
      <c r="D16" s="53">
        <f>ROUNDDOWN('Student Loans'!B19+'Credit Card Debt'!B19,2)</f>
        <v>0</v>
      </c>
      <c r="E16" s="53">
        <f>MIN('Data Input'!$C$12+'Data Input'!$F$12,'Main Info'!B15*'Data Input'!$C$11+'Main Info'!E15*'Data Input'!$F$11+'Data Input'!$C$10+'Data Input'!$F$10)</f>
        <v>0</v>
      </c>
      <c r="F16" s="53">
        <f>12*'Data Input'!F74+12*100</f>
        <v>1200</v>
      </c>
      <c r="G16" s="53">
        <f>IF(Table12[[#This Row],[year]]&lt;'Data Input'!$I$4,12*'Data Input'!$G$24*(1+'Data Input'!$E$29)^(Table12[[#This Row],[year]]-'Data Input'!$I$3),12*'Data Input'!$G$35*(1+'Data Input'!$E$38)^(Table12[[#This Row],[year]]-'Data Input'!$I$4))</f>
        <v>1338.8020159983798</v>
      </c>
      <c r="H16" s="55">
        <f>IF(Table12[[#This Row],[year]]&lt;'Data Input'!$I$4,12*'Data Input'!$H$24*(1+'Data Input'!$E$29)^(Table12[[#This Row],[year]]-'Data Input'!$I$3),12*'Data Input'!$H$35*(1+'Data Input'!$E$38)^(Table12[[#This Row],[year]]-'Data Input'!$I$4))</f>
        <v>803.28120959902787</v>
      </c>
      <c r="I16" s="53">
        <f>IF(Table12[[#This Row],[year]]&lt;'Data Input'!$I$4,12*'Data Input'!$I$24*(1+'Data Input'!$E$29)^(Table12[[#This Row],[year]]-'Data Input'!$I$3),12*'Data Input'!$I$35*(1+'Data Input'!$E$38)^(Table12[[#This Row],[year]]-'Data Input'!$I$4))</f>
        <v>3347.0050399959496</v>
      </c>
      <c r="J16" s="53">
        <f>IF(Table12[[#This Row],[year]]&lt;'Data Input'!$I$4,12*'Data Input'!$J$24*(1+'Data Input'!$E$29)^(Table12[[#This Row],[year]]-'Data Input'!$I$3),12*'Data Input'!$J$35*(1+'Data Input'!$E$38)^(Table12[[#This Row],[year]]-'Data Input'!$I$4))</f>
        <v>6694.0100799918991</v>
      </c>
      <c r="K16" s="53">
        <f>IF(Table12[[#This Row],[year]]&lt;'Data Input'!$I$4,12*'Data Input'!$K$24*(1+'Data Input'!$E$29)^(Table12[[#This Row],[year]]-'Data Input'!$I$3),12*'Data Input'!$K$35*(1+'Data Input'!$E$38)^(Table12[[#This Row],[year]]-'Data Input'!$I$4))</f>
        <v>1338.8020159983798</v>
      </c>
      <c r="L16" s="53">
        <f>IF(Table12[[#This Row],[year]]&lt;'Data Input'!$I$4,12*'Data Input'!$L$24*(1+'Data Input'!$E$29)^(Table12[[#This Row],[year]]-'Data Input'!$I$3),12*'Data Input'!$L$35*(1+'Data Input'!$E$38)^(Table12[[#This Row],[year]]-'Data Input'!$I$4))</f>
        <v>1338.8020159983798</v>
      </c>
      <c r="M16" s="53">
        <f>IF(Table12[[#This Row],[year]]&lt;'Data Input'!$I$4,12*'Data Input'!$M$24*(1+'Data Input'!$E$29)^(Table12[[#This Row],[year]]-'Data Input'!$I$3),12*'Data Input'!$M$35*(1+'Data Input'!$E$38)^(Table12[[#This Row],[year]]-'Data Input'!$I$4))</f>
        <v>2677.6040319967597</v>
      </c>
      <c r="N16" s="55">
        <f>IF(Table12[[#This Row],[year]]&lt;'Data Input'!$I$4,12*'Data Input'!$N$24,12*'Data Input'!$N$35)</f>
        <v>2400</v>
      </c>
      <c r="O16" s="53">
        <f>IF(Table12[[#This Row],[year]]&lt;'Data Input'!$I$4,12*'Data Input'!$O$24*(1+'Data Input'!$E$29)^(Table12[[#This Row],[year]]-'Data Input'!$I$3),12*'Data Input'!$O$35*(1+'Data Input'!$E$38)^(Table12[[#This Row],[year]]-'Data Input'!$I$4))</f>
        <v>1338.8020159983798</v>
      </c>
      <c r="P16" s="53">
        <f>IF(Table12[[#This Row],[year]]&lt;'Data Input'!$I$4,12*'Data Input'!$P$24*(1+'Data Input'!$E$29)^(Table12[[#This Row],[year]]-'Data Input'!$I$3),12*'Data Input'!$P$35*(1+'Data Input'!$E$38)^(Table12[[#This Row],[year]]-'Data Input'!$I$4))</f>
        <v>6694.0100799918991</v>
      </c>
      <c r="Q16" s="53">
        <f>IF(Table12[[#This Row],[year]]&lt;'Data Input'!$I$4,12*'Data Input'!$Q$24*(1+'Data Input'!$E$29)^(Table12[[#This Row],[year]]-'Data Input'!$I$3),12*'Data Input'!$Q$35*(1+'Data Input'!$E$38)^(Table12[[#This Row],[year]]-'Data Input'!$I$4))</f>
        <v>1338.8020159983798</v>
      </c>
      <c r="R16" s="53">
        <f>IF(Table12[[#This Row],[year]]&lt;'Data Input'!$I$4,12*'Data Input'!$R$24*(1+'Data Input'!$E$29)^(Table12[[#This Row],[year]]-'Data Input'!$I$3),12*'Data Input'!$R$35*(1+'Data Input'!$E$38)^(Table12[[#This Row],[year]]-'Data Input'!$I$4))</f>
        <v>2677.6040319967597</v>
      </c>
      <c r="S16" s="53">
        <f>IF(Table12[[#This Row],[year]]&lt;'Data Input'!$I$4,12*'Data Input'!$S$24*(1+'Data Input'!$E$29)^(Table12[[#This Row],[year]]-'Data Input'!$I$3),12*'Data Input'!$S$35*(1+'Data Input'!$E$38)^(Table12[[#This Row],[year]]-'Data Input'!$I$4))</f>
        <v>1338.8020159983798</v>
      </c>
      <c r="T16" s="55">
        <f>SUM(Table12[[#This Row],[Utilities]:[Misc. Housing costs]])</f>
        <v>43228.539673552041</v>
      </c>
      <c r="U16" s="54">
        <f>Table12[[#This Row],[Total]]/12</f>
        <v>3602.3783061293366</v>
      </c>
    </row>
    <row r="17" spans="1:21">
      <c r="A17" s="19">
        <f t="shared" si="0"/>
        <v>2030</v>
      </c>
      <c r="B17" s="53">
        <f>IF(Table12[[#This Row],[year]]&lt;'Data Input'!$I$4,12*'Data Input'!$B$24*(1+'Data Input'!$E$29)^(Table12[[#This Row],[year]]-'Data Input'!$I$3),12*'Data Input'!$B$35*(1+'Data Input'!$E$38)^(Table12[[#This Row],[year]]-'Data Input'!$I$4))</f>
        <v>5408.7601446334547</v>
      </c>
      <c r="C17" s="53">
        <f>IF(Table12[[#This Row],[year]]&lt;'Data Input'!$I$4,12*'Data Input'!$C$24*(1+'Data Input'!$E$29)^(Table12[[#This Row],[year]]-'Data Input'!$I$3),12*'Data Input'!$C$35*(1+'Data Input'!$E$38)^(Table12[[#This Row],[year]]-'Data Input'!$I$4))</f>
        <v>3380.4750903959093</v>
      </c>
      <c r="D17" s="53">
        <f>ROUNDDOWN('Student Loans'!B20+'Credit Card Debt'!B20,2)</f>
        <v>0</v>
      </c>
      <c r="E17" s="53">
        <f>MIN('Data Input'!$C$12+'Data Input'!$F$12,'Main Info'!B16*'Data Input'!$C$11+'Main Info'!E16*'Data Input'!$F$11+'Data Input'!$C$10+'Data Input'!$F$10)</f>
        <v>0</v>
      </c>
      <c r="F17" s="53">
        <f>12*'Data Input'!F75+12*100</f>
        <v>1200</v>
      </c>
      <c r="G17" s="53">
        <f>IF(Table12[[#This Row],[year]]&lt;'Data Input'!$I$4,12*'Data Input'!$G$24*(1+'Data Input'!$E$29)^(Table12[[#This Row],[year]]-'Data Input'!$I$3),12*'Data Input'!$G$35*(1+'Data Input'!$E$38)^(Table12[[#This Row],[year]]-'Data Input'!$I$4))</f>
        <v>1352.1900361583637</v>
      </c>
      <c r="H17" s="55">
        <f>IF(Table12[[#This Row],[year]]&lt;'Data Input'!$I$4,12*'Data Input'!$H$24*(1+'Data Input'!$E$29)^(Table12[[#This Row],[year]]-'Data Input'!$I$3),12*'Data Input'!$H$35*(1+'Data Input'!$E$38)^(Table12[[#This Row],[year]]-'Data Input'!$I$4))</f>
        <v>811.31402169501825</v>
      </c>
      <c r="I17" s="53">
        <f>IF(Table12[[#This Row],[year]]&lt;'Data Input'!$I$4,12*'Data Input'!$I$24*(1+'Data Input'!$E$29)^(Table12[[#This Row],[year]]-'Data Input'!$I$3),12*'Data Input'!$I$35*(1+'Data Input'!$E$38)^(Table12[[#This Row],[year]]-'Data Input'!$I$4))</f>
        <v>3380.4750903959093</v>
      </c>
      <c r="J17" s="53">
        <f>IF(Table12[[#This Row],[year]]&lt;'Data Input'!$I$4,12*'Data Input'!$J$24*(1+'Data Input'!$E$29)^(Table12[[#This Row],[year]]-'Data Input'!$I$3),12*'Data Input'!$J$35*(1+'Data Input'!$E$38)^(Table12[[#This Row],[year]]-'Data Input'!$I$4))</f>
        <v>6760.9501807918186</v>
      </c>
      <c r="K17" s="53">
        <f>IF(Table12[[#This Row],[year]]&lt;'Data Input'!$I$4,12*'Data Input'!$K$24*(1+'Data Input'!$E$29)^(Table12[[#This Row],[year]]-'Data Input'!$I$3),12*'Data Input'!$K$35*(1+'Data Input'!$E$38)^(Table12[[#This Row],[year]]-'Data Input'!$I$4))</f>
        <v>1352.1900361583637</v>
      </c>
      <c r="L17" s="53">
        <f>IF(Table12[[#This Row],[year]]&lt;'Data Input'!$I$4,12*'Data Input'!$L$24*(1+'Data Input'!$E$29)^(Table12[[#This Row],[year]]-'Data Input'!$I$3),12*'Data Input'!$L$35*(1+'Data Input'!$E$38)^(Table12[[#This Row],[year]]-'Data Input'!$I$4))</f>
        <v>1352.1900361583637</v>
      </c>
      <c r="M17" s="53">
        <f>IF(Table12[[#This Row],[year]]&lt;'Data Input'!$I$4,12*'Data Input'!$M$24*(1+'Data Input'!$E$29)^(Table12[[#This Row],[year]]-'Data Input'!$I$3),12*'Data Input'!$M$35*(1+'Data Input'!$E$38)^(Table12[[#This Row],[year]]-'Data Input'!$I$4))</f>
        <v>2704.3800723167274</v>
      </c>
      <c r="N17" s="55">
        <f>IF(Table12[[#This Row],[year]]&lt;'Data Input'!$I$4,12*'Data Input'!$N$24,12*'Data Input'!$N$35)</f>
        <v>2400</v>
      </c>
      <c r="O17" s="53">
        <f>IF(Table12[[#This Row],[year]]&lt;'Data Input'!$I$4,12*'Data Input'!$O$24*(1+'Data Input'!$E$29)^(Table12[[#This Row],[year]]-'Data Input'!$I$3),12*'Data Input'!$O$35*(1+'Data Input'!$E$38)^(Table12[[#This Row],[year]]-'Data Input'!$I$4))</f>
        <v>1352.1900361583637</v>
      </c>
      <c r="P17" s="53">
        <f>IF(Table12[[#This Row],[year]]&lt;'Data Input'!$I$4,12*'Data Input'!$P$24*(1+'Data Input'!$E$29)^(Table12[[#This Row],[year]]-'Data Input'!$I$3),12*'Data Input'!$P$35*(1+'Data Input'!$E$38)^(Table12[[#This Row],[year]]-'Data Input'!$I$4))</f>
        <v>6760.9501807918186</v>
      </c>
      <c r="Q17" s="53">
        <f>IF(Table12[[#This Row],[year]]&lt;'Data Input'!$I$4,12*'Data Input'!$Q$24*(1+'Data Input'!$E$29)^(Table12[[#This Row],[year]]-'Data Input'!$I$3),12*'Data Input'!$Q$35*(1+'Data Input'!$E$38)^(Table12[[#This Row],[year]]-'Data Input'!$I$4))</f>
        <v>1352.1900361583637</v>
      </c>
      <c r="R17" s="53">
        <f>IF(Table12[[#This Row],[year]]&lt;'Data Input'!$I$4,12*'Data Input'!$R$24*(1+'Data Input'!$E$29)^(Table12[[#This Row],[year]]-'Data Input'!$I$3),12*'Data Input'!$R$35*(1+'Data Input'!$E$38)^(Table12[[#This Row],[year]]-'Data Input'!$I$4))</f>
        <v>2704.3800723167274</v>
      </c>
      <c r="S17" s="53">
        <f>IF(Table12[[#This Row],[year]]&lt;'Data Input'!$I$4,12*'Data Input'!$S$24*(1+'Data Input'!$E$29)^(Table12[[#This Row],[year]]-'Data Input'!$I$3),12*'Data Input'!$S$35*(1+'Data Input'!$E$38)^(Table12[[#This Row],[year]]-'Data Input'!$I$4))</f>
        <v>1352.1900361583637</v>
      </c>
      <c r="T17" s="55">
        <f>SUM(Table12[[#This Row],[Utilities]:[Misc. Housing costs]])</f>
        <v>43624.825070287567</v>
      </c>
      <c r="U17" s="54">
        <f>Table12[[#This Row],[Total]]/12</f>
        <v>3635.4020891906307</v>
      </c>
    </row>
    <row r="18" spans="1:21">
      <c r="A18" s="19">
        <f t="shared" si="0"/>
        <v>2031</v>
      </c>
      <c r="B18" s="53">
        <f>IF(Table12[[#This Row],[year]]&lt;'Data Input'!$I$4,12*'Data Input'!$B$24*(1+'Data Input'!$E$29)^(Table12[[#This Row],[year]]-'Data Input'!$I$3),12*'Data Input'!$B$35*(1+'Data Input'!$E$38)^(Table12[[#This Row],[year]]-'Data Input'!$I$4))</f>
        <v>5462.8477460797894</v>
      </c>
      <c r="C18" s="53">
        <f>IF(Table12[[#This Row],[year]]&lt;'Data Input'!$I$4,12*'Data Input'!$C$24*(1+'Data Input'!$E$29)^(Table12[[#This Row],[year]]-'Data Input'!$I$3),12*'Data Input'!$C$35*(1+'Data Input'!$E$38)^(Table12[[#This Row],[year]]-'Data Input'!$I$4))</f>
        <v>3414.2798412998686</v>
      </c>
      <c r="D18" s="53">
        <f>ROUNDDOWN('Student Loans'!B21+'Credit Card Debt'!B21,2)</f>
        <v>0</v>
      </c>
      <c r="E18" s="53">
        <f>MIN('Data Input'!$C$12+'Data Input'!$F$12,'Main Info'!B17*'Data Input'!$C$11+'Main Info'!E17*'Data Input'!$F$11+'Data Input'!$C$10+'Data Input'!$F$10)</f>
        <v>0</v>
      </c>
      <c r="F18" s="53">
        <f>12*'Data Input'!F76+12*100</f>
        <v>1200</v>
      </c>
      <c r="G18" s="53">
        <f>IF(Table12[[#This Row],[year]]&lt;'Data Input'!$I$4,12*'Data Input'!$G$24*(1+'Data Input'!$E$29)^(Table12[[#This Row],[year]]-'Data Input'!$I$3),12*'Data Input'!$G$35*(1+'Data Input'!$E$38)^(Table12[[#This Row],[year]]-'Data Input'!$I$4))</f>
        <v>1365.7119365199474</v>
      </c>
      <c r="H18" s="55">
        <f>IF(Table12[[#This Row],[year]]&lt;'Data Input'!$I$4,12*'Data Input'!$H$24*(1+'Data Input'!$E$29)^(Table12[[#This Row],[year]]-'Data Input'!$I$3),12*'Data Input'!$H$35*(1+'Data Input'!$E$38)^(Table12[[#This Row],[year]]-'Data Input'!$I$4))</f>
        <v>819.42716191196848</v>
      </c>
      <c r="I18" s="53">
        <f>IF(Table12[[#This Row],[year]]&lt;'Data Input'!$I$4,12*'Data Input'!$I$24*(1+'Data Input'!$E$29)^(Table12[[#This Row],[year]]-'Data Input'!$I$3),12*'Data Input'!$I$35*(1+'Data Input'!$E$38)^(Table12[[#This Row],[year]]-'Data Input'!$I$4))</f>
        <v>3414.2798412998686</v>
      </c>
      <c r="J18" s="53">
        <f>IF(Table12[[#This Row],[year]]&lt;'Data Input'!$I$4,12*'Data Input'!$J$24*(1+'Data Input'!$E$29)^(Table12[[#This Row],[year]]-'Data Input'!$I$3),12*'Data Input'!$J$35*(1+'Data Input'!$E$38)^(Table12[[#This Row],[year]]-'Data Input'!$I$4))</f>
        <v>6828.5596825997372</v>
      </c>
      <c r="K18" s="53">
        <f>IF(Table12[[#This Row],[year]]&lt;'Data Input'!$I$4,12*'Data Input'!$K$24*(1+'Data Input'!$E$29)^(Table12[[#This Row],[year]]-'Data Input'!$I$3),12*'Data Input'!$K$35*(1+'Data Input'!$E$38)^(Table12[[#This Row],[year]]-'Data Input'!$I$4))</f>
        <v>1365.7119365199474</v>
      </c>
      <c r="L18" s="53">
        <f>IF(Table12[[#This Row],[year]]&lt;'Data Input'!$I$4,12*'Data Input'!$L$24*(1+'Data Input'!$E$29)^(Table12[[#This Row],[year]]-'Data Input'!$I$3),12*'Data Input'!$L$35*(1+'Data Input'!$E$38)^(Table12[[#This Row],[year]]-'Data Input'!$I$4))</f>
        <v>1365.7119365199474</v>
      </c>
      <c r="M18" s="53">
        <f>IF(Table12[[#This Row],[year]]&lt;'Data Input'!$I$4,12*'Data Input'!$M$24*(1+'Data Input'!$E$29)^(Table12[[#This Row],[year]]-'Data Input'!$I$3),12*'Data Input'!$M$35*(1+'Data Input'!$E$38)^(Table12[[#This Row],[year]]-'Data Input'!$I$4))</f>
        <v>2731.4238730398947</v>
      </c>
      <c r="N18" s="55">
        <f>IF(Table12[[#This Row],[year]]&lt;'Data Input'!$I$4,12*'Data Input'!$N$24,12*'Data Input'!$N$35)</f>
        <v>2400</v>
      </c>
      <c r="O18" s="53">
        <f>IF(Table12[[#This Row],[year]]&lt;'Data Input'!$I$4,12*'Data Input'!$O$24*(1+'Data Input'!$E$29)^(Table12[[#This Row],[year]]-'Data Input'!$I$3),12*'Data Input'!$O$35*(1+'Data Input'!$E$38)^(Table12[[#This Row],[year]]-'Data Input'!$I$4))</f>
        <v>1365.7119365199474</v>
      </c>
      <c r="P18" s="53">
        <f>IF(Table12[[#This Row],[year]]&lt;'Data Input'!$I$4,12*'Data Input'!$P$24*(1+'Data Input'!$E$29)^(Table12[[#This Row],[year]]-'Data Input'!$I$3),12*'Data Input'!$P$35*(1+'Data Input'!$E$38)^(Table12[[#This Row],[year]]-'Data Input'!$I$4))</f>
        <v>6828.5596825997372</v>
      </c>
      <c r="Q18" s="53">
        <f>IF(Table12[[#This Row],[year]]&lt;'Data Input'!$I$4,12*'Data Input'!$Q$24*(1+'Data Input'!$E$29)^(Table12[[#This Row],[year]]-'Data Input'!$I$3),12*'Data Input'!$Q$35*(1+'Data Input'!$E$38)^(Table12[[#This Row],[year]]-'Data Input'!$I$4))</f>
        <v>1365.7119365199474</v>
      </c>
      <c r="R18" s="53">
        <f>IF(Table12[[#This Row],[year]]&lt;'Data Input'!$I$4,12*'Data Input'!$R$24*(1+'Data Input'!$E$29)^(Table12[[#This Row],[year]]-'Data Input'!$I$3),12*'Data Input'!$R$35*(1+'Data Input'!$E$38)^(Table12[[#This Row],[year]]-'Data Input'!$I$4))</f>
        <v>2731.4238730398947</v>
      </c>
      <c r="S18" s="53">
        <f>IF(Table12[[#This Row],[year]]&lt;'Data Input'!$I$4,12*'Data Input'!$S$24*(1+'Data Input'!$E$29)^(Table12[[#This Row],[year]]-'Data Input'!$I$3),12*'Data Input'!$S$35*(1+'Data Input'!$E$38)^(Table12[[#This Row],[year]]-'Data Input'!$I$4))</f>
        <v>1365.7119365199474</v>
      </c>
      <c r="T18" s="55">
        <f>SUM(Table12[[#This Row],[Utilities]:[Misc. Housing costs]])</f>
        <v>44025.073320990436</v>
      </c>
      <c r="U18" s="54">
        <f>Table12[[#This Row],[Total]]/12</f>
        <v>3668.7561100825365</v>
      </c>
    </row>
    <row r="19" spans="1:21">
      <c r="A19" s="19">
        <f t="shared" si="0"/>
        <v>2032</v>
      </c>
      <c r="B19" s="53">
        <f>IF(Table12[[#This Row],[year]]&lt;'Data Input'!$I$4,12*'Data Input'!$B$24*(1+'Data Input'!$E$29)^(Table12[[#This Row],[year]]-'Data Input'!$I$3),12*'Data Input'!$B$35*(1+'Data Input'!$E$38)^(Table12[[#This Row],[year]]-'Data Input'!$I$4))</f>
        <v>5517.4762235405879</v>
      </c>
      <c r="C19" s="53">
        <f>IF(Table12[[#This Row],[year]]&lt;'Data Input'!$I$4,12*'Data Input'!$C$24*(1+'Data Input'!$E$29)^(Table12[[#This Row],[year]]-'Data Input'!$I$3),12*'Data Input'!$C$35*(1+'Data Input'!$E$38)^(Table12[[#This Row],[year]]-'Data Input'!$I$4))</f>
        <v>3448.4226397128677</v>
      </c>
      <c r="D19" s="53">
        <f>ROUNDDOWN('Student Loans'!B22+'Credit Card Debt'!B22,2)</f>
        <v>0</v>
      </c>
      <c r="E19" s="53">
        <f>MIN('Data Input'!$C$12+'Data Input'!$F$12,'Main Info'!B18*'Data Input'!$C$11+'Main Info'!E18*'Data Input'!$F$11+'Data Input'!$C$10+'Data Input'!$F$10)</f>
        <v>0</v>
      </c>
      <c r="F19" s="53">
        <f>12*'Data Input'!F77+12*100</f>
        <v>1200</v>
      </c>
      <c r="G19" s="53">
        <f>IF(Table12[[#This Row],[year]]&lt;'Data Input'!$I$4,12*'Data Input'!$G$24*(1+'Data Input'!$E$29)^(Table12[[#This Row],[year]]-'Data Input'!$I$3),12*'Data Input'!$G$35*(1+'Data Input'!$E$38)^(Table12[[#This Row],[year]]-'Data Input'!$I$4))</f>
        <v>1379.369055885147</v>
      </c>
      <c r="H19" s="55">
        <f>IF(Table12[[#This Row],[year]]&lt;'Data Input'!$I$4,12*'Data Input'!$H$24*(1+'Data Input'!$E$29)^(Table12[[#This Row],[year]]-'Data Input'!$I$3),12*'Data Input'!$H$35*(1+'Data Input'!$E$38)^(Table12[[#This Row],[year]]-'Data Input'!$I$4))</f>
        <v>827.6214335310882</v>
      </c>
      <c r="I19" s="53">
        <f>IF(Table12[[#This Row],[year]]&lt;'Data Input'!$I$4,12*'Data Input'!$I$24*(1+'Data Input'!$E$29)^(Table12[[#This Row],[year]]-'Data Input'!$I$3),12*'Data Input'!$I$35*(1+'Data Input'!$E$38)^(Table12[[#This Row],[year]]-'Data Input'!$I$4))</f>
        <v>3448.4226397128677</v>
      </c>
      <c r="J19" s="53">
        <f>IF(Table12[[#This Row],[year]]&lt;'Data Input'!$I$4,12*'Data Input'!$J$24*(1+'Data Input'!$E$29)^(Table12[[#This Row],[year]]-'Data Input'!$I$3),12*'Data Input'!$J$35*(1+'Data Input'!$E$38)^(Table12[[#This Row],[year]]-'Data Input'!$I$4))</f>
        <v>6896.8452794257355</v>
      </c>
      <c r="K19" s="53">
        <f>IF(Table12[[#This Row],[year]]&lt;'Data Input'!$I$4,12*'Data Input'!$K$24*(1+'Data Input'!$E$29)^(Table12[[#This Row],[year]]-'Data Input'!$I$3),12*'Data Input'!$K$35*(1+'Data Input'!$E$38)^(Table12[[#This Row],[year]]-'Data Input'!$I$4))</f>
        <v>1379.369055885147</v>
      </c>
      <c r="L19" s="53">
        <f>IF(Table12[[#This Row],[year]]&lt;'Data Input'!$I$4,12*'Data Input'!$L$24*(1+'Data Input'!$E$29)^(Table12[[#This Row],[year]]-'Data Input'!$I$3),12*'Data Input'!$L$35*(1+'Data Input'!$E$38)^(Table12[[#This Row],[year]]-'Data Input'!$I$4))</f>
        <v>1379.369055885147</v>
      </c>
      <c r="M19" s="53">
        <f>IF(Table12[[#This Row],[year]]&lt;'Data Input'!$I$4,12*'Data Input'!$M$24*(1+'Data Input'!$E$29)^(Table12[[#This Row],[year]]-'Data Input'!$I$3),12*'Data Input'!$M$35*(1+'Data Input'!$E$38)^(Table12[[#This Row],[year]]-'Data Input'!$I$4))</f>
        <v>2758.7381117702939</v>
      </c>
      <c r="N19" s="55">
        <f>IF(Table12[[#This Row],[year]]&lt;'Data Input'!$I$4,12*'Data Input'!$N$24,12*'Data Input'!$N$35)</f>
        <v>2400</v>
      </c>
      <c r="O19" s="53">
        <f>IF(Table12[[#This Row],[year]]&lt;'Data Input'!$I$4,12*'Data Input'!$O$24*(1+'Data Input'!$E$29)^(Table12[[#This Row],[year]]-'Data Input'!$I$3),12*'Data Input'!$O$35*(1+'Data Input'!$E$38)^(Table12[[#This Row],[year]]-'Data Input'!$I$4))</f>
        <v>1379.369055885147</v>
      </c>
      <c r="P19" s="53">
        <f>IF(Table12[[#This Row],[year]]&lt;'Data Input'!$I$4,12*'Data Input'!$P$24*(1+'Data Input'!$E$29)^(Table12[[#This Row],[year]]-'Data Input'!$I$3),12*'Data Input'!$P$35*(1+'Data Input'!$E$38)^(Table12[[#This Row],[year]]-'Data Input'!$I$4))</f>
        <v>6896.8452794257355</v>
      </c>
      <c r="Q19" s="53">
        <f>IF(Table12[[#This Row],[year]]&lt;'Data Input'!$I$4,12*'Data Input'!$Q$24*(1+'Data Input'!$E$29)^(Table12[[#This Row],[year]]-'Data Input'!$I$3),12*'Data Input'!$Q$35*(1+'Data Input'!$E$38)^(Table12[[#This Row],[year]]-'Data Input'!$I$4))</f>
        <v>1379.369055885147</v>
      </c>
      <c r="R19" s="53">
        <f>IF(Table12[[#This Row],[year]]&lt;'Data Input'!$I$4,12*'Data Input'!$R$24*(1+'Data Input'!$E$29)^(Table12[[#This Row],[year]]-'Data Input'!$I$3),12*'Data Input'!$R$35*(1+'Data Input'!$E$38)^(Table12[[#This Row],[year]]-'Data Input'!$I$4))</f>
        <v>2758.7381117702939</v>
      </c>
      <c r="S19" s="53">
        <f>IF(Table12[[#This Row],[year]]&lt;'Data Input'!$I$4,12*'Data Input'!$S$24*(1+'Data Input'!$E$29)^(Table12[[#This Row],[year]]-'Data Input'!$I$3),12*'Data Input'!$S$35*(1+'Data Input'!$E$38)^(Table12[[#This Row],[year]]-'Data Input'!$I$4))</f>
        <v>1379.369055885147</v>
      </c>
      <c r="T19" s="55">
        <f>SUM(Table12[[#This Row],[Utilities]:[Misc. Housing costs]])</f>
        <v>44429.324054200355</v>
      </c>
      <c r="U19" s="54">
        <f>Table12[[#This Row],[Total]]/12</f>
        <v>3702.4436711833628</v>
      </c>
    </row>
    <row r="20" spans="1:21">
      <c r="A20" s="19">
        <f t="shared" si="0"/>
        <v>2033</v>
      </c>
      <c r="B20" s="53">
        <f>IF(Table12[[#This Row],[year]]&lt;'Data Input'!$I$4,12*'Data Input'!$B$24*(1+'Data Input'!$E$29)^(Table12[[#This Row],[year]]-'Data Input'!$I$3),12*'Data Input'!$B$35*(1+'Data Input'!$E$38)^(Table12[[#This Row],[year]]-'Data Input'!$I$4))</f>
        <v>5572.6509857759929</v>
      </c>
      <c r="C20" s="53">
        <f>IF(Table12[[#This Row],[year]]&lt;'Data Input'!$I$4,12*'Data Input'!$C$24*(1+'Data Input'!$E$29)^(Table12[[#This Row],[year]]-'Data Input'!$I$3),12*'Data Input'!$C$35*(1+'Data Input'!$E$38)^(Table12[[#This Row],[year]]-'Data Input'!$I$4))</f>
        <v>3482.9068661099955</v>
      </c>
      <c r="D20" s="53">
        <f>ROUNDDOWN('Student Loans'!B23+'Credit Card Debt'!B23,2)</f>
        <v>0</v>
      </c>
      <c r="E20" s="53">
        <f>MIN('Data Input'!$C$12+'Data Input'!$F$12,'Main Info'!B19*'Data Input'!$C$11+'Main Info'!E19*'Data Input'!$F$11+'Data Input'!$C$10+'Data Input'!$F$10)</f>
        <v>0</v>
      </c>
      <c r="F20" s="53">
        <f>12*'Data Input'!F78+12*100</f>
        <v>1200</v>
      </c>
      <c r="G20" s="53">
        <f>IF(Table12[[#This Row],[year]]&lt;'Data Input'!$I$4,12*'Data Input'!$G$24*(1+'Data Input'!$E$29)^(Table12[[#This Row],[year]]-'Data Input'!$I$3),12*'Data Input'!$G$35*(1+'Data Input'!$E$38)^(Table12[[#This Row],[year]]-'Data Input'!$I$4))</f>
        <v>1393.1627464439982</v>
      </c>
      <c r="H20" s="55">
        <f>IF(Table12[[#This Row],[year]]&lt;'Data Input'!$I$4,12*'Data Input'!$H$24*(1+'Data Input'!$E$29)^(Table12[[#This Row],[year]]-'Data Input'!$I$3),12*'Data Input'!$H$35*(1+'Data Input'!$E$38)^(Table12[[#This Row],[year]]-'Data Input'!$I$4))</f>
        <v>835.89764786639887</v>
      </c>
      <c r="I20" s="53">
        <f>IF(Table12[[#This Row],[year]]&lt;'Data Input'!$I$4,12*'Data Input'!$I$24*(1+'Data Input'!$E$29)^(Table12[[#This Row],[year]]-'Data Input'!$I$3),12*'Data Input'!$I$35*(1+'Data Input'!$E$38)^(Table12[[#This Row],[year]]-'Data Input'!$I$4))</f>
        <v>3482.9068661099955</v>
      </c>
      <c r="J20" s="53">
        <f>IF(Table12[[#This Row],[year]]&lt;'Data Input'!$I$4,12*'Data Input'!$J$24*(1+'Data Input'!$E$29)^(Table12[[#This Row],[year]]-'Data Input'!$I$3),12*'Data Input'!$J$35*(1+'Data Input'!$E$38)^(Table12[[#This Row],[year]]-'Data Input'!$I$4))</f>
        <v>6965.8137322199909</v>
      </c>
      <c r="K20" s="53">
        <f>IF(Table12[[#This Row],[year]]&lt;'Data Input'!$I$4,12*'Data Input'!$K$24*(1+'Data Input'!$E$29)^(Table12[[#This Row],[year]]-'Data Input'!$I$3),12*'Data Input'!$K$35*(1+'Data Input'!$E$38)^(Table12[[#This Row],[year]]-'Data Input'!$I$4))</f>
        <v>1393.1627464439982</v>
      </c>
      <c r="L20" s="53">
        <f>IF(Table12[[#This Row],[year]]&lt;'Data Input'!$I$4,12*'Data Input'!$L$24*(1+'Data Input'!$E$29)^(Table12[[#This Row],[year]]-'Data Input'!$I$3),12*'Data Input'!$L$35*(1+'Data Input'!$E$38)^(Table12[[#This Row],[year]]-'Data Input'!$I$4))</f>
        <v>1393.1627464439982</v>
      </c>
      <c r="M20" s="53">
        <f>IF(Table12[[#This Row],[year]]&lt;'Data Input'!$I$4,12*'Data Input'!$M$24*(1+'Data Input'!$E$29)^(Table12[[#This Row],[year]]-'Data Input'!$I$3),12*'Data Input'!$M$35*(1+'Data Input'!$E$38)^(Table12[[#This Row],[year]]-'Data Input'!$I$4))</f>
        <v>2786.3254928879965</v>
      </c>
      <c r="N20" s="55">
        <f>IF(Table12[[#This Row],[year]]&lt;'Data Input'!$I$4,12*'Data Input'!$N$24,12*'Data Input'!$N$35)</f>
        <v>2400</v>
      </c>
      <c r="O20" s="53">
        <f>IF(Table12[[#This Row],[year]]&lt;'Data Input'!$I$4,12*'Data Input'!$O$24*(1+'Data Input'!$E$29)^(Table12[[#This Row],[year]]-'Data Input'!$I$3),12*'Data Input'!$O$35*(1+'Data Input'!$E$38)^(Table12[[#This Row],[year]]-'Data Input'!$I$4))</f>
        <v>1393.1627464439982</v>
      </c>
      <c r="P20" s="53">
        <f>IF(Table12[[#This Row],[year]]&lt;'Data Input'!$I$4,12*'Data Input'!$P$24*(1+'Data Input'!$E$29)^(Table12[[#This Row],[year]]-'Data Input'!$I$3),12*'Data Input'!$P$35*(1+'Data Input'!$E$38)^(Table12[[#This Row],[year]]-'Data Input'!$I$4))</f>
        <v>6965.8137322199909</v>
      </c>
      <c r="Q20" s="53">
        <f>IF(Table12[[#This Row],[year]]&lt;'Data Input'!$I$4,12*'Data Input'!$Q$24*(1+'Data Input'!$E$29)^(Table12[[#This Row],[year]]-'Data Input'!$I$3),12*'Data Input'!$Q$35*(1+'Data Input'!$E$38)^(Table12[[#This Row],[year]]-'Data Input'!$I$4))</f>
        <v>1393.1627464439982</v>
      </c>
      <c r="R20" s="53">
        <f>IF(Table12[[#This Row],[year]]&lt;'Data Input'!$I$4,12*'Data Input'!$R$24*(1+'Data Input'!$E$29)^(Table12[[#This Row],[year]]-'Data Input'!$I$3),12*'Data Input'!$R$35*(1+'Data Input'!$E$38)^(Table12[[#This Row],[year]]-'Data Input'!$I$4))</f>
        <v>2786.3254928879965</v>
      </c>
      <c r="S20" s="53">
        <f>IF(Table12[[#This Row],[year]]&lt;'Data Input'!$I$4,12*'Data Input'!$S$24*(1+'Data Input'!$E$29)^(Table12[[#This Row],[year]]-'Data Input'!$I$3),12*'Data Input'!$S$35*(1+'Data Input'!$E$38)^(Table12[[#This Row],[year]]-'Data Input'!$I$4))</f>
        <v>1393.1627464439982</v>
      </c>
      <c r="T20" s="55">
        <f>SUM(Table12[[#This Row],[Utilities]:[Misc. Housing costs]])</f>
        <v>44837.61729474234</v>
      </c>
      <c r="U20" s="54">
        <f>Table12[[#This Row],[Total]]/12</f>
        <v>3736.4681078951949</v>
      </c>
    </row>
    <row r="21" spans="1:21">
      <c r="A21" s="19">
        <f t="shared" si="0"/>
        <v>2034</v>
      </c>
      <c r="B21" s="53">
        <f>IF(Table12[[#This Row],[year]]&lt;'Data Input'!$I$4,12*'Data Input'!$B$24*(1+'Data Input'!$E$29)^(Table12[[#This Row],[year]]-'Data Input'!$I$3),12*'Data Input'!$B$35*(1+'Data Input'!$E$38)^(Table12[[#This Row],[year]]-'Data Input'!$I$4))</f>
        <v>5628.3774956337538</v>
      </c>
      <c r="C21" s="53">
        <f>IF(Table12[[#This Row],[year]]&lt;'Data Input'!$I$4,12*'Data Input'!$C$24*(1+'Data Input'!$E$29)^(Table12[[#This Row],[year]]-'Data Input'!$I$3),12*'Data Input'!$C$35*(1+'Data Input'!$E$38)^(Table12[[#This Row],[year]]-'Data Input'!$I$4))</f>
        <v>3517.7359347710963</v>
      </c>
      <c r="D21" s="53">
        <f>ROUNDDOWN('Student Loans'!B24+'Credit Card Debt'!B24,2)</f>
        <v>0</v>
      </c>
      <c r="E21" s="53">
        <f>MIN('Data Input'!$C$12+'Data Input'!$F$12,'Main Info'!B20*'Data Input'!$C$11+'Main Info'!E20*'Data Input'!$F$11+'Data Input'!$C$10+'Data Input'!$F$10)</f>
        <v>0</v>
      </c>
      <c r="F21" s="53">
        <f>12*'Data Input'!F79+12*100</f>
        <v>1200</v>
      </c>
      <c r="G21" s="53">
        <f>IF(Table12[[#This Row],[year]]&lt;'Data Input'!$I$4,12*'Data Input'!$G$24*(1+'Data Input'!$E$29)^(Table12[[#This Row],[year]]-'Data Input'!$I$3),12*'Data Input'!$G$35*(1+'Data Input'!$E$38)^(Table12[[#This Row],[year]]-'Data Input'!$I$4))</f>
        <v>1407.0943739084385</v>
      </c>
      <c r="H21" s="55">
        <f>IF(Table12[[#This Row],[year]]&lt;'Data Input'!$I$4,12*'Data Input'!$H$24*(1+'Data Input'!$E$29)^(Table12[[#This Row],[year]]-'Data Input'!$I$3),12*'Data Input'!$H$35*(1+'Data Input'!$E$38)^(Table12[[#This Row],[year]]-'Data Input'!$I$4))</f>
        <v>844.25662434506307</v>
      </c>
      <c r="I21" s="53">
        <f>IF(Table12[[#This Row],[year]]&lt;'Data Input'!$I$4,12*'Data Input'!$I$24*(1+'Data Input'!$E$29)^(Table12[[#This Row],[year]]-'Data Input'!$I$3),12*'Data Input'!$I$35*(1+'Data Input'!$E$38)^(Table12[[#This Row],[year]]-'Data Input'!$I$4))</f>
        <v>3517.7359347710963</v>
      </c>
      <c r="J21" s="53">
        <f>IF(Table12[[#This Row],[year]]&lt;'Data Input'!$I$4,12*'Data Input'!$J$24*(1+'Data Input'!$E$29)^(Table12[[#This Row],[year]]-'Data Input'!$I$3),12*'Data Input'!$J$35*(1+'Data Input'!$E$38)^(Table12[[#This Row],[year]]-'Data Input'!$I$4))</f>
        <v>7035.4718695421925</v>
      </c>
      <c r="K21" s="53">
        <f>IF(Table12[[#This Row],[year]]&lt;'Data Input'!$I$4,12*'Data Input'!$K$24*(1+'Data Input'!$E$29)^(Table12[[#This Row],[year]]-'Data Input'!$I$3),12*'Data Input'!$K$35*(1+'Data Input'!$E$38)^(Table12[[#This Row],[year]]-'Data Input'!$I$4))</f>
        <v>1407.0943739084385</v>
      </c>
      <c r="L21" s="53">
        <f>IF(Table12[[#This Row],[year]]&lt;'Data Input'!$I$4,12*'Data Input'!$L$24*(1+'Data Input'!$E$29)^(Table12[[#This Row],[year]]-'Data Input'!$I$3),12*'Data Input'!$L$35*(1+'Data Input'!$E$38)^(Table12[[#This Row],[year]]-'Data Input'!$I$4))</f>
        <v>1407.0943739084385</v>
      </c>
      <c r="M21" s="53">
        <f>IF(Table12[[#This Row],[year]]&lt;'Data Input'!$I$4,12*'Data Input'!$M$24*(1+'Data Input'!$E$29)^(Table12[[#This Row],[year]]-'Data Input'!$I$3),12*'Data Input'!$M$35*(1+'Data Input'!$E$38)^(Table12[[#This Row],[year]]-'Data Input'!$I$4))</f>
        <v>2814.1887478168769</v>
      </c>
      <c r="N21" s="55">
        <f>IF(Table12[[#This Row],[year]]&lt;'Data Input'!$I$4,12*'Data Input'!$N$24,12*'Data Input'!$N$35)</f>
        <v>2400</v>
      </c>
      <c r="O21" s="53">
        <f>IF(Table12[[#This Row],[year]]&lt;'Data Input'!$I$4,12*'Data Input'!$O$24*(1+'Data Input'!$E$29)^(Table12[[#This Row],[year]]-'Data Input'!$I$3),12*'Data Input'!$O$35*(1+'Data Input'!$E$38)^(Table12[[#This Row],[year]]-'Data Input'!$I$4))</f>
        <v>1407.0943739084385</v>
      </c>
      <c r="P21" s="53">
        <f>IF(Table12[[#This Row],[year]]&lt;'Data Input'!$I$4,12*'Data Input'!$P$24*(1+'Data Input'!$E$29)^(Table12[[#This Row],[year]]-'Data Input'!$I$3),12*'Data Input'!$P$35*(1+'Data Input'!$E$38)^(Table12[[#This Row],[year]]-'Data Input'!$I$4))</f>
        <v>7035.4718695421925</v>
      </c>
      <c r="Q21" s="53">
        <f>IF(Table12[[#This Row],[year]]&lt;'Data Input'!$I$4,12*'Data Input'!$Q$24*(1+'Data Input'!$E$29)^(Table12[[#This Row],[year]]-'Data Input'!$I$3),12*'Data Input'!$Q$35*(1+'Data Input'!$E$38)^(Table12[[#This Row],[year]]-'Data Input'!$I$4))</f>
        <v>1407.0943739084385</v>
      </c>
      <c r="R21" s="53">
        <f>IF(Table12[[#This Row],[year]]&lt;'Data Input'!$I$4,12*'Data Input'!$R$24*(1+'Data Input'!$E$29)^(Table12[[#This Row],[year]]-'Data Input'!$I$3),12*'Data Input'!$R$35*(1+'Data Input'!$E$38)^(Table12[[#This Row],[year]]-'Data Input'!$I$4))</f>
        <v>2814.1887478168769</v>
      </c>
      <c r="S21" s="53">
        <f>IF(Table12[[#This Row],[year]]&lt;'Data Input'!$I$4,12*'Data Input'!$S$24*(1+'Data Input'!$E$29)^(Table12[[#This Row],[year]]-'Data Input'!$I$3),12*'Data Input'!$S$35*(1+'Data Input'!$E$38)^(Table12[[#This Row],[year]]-'Data Input'!$I$4))</f>
        <v>1407.0943739084385</v>
      </c>
      <c r="T21" s="55">
        <f>SUM(Table12[[#This Row],[Utilities]:[Misc. Housing costs]])</f>
        <v>45249.99346768979</v>
      </c>
      <c r="U21" s="54">
        <f>Table12[[#This Row],[Total]]/12</f>
        <v>3770.832788974149</v>
      </c>
    </row>
    <row r="22" spans="1:21">
      <c r="A22" s="19">
        <f t="shared" si="0"/>
        <v>2035</v>
      </c>
      <c r="B22" s="53">
        <f>IF(Table12[[#This Row],[year]]&lt;'Data Input'!$I$4,12*'Data Input'!$B$24*(1+'Data Input'!$E$29)^(Table12[[#This Row],[year]]-'Data Input'!$I$3),12*'Data Input'!$B$35*(1+'Data Input'!$E$38)^(Table12[[#This Row],[year]]-'Data Input'!$I$4))</f>
        <v>5684.6612705900916</v>
      </c>
      <c r="C22" s="53">
        <f>IF(Table12[[#This Row],[year]]&lt;'Data Input'!$I$4,12*'Data Input'!$C$24*(1+'Data Input'!$E$29)^(Table12[[#This Row],[year]]-'Data Input'!$I$3),12*'Data Input'!$C$35*(1+'Data Input'!$E$38)^(Table12[[#This Row],[year]]-'Data Input'!$I$4))</f>
        <v>3552.9132941188077</v>
      </c>
      <c r="D22" s="53">
        <f>ROUNDDOWN('Student Loans'!B25+'Credit Card Debt'!B25,2)</f>
        <v>0</v>
      </c>
      <c r="E22" s="53">
        <f>MIN('Data Input'!$C$12+'Data Input'!$F$12,'Main Info'!B21*'Data Input'!$C$11+'Main Info'!E21*'Data Input'!$F$11+'Data Input'!$C$10+'Data Input'!$F$10)</f>
        <v>0</v>
      </c>
      <c r="F22" s="53">
        <f>12*'Data Input'!F80+12*100</f>
        <v>1200</v>
      </c>
      <c r="G22" s="53">
        <f>IF(Table12[[#This Row],[year]]&lt;'Data Input'!$I$4,12*'Data Input'!$G$24*(1+'Data Input'!$E$29)^(Table12[[#This Row],[year]]-'Data Input'!$I$3),12*'Data Input'!$G$35*(1+'Data Input'!$E$38)^(Table12[[#This Row],[year]]-'Data Input'!$I$4))</f>
        <v>1421.1653176475229</v>
      </c>
      <c r="H22" s="55">
        <f>IF(Table12[[#This Row],[year]]&lt;'Data Input'!$I$4,12*'Data Input'!$H$24*(1+'Data Input'!$E$29)^(Table12[[#This Row],[year]]-'Data Input'!$I$3),12*'Data Input'!$H$35*(1+'Data Input'!$E$38)^(Table12[[#This Row],[year]]-'Data Input'!$I$4))</f>
        <v>852.69919058851383</v>
      </c>
      <c r="I22" s="53">
        <f>IF(Table12[[#This Row],[year]]&lt;'Data Input'!$I$4,12*'Data Input'!$I$24*(1+'Data Input'!$E$29)^(Table12[[#This Row],[year]]-'Data Input'!$I$3),12*'Data Input'!$I$35*(1+'Data Input'!$E$38)^(Table12[[#This Row],[year]]-'Data Input'!$I$4))</f>
        <v>3552.9132941188077</v>
      </c>
      <c r="J22" s="53">
        <f>IF(Table12[[#This Row],[year]]&lt;'Data Input'!$I$4,12*'Data Input'!$J$24*(1+'Data Input'!$E$29)^(Table12[[#This Row],[year]]-'Data Input'!$I$3),12*'Data Input'!$J$35*(1+'Data Input'!$E$38)^(Table12[[#This Row],[year]]-'Data Input'!$I$4))</f>
        <v>7105.8265882376154</v>
      </c>
      <c r="K22" s="53">
        <f>IF(Table12[[#This Row],[year]]&lt;'Data Input'!$I$4,12*'Data Input'!$K$24*(1+'Data Input'!$E$29)^(Table12[[#This Row],[year]]-'Data Input'!$I$3),12*'Data Input'!$K$35*(1+'Data Input'!$E$38)^(Table12[[#This Row],[year]]-'Data Input'!$I$4))</f>
        <v>1421.1653176475229</v>
      </c>
      <c r="L22" s="53">
        <f>IF(Table12[[#This Row],[year]]&lt;'Data Input'!$I$4,12*'Data Input'!$L$24*(1+'Data Input'!$E$29)^(Table12[[#This Row],[year]]-'Data Input'!$I$3),12*'Data Input'!$L$35*(1+'Data Input'!$E$38)^(Table12[[#This Row],[year]]-'Data Input'!$I$4))</f>
        <v>1421.1653176475229</v>
      </c>
      <c r="M22" s="53">
        <f>IF(Table12[[#This Row],[year]]&lt;'Data Input'!$I$4,12*'Data Input'!$M$24*(1+'Data Input'!$E$29)^(Table12[[#This Row],[year]]-'Data Input'!$I$3),12*'Data Input'!$M$35*(1+'Data Input'!$E$38)^(Table12[[#This Row],[year]]-'Data Input'!$I$4))</f>
        <v>2842.3306352950458</v>
      </c>
      <c r="N22" s="55">
        <f>IF(Table12[[#This Row],[year]]&lt;'Data Input'!$I$4,12*'Data Input'!$N$24,12*'Data Input'!$N$35)</f>
        <v>2400</v>
      </c>
      <c r="O22" s="53">
        <f>IF(Table12[[#This Row],[year]]&lt;'Data Input'!$I$4,12*'Data Input'!$O$24*(1+'Data Input'!$E$29)^(Table12[[#This Row],[year]]-'Data Input'!$I$3),12*'Data Input'!$O$35*(1+'Data Input'!$E$38)^(Table12[[#This Row],[year]]-'Data Input'!$I$4))</f>
        <v>1421.1653176475229</v>
      </c>
      <c r="P22" s="53">
        <f>IF(Table12[[#This Row],[year]]&lt;'Data Input'!$I$4,12*'Data Input'!$P$24*(1+'Data Input'!$E$29)^(Table12[[#This Row],[year]]-'Data Input'!$I$3),12*'Data Input'!$P$35*(1+'Data Input'!$E$38)^(Table12[[#This Row],[year]]-'Data Input'!$I$4))</f>
        <v>7105.8265882376154</v>
      </c>
      <c r="Q22" s="53">
        <f>IF(Table12[[#This Row],[year]]&lt;'Data Input'!$I$4,12*'Data Input'!$Q$24*(1+'Data Input'!$E$29)^(Table12[[#This Row],[year]]-'Data Input'!$I$3),12*'Data Input'!$Q$35*(1+'Data Input'!$E$38)^(Table12[[#This Row],[year]]-'Data Input'!$I$4))</f>
        <v>1421.1653176475229</v>
      </c>
      <c r="R22" s="53">
        <f>IF(Table12[[#This Row],[year]]&lt;'Data Input'!$I$4,12*'Data Input'!$R$24*(1+'Data Input'!$E$29)^(Table12[[#This Row],[year]]-'Data Input'!$I$3),12*'Data Input'!$R$35*(1+'Data Input'!$E$38)^(Table12[[#This Row],[year]]-'Data Input'!$I$4))</f>
        <v>2842.3306352950458</v>
      </c>
      <c r="S22" s="53">
        <f>IF(Table12[[#This Row],[year]]&lt;'Data Input'!$I$4,12*'Data Input'!$S$24*(1+'Data Input'!$E$29)^(Table12[[#This Row],[year]]-'Data Input'!$I$3),12*'Data Input'!$S$35*(1+'Data Input'!$E$38)^(Table12[[#This Row],[year]]-'Data Input'!$I$4))</f>
        <v>1421.1653176475229</v>
      </c>
      <c r="T22" s="55">
        <f>SUM(Table12[[#This Row],[Utilities]:[Misc. Housing costs]])</f>
        <v>45666.493402366679</v>
      </c>
      <c r="U22" s="54">
        <f>Table12[[#This Row],[Total]]/12</f>
        <v>3805.5411168638898</v>
      </c>
    </row>
    <row r="23" spans="1:21">
      <c r="A23" s="19">
        <f t="shared" si="0"/>
        <v>2036</v>
      </c>
      <c r="B23" s="53">
        <f>IF(Table12[[#This Row],[year]]&lt;'Data Input'!$I$4,12*'Data Input'!$B$24*(1+'Data Input'!$E$29)^(Table12[[#This Row],[year]]-'Data Input'!$I$3),12*'Data Input'!$B$35*(1+'Data Input'!$E$38)^(Table12[[#This Row],[year]]-'Data Input'!$I$4))</f>
        <v>5741.5078832959935</v>
      </c>
      <c r="C23" s="53">
        <f>IF(Table12[[#This Row],[year]]&lt;'Data Input'!$I$4,12*'Data Input'!$C$24*(1+'Data Input'!$E$29)^(Table12[[#This Row],[year]]-'Data Input'!$I$3),12*'Data Input'!$C$35*(1+'Data Input'!$E$38)^(Table12[[#This Row],[year]]-'Data Input'!$I$4))</f>
        <v>3588.4424270599957</v>
      </c>
      <c r="D23" s="53">
        <f>ROUNDDOWN('Student Loans'!B26+'Credit Card Debt'!B26,2)</f>
        <v>0</v>
      </c>
      <c r="E23" s="53">
        <f>MIN('Data Input'!$C$12+'Data Input'!$F$12,'Main Info'!B22*'Data Input'!$C$11+'Main Info'!E22*'Data Input'!$F$11+'Data Input'!$C$10+'Data Input'!$F$10)</f>
        <v>0</v>
      </c>
      <c r="F23" s="53">
        <f>12*'Data Input'!F81+12*100</f>
        <v>1200</v>
      </c>
      <c r="G23" s="53">
        <f>IF(Table12[[#This Row],[year]]&lt;'Data Input'!$I$4,12*'Data Input'!$G$24*(1+'Data Input'!$E$29)^(Table12[[#This Row],[year]]-'Data Input'!$I$3),12*'Data Input'!$G$35*(1+'Data Input'!$E$38)^(Table12[[#This Row],[year]]-'Data Input'!$I$4))</f>
        <v>1435.3769708239984</v>
      </c>
      <c r="H23" s="55">
        <f>IF(Table12[[#This Row],[year]]&lt;'Data Input'!$I$4,12*'Data Input'!$H$24*(1+'Data Input'!$E$29)^(Table12[[#This Row],[year]]-'Data Input'!$I$3),12*'Data Input'!$H$35*(1+'Data Input'!$E$38)^(Table12[[#This Row],[year]]-'Data Input'!$I$4))</f>
        <v>861.22618249439893</v>
      </c>
      <c r="I23" s="53">
        <f>IF(Table12[[#This Row],[year]]&lt;'Data Input'!$I$4,12*'Data Input'!$I$24*(1+'Data Input'!$E$29)^(Table12[[#This Row],[year]]-'Data Input'!$I$3),12*'Data Input'!$I$35*(1+'Data Input'!$E$38)^(Table12[[#This Row],[year]]-'Data Input'!$I$4))</f>
        <v>3588.4424270599957</v>
      </c>
      <c r="J23" s="53">
        <f>IF(Table12[[#This Row],[year]]&lt;'Data Input'!$I$4,12*'Data Input'!$J$24*(1+'Data Input'!$E$29)^(Table12[[#This Row],[year]]-'Data Input'!$I$3),12*'Data Input'!$J$35*(1+'Data Input'!$E$38)^(Table12[[#This Row],[year]]-'Data Input'!$I$4))</f>
        <v>7176.8848541199914</v>
      </c>
      <c r="K23" s="53">
        <f>IF(Table12[[#This Row],[year]]&lt;'Data Input'!$I$4,12*'Data Input'!$K$24*(1+'Data Input'!$E$29)^(Table12[[#This Row],[year]]-'Data Input'!$I$3),12*'Data Input'!$K$35*(1+'Data Input'!$E$38)^(Table12[[#This Row],[year]]-'Data Input'!$I$4))</f>
        <v>1435.3769708239984</v>
      </c>
      <c r="L23" s="53">
        <f>IF(Table12[[#This Row],[year]]&lt;'Data Input'!$I$4,12*'Data Input'!$L$24*(1+'Data Input'!$E$29)^(Table12[[#This Row],[year]]-'Data Input'!$I$3),12*'Data Input'!$L$35*(1+'Data Input'!$E$38)^(Table12[[#This Row],[year]]-'Data Input'!$I$4))</f>
        <v>1435.3769708239984</v>
      </c>
      <c r="M23" s="53">
        <f>IF(Table12[[#This Row],[year]]&lt;'Data Input'!$I$4,12*'Data Input'!$M$24*(1+'Data Input'!$E$29)^(Table12[[#This Row],[year]]-'Data Input'!$I$3),12*'Data Input'!$M$35*(1+'Data Input'!$E$38)^(Table12[[#This Row],[year]]-'Data Input'!$I$4))</f>
        <v>2870.7539416479967</v>
      </c>
      <c r="N23" s="55">
        <f>IF(Table12[[#This Row],[year]]&lt;'Data Input'!$I$4,12*'Data Input'!$N$24,12*'Data Input'!$N$35)</f>
        <v>2400</v>
      </c>
      <c r="O23" s="53">
        <f>IF(Table12[[#This Row],[year]]&lt;'Data Input'!$I$4,12*'Data Input'!$O$24*(1+'Data Input'!$E$29)^(Table12[[#This Row],[year]]-'Data Input'!$I$3),12*'Data Input'!$O$35*(1+'Data Input'!$E$38)^(Table12[[#This Row],[year]]-'Data Input'!$I$4))</f>
        <v>1435.3769708239984</v>
      </c>
      <c r="P23" s="53">
        <f>IF(Table12[[#This Row],[year]]&lt;'Data Input'!$I$4,12*'Data Input'!$P$24*(1+'Data Input'!$E$29)^(Table12[[#This Row],[year]]-'Data Input'!$I$3),12*'Data Input'!$P$35*(1+'Data Input'!$E$38)^(Table12[[#This Row],[year]]-'Data Input'!$I$4))</f>
        <v>7176.8848541199914</v>
      </c>
      <c r="Q23" s="53">
        <f>IF(Table12[[#This Row],[year]]&lt;'Data Input'!$I$4,12*'Data Input'!$Q$24*(1+'Data Input'!$E$29)^(Table12[[#This Row],[year]]-'Data Input'!$I$3),12*'Data Input'!$Q$35*(1+'Data Input'!$E$38)^(Table12[[#This Row],[year]]-'Data Input'!$I$4))</f>
        <v>1435.3769708239984</v>
      </c>
      <c r="R23" s="53">
        <f>IF(Table12[[#This Row],[year]]&lt;'Data Input'!$I$4,12*'Data Input'!$R$24*(1+'Data Input'!$E$29)^(Table12[[#This Row],[year]]-'Data Input'!$I$3),12*'Data Input'!$R$35*(1+'Data Input'!$E$38)^(Table12[[#This Row],[year]]-'Data Input'!$I$4))</f>
        <v>2870.7539416479967</v>
      </c>
      <c r="S23" s="53">
        <f>IF(Table12[[#This Row],[year]]&lt;'Data Input'!$I$4,12*'Data Input'!$S$24*(1+'Data Input'!$E$29)^(Table12[[#This Row],[year]]-'Data Input'!$I$3),12*'Data Input'!$S$35*(1+'Data Input'!$E$38)^(Table12[[#This Row],[year]]-'Data Input'!$I$4))</f>
        <v>1435.3769708239984</v>
      </c>
      <c r="T23" s="55">
        <f>SUM(Table12[[#This Row],[Utilities]:[Misc. Housing costs]])</f>
        <v>46087.158336390356</v>
      </c>
      <c r="U23" s="54">
        <f>Table12[[#This Row],[Total]]/12</f>
        <v>3840.5965280325295</v>
      </c>
    </row>
    <row r="24" spans="1:21">
      <c r="A24" s="19">
        <f t="shared" si="0"/>
        <v>2037</v>
      </c>
      <c r="B24" s="53">
        <f>IF(Table12[[#This Row],[year]]&lt;'Data Input'!$I$4,12*'Data Input'!$B$24*(1+'Data Input'!$E$29)^(Table12[[#This Row],[year]]-'Data Input'!$I$3),12*'Data Input'!$B$35*(1+'Data Input'!$E$38)^(Table12[[#This Row],[year]]-'Data Input'!$I$4))</f>
        <v>5798.9229621289514</v>
      </c>
      <c r="C24" s="53">
        <f>IF(Table12[[#This Row],[year]]&lt;'Data Input'!$I$4,12*'Data Input'!$C$24*(1+'Data Input'!$E$29)^(Table12[[#This Row],[year]]-'Data Input'!$I$3),12*'Data Input'!$C$35*(1+'Data Input'!$E$38)^(Table12[[#This Row],[year]]-'Data Input'!$I$4))</f>
        <v>3624.3268513305948</v>
      </c>
      <c r="D24" s="53">
        <f>ROUNDDOWN('Student Loans'!B27+'Credit Card Debt'!B27,2)</f>
        <v>0</v>
      </c>
      <c r="E24" s="53">
        <f>MIN('Data Input'!$C$12+'Data Input'!$F$12,'Main Info'!B23*'Data Input'!$C$11+'Main Info'!E23*'Data Input'!$F$11+'Data Input'!$C$10+'Data Input'!$F$10)</f>
        <v>0</v>
      </c>
      <c r="F24" s="53">
        <f>12*'Data Input'!F82+12*100</f>
        <v>1200</v>
      </c>
      <c r="G24" s="53">
        <f>IF(Table12[[#This Row],[year]]&lt;'Data Input'!$I$4,12*'Data Input'!$G$24*(1+'Data Input'!$E$29)^(Table12[[#This Row],[year]]-'Data Input'!$I$3),12*'Data Input'!$G$35*(1+'Data Input'!$E$38)^(Table12[[#This Row],[year]]-'Data Input'!$I$4))</f>
        <v>1449.7307405322379</v>
      </c>
      <c r="H24" s="55">
        <f>IF(Table12[[#This Row],[year]]&lt;'Data Input'!$I$4,12*'Data Input'!$H$24*(1+'Data Input'!$E$29)^(Table12[[#This Row],[year]]-'Data Input'!$I$3),12*'Data Input'!$H$35*(1+'Data Input'!$E$38)^(Table12[[#This Row],[year]]-'Data Input'!$I$4))</f>
        <v>869.83844431934278</v>
      </c>
      <c r="I24" s="53">
        <f>IF(Table12[[#This Row],[year]]&lt;'Data Input'!$I$4,12*'Data Input'!$I$24*(1+'Data Input'!$E$29)^(Table12[[#This Row],[year]]-'Data Input'!$I$3),12*'Data Input'!$I$35*(1+'Data Input'!$E$38)^(Table12[[#This Row],[year]]-'Data Input'!$I$4))</f>
        <v>3624.3268513305948</v>
      </c>
      <c r="J24" s="53">
        <f>IF(Table12[[#This Row],[year]]&lt;'Data Input'!$I$4,12*'Data Input'!$J$24*(1+'Data Input'!$E$29)^(Table12[[#This Row],[year]]-'Data Input'!$I$3),12*'Data Input'!$J$35*(1+'Data Input'!$E$38)^(Table12[[#This Row],[year]]-'Data Input'!$I$4))</f>
        <v>7248.6537026611895</v>
      </c>
      <c r="K24" s="53">
        <f>IF(Table12[[#This Row],[year]]&lt;'Data Input'!$I$4,12*'Data Input'!$K$24*(1+'Data Input'!$E$29)^(Table12[[#This Row],[year]]-'Data Input'!$I$3),12*'Data Input'!$K$35*(1+'Data Input'!$E$38)^(Table12[[#This Row],[year]]-'Data Input'!$I$4))</f>
        <v>1449.7307405322379</v>
      </c>
      <c r="L24" s="53">
        <f>IF(Table12[[#This Row],[year]]&lt;'Data Input'!$I$4,12*'Data Input'!$L$24*(1+'Data Input'!$E$29)^(Table12[[#This Row],[year]]-'Data Input'!$I$3),12*'Data Input'!$L$35*(1+'Data Input'!$E$38)^(Table12[[#This Row],[year]]-'Data Input'!$I$4))</f>
        <v>1449.7307405322379</v>
      </c>
      <c r="M24" s="53">
        <f>IF(Table12[[#This Row],[year]]&lt;'Data Input'!$I$4,12*'Data Input'!$M$24*(1+'Data Input'!$E$29)^(Table12[[#This Row],[year]]-'Data Input'!$I$3),12*'Data Input'!$M$35*(1+'Data Input'!$E$38)^(Table12[[#This Row],[year]]-'Data Input'!$I$4))</f>
        <v>2899.4614810644757</v>
      </c>
      <c r="N24" s="55">
        <f>IF(Table12[[#This Row],[year]]&lt;'Data Input'!$I$4,12*'Data Input'!$N$24,12*'Data Input'!$N$35)</f>
        <v>2400</v>
      </c>
      <c r="O24" s="53">
        <f>IF(Table12[[#This Row],[year]]&lt;'Data Input'!$I$4,12*'Data Input'!$O$24*(1+'Data Input'!$E$29)^(Table12[[#This Row],[year]]-'Data Input'!$I$3),12*'Data Input'!$O$35*(1+'Data Input'!$E$38)^(Table12[[#This Row],[year]]-'Data Input'!$I$4))</f>
        <v>1449.7307405322379</v>
      </c>
      <c r="P24" s="53">
        <f>IF(Table12[[#This Row],[year]]&lt;'Data Input'!$I$4,12*'Data Input'!$P$24*(1+'Data Input'!$E$29)^(Table12[[#This Row],[year]]-'Data Input'!$I$3),12*'Data Input'!$P$35*(1+'Data Input'!$E$38)^(Table12[[#This Row],[year]]-'Data Input'!$I$4))</f>
        <v>7248.6537026611895</v>
      </c>
      <c r="Q24" s="53">
        <f>IF(Table12[[#This Row],[year]]&lt;'Data Input'!$I$4,12*'Data Input'!$Q$24*(1+'Data Input'!$E$29)^(Table12[[#This Row],[year]]-'Data Input'!$I$3),12*'Data Input'!$Q$35*(1+'Data Input'!$E$38)^(Table12[[#This Row],[year]]-'Data Input'!$I$4))</f>
        <v>1449.7307405322379</v>
      </c>
      <c r="R24" s="53">
        <f>IF(Table12[[#This Row],[year]]&lt;'Data Input'!$I$4,12*'Data Input'!$R$24*(1+'Data Input'!$E$29)^(Table12[[#This Row],[year]]-'Data Input'!$I$3),12*'Data Input'!$R$35*(1+'Data Input'!$E$38)^(Table12[[#This Row],[year]]-'Data Input'!$I$4))</f>
        <v>2899.4614810644757</v>
      </c>
      <c r="S24" s="53">
        <f>IF(Table12[[#This Row],[year]]&lt;'Data Input'!$I$4,12*'Data Input'!$S$24*(1+'Data Input'!$E$29)^(Table12[[#This Row],[year]]-'Data Input'!$I$3),12*'Data Input'!$S$35*(1+'Data Input'!$E$38)^(Table12[[#This Row],[year]]-'Data Input'!$I$4))</f>
        <v>1449.7307405322379</v>
      </c>
      <c r="T24" s="55">
        <f>SUM(Table12[[#This Row],[Utilities]:[Misc. Housing costs]])</f>
        <v>46512.029919754241</v>
      </c>
      <c r="U24" s="54">
        <f>Table12[[#This Row],[Total]]/12</f>
        <v>3876.0024933128534</v>
      </c>
    </row>
    <row r="25" spans="1:21">
      <c r="A25" s="19">
        <f t="shared" si="0"/>
        <v>2038</v>
      </c>
      <c r="B25" s="53">
        <f>IF(Table12[[#This Row],[year]]&lt;'Data Input'!$I$4,12*'Data Input'!$B$24*(1+'Data Input'!$E$29)^(Table12[[#This Row],[year]]-'Data Input'!$I$3),12*'Data Input'!$B$35*(1+'Data Input'!$E$38)^(Table12[[#This Row],[year]]-'Data Input'!$I$4))</f>
        <v>5856.9121917502416</v>
      </c>
      <c r="C25" s="53">
        <f>IF(Table12[[#This Row],[year]]&lt;'Data Input'!$I$4,12*'Data Input'!$C$24*(1+'Data Input'!$E$29)^(Table12[[#This Row],[year]]-'Data Input'!$I$3),12*'Data Input'!$C$35*(1+'Data Input'!$E$38)^(Table12[[#This Row],[year]]-'Data Input'!$I$4))</f>
        <v>3660.570119843901</v>
      </c>
      <c r="D25" s="53">
        <f>ROUNDDOWN('Student Loans'!B28+'Credit Card Debt'!B28,2)</f>
        <v>0</v>
      </c>
      <c r="E25" s="53">
        <f>MIN('Data Input'!$C$12+'Data Input'!$F$12,'Main Info'!B24*'Data Input'!$C$11+'Main Info'!E24*'Data Input'!$F$11+'Data Input'!$C$10+'Data Input'!$F$10)</f>
        <v>0</v>
      </c>
      <c r="F25" s="53">
        <f>12*'Data Input'!F83+12*100</f>
        <v>1200</v>
      </c>
      <c r="G25" s="53">
        <f>IF(Table12[[#This Row],[year]]&lt;'Data Input'!$I$4,12*'Data Input'!$G$24*(1+'Data Input'!$E$29)^(Table12[[#This Row],[year]]-'Data Input'!$I$3),12*'Data Input'!$G$35*(1+'Data Input'!$E$38)^(Table12[[#This Row],[year]]-'Data Input'!$I$4))</f>
        <v>1464.2280479375604</v>
      </c>
      <c r="H25" s="55">
        <f>IF(Table12[[#This Row],[year]]&lt;'Data Input'!$I$4,12*'Data Input'!$H$24*(1+'Data Input'!$E$29)^(Table12[[#This Row],[year]]-'Data Input'!$I$3),12*'Data Input'!$H$35*(1+'Data Input'!$E$38)^(Table12[[#This Row],[year]]-'Data Input'!$I$4))</f>
        <v>878.53682876253629</v>
      </c>
      <c r="I25" s="53">
        <f>IF(Table12[[#This Row],[year]]&lt;'Data Input'!$I$4,12*'Data Input'!$I$24*(1+'Data Input'!$E$29)^(Table12[[#This Row],[year]]-'Data Input'!$I$3),12*'Data Input'!$I$35*(1+'Data Input'!$E$38)^(Table12[[#This Row],[year]]-'Data Input'!$I$4))</f>
        <v>3660.570119843901</v>
      </c>
      <c r="J25" s="53">
        <f>IF(Table12[[#This Row],[year]]&lt;'Data Input'!$I$4,12*'Data Input'!$J$24*(1+'Data Input'!$E$29)^(Table12[[#This Row],[year]]-'Data Input'!$I$3),12*'Data Input'!$J$35*(1+'Data Input'!$E$38)^(Table12[[#This Row],[year]]-'Data Input'!$I$4))</f>
        <v>7321.140239687802</v>
      </c>
      <c r="K25" s="53">
        <f>IF(Table12[[#This Row],[year]]&lt;'Data Input'!$I$4,12*'Data Input'!$K$24*(1+'Data Input'!$E$29)^(Table12[[#This Row],[year]]-'Data Input'!$I$3),12*'Data Input'!$K$35*(1+'Data Input'!$E$38)^(Table12[[#This Row],[year]]-'Data Input'!$I$4))</f>
        <v>1464.2280479375604</v>
      </c>
      <c r="L25" s="53">
        <f>IF(Table12[[#This Row],[year]]&lt;'Data Input'!$I$4,12*'Data Input'!$L$24*(1+'Data Input'!$E$29)^(Table12[[#This Row],[year]]-'Data Input'!$I$3),12*'Data Input'!$L$35*(1+'Data Input'!$E$38)^(Table12[[#This Row],[year]]-'Data Input'!$I$4))</f>
        <v>1464.2280479375604</v>
      </c>
      <c r="M25" s="53">
        <f>IF(Table12[[#This Row],[year]]&lt;'Data Input'!$I$4,12*'Data Input'!$M$24*(1+'Data Input'!$E$29)^(Table12[[#This Row],[year]]-'Data Input'!$I$3),12*'Data Input'!$M$35*(1+'Data Input'!$E$38)^(Table12[[#This Row],[year]]-'Data Input'!$I$4))</f>
        <v>2928.4560958751208</v>
      </c>
      <c r="N25" s="55">
        <f>IF(Table12[[#This Row],[year]]&lt;'Data Input'!$I$4,12*'Data Input'!$N$24,12*'Data Input'!$N$35)</f>
        <v>2400</v>
      </c>
      <c r="O25" s="53">
        <f>IF(Table12[[#This Row],[year]]&lt;'Data Input'!$I$4,12*'Data Input'!$O$24*(1+'Data Input'!$E$29)^(Table12[[#This Row],[year]]-'Data Input'!$I$3),12*'Data Input'!$O$35*(1+'Data Input'!$E$38)^(Table12[[#This Row],[year]]-'Data Input'!$I$4))</f>
        <v>1464.2280479375604</v>
      </c>
      <c r="P25" s="53">
        <f>IF(Table12[[#This Row],[year]]&lt;'Data Input'!$I$4,12*'Data Input'!$P$24*(1+'Data Input'!$E$29)^(Table12[[#This Row],[year]]-'Data Input'!$I$3),12*'Data Input'!$P$35*(1+'Data Input'!$E$38)^(Table12[[#This Row],[year]]-'Data Input'!$I$4))</f>
        <v>7321.140239687802</v>
      </c>
      <c r="Q25" s="53">
        <f>IF(Table12[[#This Row],[year]]&lt;'Data Input'!$I$4,12*'Data Input'!$Q$24*(1+'Data Input'!$E$29)^(Table12[[#This Row],[year]]-'Data Input'!$I$3),12*'Data Input'!$Q$35*(1+'Data Input'!$E$38)^(Table12[[#This Row],[year]]-'Data Input'!$I$4))</f>
        <v>1464.2280479375604</v>
      </c>
      <c r="R25" s="53">
        <f>IF(Table12[[#This Row],[year]]&lt;'Data Input'!$I$4,12*'Data Input'!$R$24*(1+'Data Input'!$E$29)^(Table12[[#This Row],[year]]-'Data Input'!$I$3),12*'Data Input'!$R$35*(1+'Data Input'!$E$38)^(Table12[[#This Row],[year]]-'Data Input'!$I$4))</f>
        <v>2928.4560958751208</v>
      </c>
      <c r="S25" s="53">
        <f>IF(Table12[[#This Row],[year]]&lt;'Data Input'!$I$4,12*'Data Input'!$S$24*(1+'Data Input'!$E$29)^(Table12[[#This Row],[year]]-'Data Input'!$I$3),12*'Data Input'!$S$35*(1+'Data Input'!$E$38)^(Table12[[#This Row],[year]]-'Data Input'!$I$4))</f>
        <v>1464.2280479375604</v>
      </c>
      <c r="T25" s="55">
        <f>SUM(Table12[[#This Row],[Utilities]:[Misc. Housing costs]])</f>
        <v>46941.150218951792</v>
      </c>
      <c r="U25" s="54">
        <f>Table12[[#This Row],[Total]]/12</f>
        <v>3911.7625182459828</v>
      </c>
    </row>
    <row r="26" spans="1:21">
      <c r="A26" s="19">
        <f t="shared" si="0"/>
        <v>2039</v>
      </c>
      <c r="B26" s="53">
        <f>IF(Table12[[#This Row],[year]]&lt;'Data Input'!$I$4,12*'Data Input'!$B$24*(1+'Data Input'!$E$29)^(Table12[[#This Row],[year]]-'Data Input'!$I$3),12*'Data Input'!$B$35*(1+'Data Input'!$E$38)^(Table12[[#This Row],[year]]-'Data Input'!$I$4))</f>
        <v>5915.481313667744</v>
      </c>
      <c r="C26" s="53">
        <f>IF(Table12[[#This Row],[year]]&lt;'Data Input'!$I$4,12*'Data Input'!$C$24*(1+'Data Input'!$E$29)^(Table12[[#This Row],[year]]-'Data Input'!$I$3),12*'Data Input'!$C$35*(1+'Data Input'!$E$38)^(Table12[[#This Row],[year]]-'Data Input'!$I$4))</f>
        <v>3697.17582104234</v>
      </c>
      <c r="D26" s="53">
        <f>ROUNDDOWN('Student Loans'!B29+'Credit Card Debt'!B29,2)</f>
        <v>0</v>
      </c>
      <c r="E26" s="53">
        <f>MIN('Data Input'!$C$12+'Data Input'!$F$12,'Main Info'!B25*'Data Input'!$C$11+'Main Info'!E25*'Data Input'!$F$11+'Data Input'!$C$10+'Data Input'!$F$10)</f>
        <v>0</v>
      </c>
      <c r="F26" s="53">
        <f>12*'Data Input'!F84+12*100</f>
        <v>1200</v>
      </c>
      <c r="G26" s="53">
        <f>IF(Table12[[#This Row],[year]]&lt;'Data Input'!$I$4,12*'Data Input'!$G$24*(1+'Data Input'!$E$29)^(Table12[[#This Row],[year]]-'Data Input'!$I$3),12*'Data Input'!$G$35*(1+'Data Input'!$E$38)^(Table12[[#This Row],[year]]-'Data Input'!$I$4))</f>
        <v>1478.870328416936</v>
      </c>
      <c r="H26" s="55">
        <f>IF(Table12[[#This Row],[year]]&lt;'Data Input'!$I$4,12*'Data Input'!$H$24*(1+'Data Input'!$E$29)^(Table12[[#This Row],[year]]-'Data Input'!$I$3),12*'Data Input'!$H$35*(1+'Data Input'!$E$38)^(Table12[[#This Row],[year]]-'Data Input'!$I$4))</f>
        <v>887.32219705016155</v>
      </c>
      <c r="I26" s="53">
        <f>IF(Table12[[#This Row],[year]]&lt;'Data Input'!$I$4,12*'Data Input'!$I$24*(1+'Data Input'!$E$29)^(Table12[[#This Row],[year]]-'Data Input'!$I$3),12*'Data Input'!$I$35*(1+'Data Input'!$E$38)^(Table12[[#This Row],[year]]-'Data Input'!$I$4))</f>
        <v>3697.17582104234</v>
      </c>
      <c r="J26" s="53">
        <f>IF(Table12[[#This Row],[year]]&lt;'Data Input'!$I$4,12*'Data Input'!$J$24*(1+'Data Input'!$E$29)^(Table12[[#This Row],[year]]-'Data Input'!$I$3),12*'Data Input'!$J$35*(1+'Data Input'!$E$38)^(Table12[[#This Row],[year]]-'Data Input'!$I$4))</f>
        <v>7394.35164208468</v>
      </c>
      <c r="K26" s="53">
        <f>IF(Table12[[#This Row],[year]]&lt;'Data Input'!$I$4,12*'Data Input'!$K$24*(1+'Data Input'!$E$29)^(Table12[[#This Row],[year]]-'Data Input'!$I$3),12*'Data Input'!$K$35*(1+'Data Input'!$E$38)^(Table12[[#This Row],[year]]-'Data Input'!$I$4))</f>
        <v>1478.870328416936</v>
      </c>
      <c r="L26" s="53">
        <f>IF(Table12[[#This Row],[year]]&lt;'Data Input'!$I$4,12*'Data Input'!$L$24*(1+'Data Input'!$E$29)^(Table12[[#This Row],[year]]-'Data Input'!$I$3),12*'Data Input'!$L$35*(1+'Data Input'!$E$38)^(Table12[[#This Row],[year]]-'Data Input'!$I$4))</f>
        <v>1478.870328416936</v>
      </c>
      <c r="M26" s="53">
        <f>IF(Table12[[#This Row],[year]]&lt;'Data Input'!$I$4,12*'Data Input'!$M$24*(1+'Data Input'!$E$29)^(Table12[[#This Row],[year]]-'Data Input'!$I$3),12*'Data Input'!$M$35*(1+'Data Input'!$E$38)^(Table12[[#This Row],[year]]-'Data Input'!$I$4))</f>
        <v>2957.740656833872</v>
      </c>
      <c r="N26" s="55">
        <f>IF(Table12[[#This Row],[year]]&lt;'Data Input'!$I$4,12*'Data Input'!$N$24,12*'Data Input'!$N$35)</f>
        <v>2400</v>
      </c>
      <c r="O26" s="53">
        <f>IF(Table12[[#This Row],[year]]&lt;'Data Input'!$I$4,12*'Data Input'!$O$24*(1+'Data Input'!$E$29)^(Table12[[#This Row],[year]]-'Data Input'!$I$3),12*'Data Input'!$O$35*(1+'Data Input'!$E$38)^(Table12[[#This Row],[year]]-'Data Input'!$I$4))</f>
        <v>1478.870328416936</v>
      </c>
      <c r="P26" s="53">
        <f>IF(Table12[[#This Row],[year]]&lt;'Data Input'!$I$4,12*'Data Input'!$P$24*(1+'Data Input'!$E$29)^(Table12[[#This Row],[year]]-'Data Input'!$I$3),12*'Data Input'!$P$35*(1+'Data Input'!$E$38)^(Table12[[#This Row],[year]]-'Data Input'!$I$4))</f>
        <v>7394.35164208468</v>
      </c>
      <c r="Q26" s="53">
        <f>IF(Table12[[#This Row],[year]]&lt;'Data Input'!$I$4,12*'Data Input'!$Q$24*(1+'Data Input'!$E$29)^(Table12[[#This Row],[year]]-'Data Input'!$I$3),12*'Data Input'!$Q$35*(1+'Data Input'!$E$38)^(Table12[[#This Row],[year]]-'Data Input'!$I$4))</f>
        <v>1478.870328416936</v>
      </c>
      <c r="R26" s="53">
        <f>IF(Table12[[#This Row],[year]]&lt;'Data Input'!$I$4,12*'Data Input'!$R$24*(1+'Data Input'!$E$29)^(Table12[[#This Row],[year]]-'Data Input'!$I$3),12*'Data Input'!$R$35*(1+'Data Input'!$E$38)^(Table12[[#This Row],[year]]-'Data Input'!$I$4))</f>
        <v>2957.740656833872</v>
      </c>
      <c r="S26" s="53">
        <f>IF(Table12[[#This Row],[year]]&lt;'Data Input'!$I$4,12*'Data Input'!$S$24*(1+'Data Input'!$E$29)^(Table12[[#This Row],[year]]-'Data Input'!$I$3),12*'Data Input'!$S$35*(1+'Data Input'!$E$38)^(Table12[[#This Row],[year]]-'Data Input'!$I$4))</f>
        <v>1478.870328416936</v>
      </c>
      <c r="T26" s="55">
        <f>SUM(Table12[[#This Row],[Utilities]:[Misc. Housing costs]])</f>
        <v>47374.561721141305</v>
      </c>
      <c r="U26" s="54">
        <f>Table12[[#This Row],[Total]]/12</f>
        <v>3947.8801434284419</v>
      </c>
    </row>
    <row r="27" spans="1:21">
      <c r="A27" s="19">
        <f t="shared" si="0"/>
        <v>2040</v>
      </c>
      <c r="B27" s="53">
        <f>IF(Table12[[#This Row],[year]]&lt;'Data Input'!$I$4,12*'Data Input'!$B$24*(1+'Data Input'!$E$29)^(Table12[[#This Row],[year]]-'Data Input'!$I$3),12*'Data Input'!$B$35*(1+'Data Input'!$E$38)^(Table12[[#This Row],[year]]-'Data Input'!$I$4))</f>
        <v>5974.6361268044229</v>
      </c>
      <c r="C27" s="53">
        <f>IF(Table12[[#This Row],[year]]&lt;'Data Input'!$I$4,12*'Data Input'!$C$24*(1+'Data Input'!$E$29)^(Table12[[#This Row],[year]]-'Data Input'!$I$3),12*'Data Input'!$C$35*(1+'Data Input'!$E$38)^(Table12[[#This Row],[year]]-'Data Input'!$I$4))</f>
        <v>3734.147579252764</v>
      </c>
      <c r="D27" s="53">
        <f>ROUNDDOWN('Student Loans'!B30+'Credit Card Debt'!B30,2)</f>
        <v>0</v>
      </c>
      <c r="E27" s="53">
        <f>MIN('Data Input'!$C$12+'Data Input'!$F$12,'Main Info'!B26*'Data Input'!$C$11+'Main Info'!E26*'Data Input'!$F$11+'Data Input'!$C$10+'Data Input'!$F$10)</f>
        <v>0</v>
      </c>
      <c r="F27" s="53">
        <f>12*'Data Input'!F85+12*100</f>
        <v>1200</v>
      </c>
      <c r="G27" s="53">
        <f>IF(Table12[[#This Row],[year]]&lt;'Data Input'!$I$4,12*'Data Input'!$G$24*(1+'Data Input'!$E$29)^(Table12[[#This Row],[year]]-'Data Input'!$I$3),12*'Data Input'!$G$35*(1+'Data Input'!$E$38)^(Table12[[#This Row],[year]]-'Data Input'!$I$4))</f>
        <v>1493.6590317011057</v>
      </c>
      <c r="H27" s="55">
        <f>IF(Table12[[#This Row],[year]]&lt;'Data Input'!$I$4,12*'Data Input'!$H$24*(1+'Data Input'!$E$29)^(Table12[[#This Row],[year]]-'Data Input'!$I$3),12*'Data Input'!$H$35*(1+'Data Input'!$E$38)^(Table12[[#This Row],[year]]-'Data Input'!$I$4))</f>
        <v>896.19541902066339</v>
      </c>
      <c r="I27" s="53">
        <f>IF(Table12[[#This Row],[year]]&lt;'Data Input'!$I$4,12*'Data Input'!$I$24*(1+'Data Input'!$E$29)^(Table12[[#This Row],[year]]-'Data Input'!$I$3),12*'Data Input'!$I$35*(1+'Data Input'!$E$38)^(Table12[[#This Row],[year]]-'Data Input'!$I$4))</f>
        <v>3734.147579252764</v>
      </c>
      <c r="J27" s="53">
        <f>IF(Table12[[#This Row],[year]]&lt;'Data Input'!$I$4,12*'Data Input'!$J$24*(1+'Data Input'!$E$29)^(Table12[[#This Row],[year]]-'Data Input'!$I$3),12*'Data Input'!$J$35*(1+'Data Input'!$E$38)^(Table12[[#This Row],[year]]-'Data Input'!$I$4))</f>
        <v>7468.295158505528</v>
      </c>
      <c r="K27" s="53">
        <f>IF(Table12[[#This Row],[year]]&lt;'Data Input'!$I$4,12*'Data Input'!$K$24*(1+'Data Input'!$E$29)^(Table12[[#This Row],[year]]-'Data Input'!$I$3),12*'Data Input'!$K$35*(1+'Data Input'!$E$38)^(Table12[[#This Row],[year]]-'Data Input'!$I$4))</f>
        <v>1493.6590317011057</v>
      </c>
      <c r="L27" s="53">
        <f>IF(Table12[[#This Row],[year]]&lt;'Data Input'!$I$4,12*'Data Input'!$L$24*(1+'Data Input'!$E$29)^(Table12[[#This Row],[year]]-'Data Input'!$I$3),12*'Data Input'!$L$35*(1+'Data Input'!$E$38)^(Table12[[#This Row],[year]]-'Data Input'!$I$4))</f>
        <v>1493.6590317011057</v>
      </c>
      <c r="M27" s="53">
        <f>IF(Table12[[#This Row],[year]]&lt;'Data Input'!$I$4,12*'Data Input'!$M$24*(1+'Data Input'!$E$29)^(Table12[[#This Row],[year]]-'Data Input'!$I$3),12*'Data Input'!$M$35*(1+'Data Input'!$E$38)^(Table12[[#This Row],[year]]-'Data Input'!$I$4))</f>
        <v>2987.3180634022115</v>
      </c>
      <c r="N27" s="55">
        <f>IF(Table12[[#This Row],[year]]&lt;'Data Input'!$I$4,12*'Data Input'!$N$24,12*'Data Input'!$N$35)</f>
        <v>2400</v>
      </c>
      <c r="O27" s="53">
        <f>IF(Table12[[#This Row],[year]]&lt;'Data Input'!$I$4,12*'Data Input'!$O$24*(1+'Data Input'!$E$29)^(Table12[[#This Row],[year]]-'Data Input'!$I$3),12*'Data Input'!$O$35*(1+'Data Input'!$E$38)^(Table12[[#This Row],[year]]-'Data Input'!$I$4))</f>
        <v>1493.6590317011057</v>
      </c>
      <c r="P27" s="53">
        <f>IF(Table12[[#This Row],[year]]&lt;'Data Input'!$I$4,12*'Data Input'!$P$24*(1+'Data Input'!$E$29)^(Table12[[#This Row],[year]]-'Data Input'!$I$3),12*'Data Input'!$P$35*(1+'Data Input'!$E$38)^(Table12[[#This Row],[year]]-'Data Input'!$I$4))</f>
        <v>7468.295158505528</v>
      </c>
      <c r="Q27" s="53">
        <f>IF(Table12[[#This Row],[year]]&lt;'Data Input'!$I$4,12*'Data Input'!$Q$24*(1+'Data Input'!$E$29)^(Table12[[#This Row],[year]]-'Data Input'!$I$3),12*'Data Input'!$Q$35*(1+'Data Input'!$E$38)^(Table12[[#This Row],[year]]-'Data Input'!$I$4))</f>
        <v>1493.6590317011057</v>
      </c>
      <c r="R27" s="53">
        <f>IF(Table12[[#This Row],[year]]&lt;'Data Input'!$I$4,12*'Data Input'!$R$24*(1+'Data Input'!$E$29)^(Table12[[#This Row],[year]]-'Data Input'!$I$3),12*'Data Input'!$R$35*(1+'Data Input'!$E$38)^(Table12[[#This Row],[year]]-'Data Input'!$I$4))</f>
        <v>2987.3180634022115</v>
      </c>
      <c r="S27" s="53">
        <f>IF(Table12[[#This Row],[year]]&lt;'Data Input'!$I$4,12*'Data Input'!$S$24*(1+'Data Input'!$E$29)^(Table12[[#This Row],[year]]-'Data Input'!$I$3),12*'Data Input'!$S$35*(1+'Data Input'!$E$38)^(Table12[[#This Row],[year]]-'Data Input'!$I$4))</f>
        <v>1493.6590317011057</v>
      </c>
      <c r="T27" s="55">
        <f>SUM(Table12[[#This Row],[Utilities]:[Misc. Housing costs]])</f>
        <v>47812.30733835273</v>
      </c>
      <c r="U27" s="54">
        <f>Table12[[#This Row],[Total]]/12</f>
        <v>3984.3589448627276</v>
      </c>
    </row>
    <row r="28" spans="1:21">
      <c r="A28" s="19">
        <f t="shared" si="0"/>
        <v>2041</v>
      </c>
      <c r="B28" s="53">
        <f>IF(Table12[[#This Row],[year]]&lt;'Data Input'!$I$4,12*'Data Input'!$B$24*(1+'Data Input'!$E$29)^(Table12[[#This Row],[year]]-'Data Input'!$I$3),12*'Data Input'!$B$35*(1+'Data Input'!$E$38)^(Table12[[#This Row],[year]]-'Data Input'!$I$4))</f>
        <v>6034.382488072466</v>
      </c>
      <c r="C28" s="53">
        <f>IF(Table12[[#This Row],[year]]&lt;'Data Input'!$I$4,12*'Data Input'!$C$24*(1+'Data Input'!$E$29)^(Table12[[#This Row],[year]]-'Data Input'!$I$3),12*'Data Input'!$C$35*(1+'Data Input'!$E$38)^(Table12[[#This Row],[year]]-'Data Input'!$I$4))</f>
        <v>3771.489055045291</v>
      </c>
      <c r="D28" s="53">
        <f>ROUNDDOWN('Student Loans'!B31+'Credit Card Debt'!B31,2)</f>
        <v>0</v>
      </c>
      <c r="E28" s="53">
        <f>MIN('Data Input'!$C$12+'Data Input'!$F$12,'Main Info'!B27*'Data Input'!$C$11+'Main Info'!E27*'Data Input'!$F$11+'Data Input'!$C$10+'Data Input'!$F$10)</f>
        <v>0</v>
      </c>
      <c r="F28" s="53">
        <f>12*'Data Input'!F86+12*100</f>
        <v>1200</v>
      </c>
      <c r="G28" s="53">
        <f>IF(Table12[[#This Row],[year]]&lt;'Data Input'!$I$4,12*'Data Input'!$G$24*(1+'Data Input'!$E$29)^(Table12[[#This Row],[year]]-'Data Input'!$I$3),12*'Data Input'!$G$35*(1+'Data Input'!$E$38)^(Table12[[#This Row],[year]]-'Data Input'!$I$4))</f>
        <v>1508.5956220181165</v>
      </c>
      <c r="H28" s="55">
        <f>IF(Table12[[#This Row],[year]]&lt;'Data Input'!$I$4,12*'Data Input'!$H$24*(1+'Data Input'!$E$29)^(Table12[[#This Row],[year]]-'Data Input'!$I$3),12*'Data Input'!$H$35*(1+'Data Input'!$E$38)^(Table12[[#This Row],[year]]-'Data Input'!$I$4))</f>
        <v>905.15737321086988</v>
      </c>
      <c r="I28" s="53">
        <f>IF(Table12[[#This Row],[year]]&lt;'Data Input'!$I$4,12*'Data Input'!$I$24*(1+'Data Input'!$E$29)^(Table12[[#This Row],[year]]-'Data Input'!$I$3),12*'Data Input'!$I$35*(1+'Data Input'!$E$38)^(Table12[[#This Row],[year]]-'Data Input'!$I$4))</f>
        <v>3771.489055045291</v>
      </c>
      <c r="J28" s="53">
        <f>IF(Table12[[#This Row],[year]]&lt;'Data Input'!$I$4,12*'Data Input'!$J$24*(1+'Data Input'!$E$29)^(Table12[[#This Row],[year]]-'Data Input'!$I$3),12*'Data Input'!$J$35*(1+'Data Input'!$E$38)^(Table12[[#This Row],[year]]-'Data Input'!$I$4))</f>
        <v>7542.978110090582</v>
      </c>
      <c r="K28" s="53">
        <f>IF(Table12[[#This Row],[year]]&lt;'Data Input'!$I$4,12*'Data Input'!$K$24*(1+'Data Input'!$E$29)^(Table12[[#This Row],[year]]-'Data Input'!$I$3),12*'Data Input'!$K$35*(1+'Data Input'!$E$38)^(Table12[[#This Row],[year]]-'Data Input'!$I$4))</f>
        <v>1508.5956220181165</v>
      </c>
      <c r="L28" s="53">
        <f>IF(Table12[[#This Row],[year]]&lt;'Data Input'!$I$4,12*'Data Input'!$L$24*(1+'Data Input'!$E$29)^(Table12[[#This Row],[year]]-'Data Input'!$I$3),12*'Data Input'!$L$35*(1+'Data Input'!$E$38)^(Table12[[#This Row],[year]]-'Data Input'!$I$4))</f>
        <v>1508.5956220181165</v>
      </c>
      <c r="M28" s="53">
        <f>IF(Table12[[#This Row],[year]]&lt;'Data Input'!$I$4,12*'Data Input'!$M$24*(1+'Data Input'!$E$29)^(Table12[[#This Row],[year]]-'Data Input'!$I$3),12*'Data Input'!$M$35*(1+'Data Input'!$E$38)^(Table12[[#This Row],[year]]-'Data Input'!$I$4))</f>
        <v>3017.191244036233</v>
      </c>
      <c r="N28" s="55">
        <f>IF(Table12[[#This Row],[year]]&lt;'Data Input'!$I$4,12*'Data Input'!$N$24,12*'Data Input'!$N$35)</f>
        <v>2400</v>
      </c>
      <c r="O28" s="53">
        <f>IF(Table12[[#This Row],[year]]&lt;'Data Input'!$I$4,12*'Data Input'!$O$24*(1+'Data Input'!$E$29)^(Table12[[#This Row],[year]]-'Data Input'!$I$3),12*'Data Input'!$O$35*(1+'Data Input'!$E$38)^(Table12[[#This Row],[year]]-'Data Input'!$I$4))</f>
        <v>1508.5956220181165</v>
      </c>
      <c r="P28" s="53">
        <f>IF(Table12[[#This Row],[year]]&lt;'Data Input'!$I$4,12*'Data Input'!$P$24*(1+'Data Input'!$E$29)^(Table12[[#This Row],[year]]-'Data Input'!$I$3),12*'Data Input'!$P$35*(1+'Data Input'!$E$38)^(Table12[[#This Row],[year]]-'Data Input'!$I$4))</f>
        <v>7542.978110090582</v>
      </c>
      <c r="Q28" s="53">
        <f>IF(Table12[[#This Row],[year]]&lt;'Data Input'!$I$4,12*'Data Input'!$Q$24*(1+'Data Input'!$E$29)^(Table12[[#This Row],[year]]-'Data Input'!$I$3),12*'Data Input'!$Q$35*(1+'Data Input'!$E$38)^(Table12[[#This Row],[year]]-'Data Input'!$I$4))</f>
        <v>1508.5956220181165</v>
      </c>
      <c r="R28" s="53">
        <f>IF(Table12[[#This Row],[year]]&lt;'Data Input'!$I$4,12*'Data Input'!$R$24*(1+'Data Input'!$E$29)^(Table12[[#This Row],[year]]-'Data Input'!$I$3),12*'Data Input'!$R$35*(1+'Data Input'!$E$38)^(Table12[[#This Row],[year]]-'Data Input'!$I$4))</f>
        <v>3017.191244036233</v>
      </c>
      <c r="S28" s="53">
        <f>IF(Table12[[#This Row],[year]]&lt;'Data Input'!$I$4,12*'Data Input'!$S$24*(1+'Data Input'!$E$29)^(Table12[[#This Row],[year]]-'Data Input'!$I$3),12*'Data Input'!$S$35*(1+'Data Input'!$E$38)^(Table12[[#This Row],[year]]-'Data Input'!$I$4))</f>
        <v>1508.5956220181165</v>
      </c>
      <c r="T28" s="55">
        <f>SUM(Table12[[#This Row],[Utilities]:[Misc. Housing costs]])</f>
        <v>48254.430411736255</v>
      </c>
      <c r="U28" s="54">
        <f>Table12[[#This Row],[Total]]/12</f>
        <v>4021.2025343113546</v>
      </c>
    </row>
    <row r="29" spans="1:21">
      <c r="A29" s="19">
        <f t="shared" si="0"/>
        <v>2042</v>
      </c>
      <c r="B29" s="53">
        <f>IF(Table12[[#This Row],[year]]&lt;'Data Input'!$I$4,12*'Data Input'!$B$24*(1+'Data Input'!$E$29)^(Table12[[#This Row],[year]]-'Data Input'!$I$3),12*'Data Input'!$B$35*(1+'Data Input'!$E$38)^(Table12[[#This Row],[year]]-'Data Input'!$I$4))</f>
        <v>6094.7263129531921</v>
      </c>
      <c r="C29" s="53">
        <f>IF(Table12[[#This Row],[year]]&lt;'Data Input'!$I$4,12*'Data Input'!$C$24*(1+'Data Input'!$E$29)^(Table12[[#This Row],[year]]-'Data Input'!$I$3),12*'Data Input'!$C$35*(1+'Data Input'!$E$38)^(Table12[[#This Row],[year]]-'Data Input'!$I$4))</f>
        <v>3809.2039455957452</v>
      </c>
      <c r="D29" s="53">
        <f>ROUNDDOWN('Student Loans'!B32+'Credit Card Debt'!B32,2)</f>
        <v>0</v>
      </c>
      <c r="E29" s="53">
        <f>MIN('Data Input'!$C$12+'Data Input'!$F$12,'Main Info'!B28*'Data Input'!$C$11+'Main Info'!E28*'Data Input'!$F$11+'Data Input'!$C$10+'Data Input'!$F$10)</f>
        <v>0</v>
      </c>
      <c r="F29" s="53">
        <f>12*'Data Input'!F87+12*100</f>
        <v>1200</v>
      </c>
      <c r="G29" s="53">
        <f>IF(Table12[[#This Row],[year]]&lt;'Data Input'!$I$4,12*'Data Input'!$G$24*(1+'Data Input'!$E$29)^(Table12[[#This Row],[year]]-'Data Input'!$I$3),12*'Data Input'!$G$35*(1+'Data Input'!$E$38)^(Table12[[#This Row],[year]]-'Data Input'!$I$4))</f>
        <v>1523.681578238298</v>
      </c>
      <c r="H29" s="55">
        <f>IF(Table12[[#This Row],[year]]&lt;'Data Input'!$I$4,12*'Data Input'!$H$24*(1+'Data Input'!$E$29)^(Table12[[#This Row],[year]]-'Data Input'!$I$3),12*'Data Input'!$H$35*(1+'Data Input'!$E$38)^(Table12[[#This Row],[year]]-'Data Input'!$I$4))</f>
        <v>914.20894694297874</v>
      </c>
      <c r="I29" s="53">
        <f>IF(Table12[[#This Row],[year]]&lt;'Data Input'!$I$4,12*'Data Input'!$I$24*(1+'Data Input'!$E$29)^(Table12[[#This Row],[year]]-'Data Input'!$I$3),12*'Data Input'!$I$35*(1+'Data Input'!$E$38)^(Table12[[#This Row],[year]]-'Data Input'!$I$4))</f>
        <v>3809.2039455957452</v>
      </c>
      <c r="J29" s="53">
        <f>IF(Table12[[#This Row],[year]]&lt;'Data Input'!$I$4,12*'Data Input'!$J$24*(1+'Data Input'!$E$29)^(Table12[[#This Row],[year]]-'Data Input'!$I$3),12*'Data Input'!$J$35*(1+'Data Input'!$E$38)^(Table12[[#This Row],[year]]-'Data Input'!$I$4))</f>
        <v>7618.4078911914903</v>
      </c>
      <c r="K29" s="53">
        <f>IF(Table12[[#This Row],[year]]&lt;'Data Input'!$I$4,12*'Data Input'!$K$24*(1+'Data Input'!$E$29)^(Table12[[#This Row],[year]]-'Data Input'!$I$3),12*'Data Input'!$K$35*(1+'Data Input'!$E$38)^(Table12[[#This Row],[year]]-'Data Input'!$I$4))</f>
        <v>1523.681578238298</v>
      </c>
      <c r="L29" s="53">
        <f>IF(Table12[[#This Row],[year]]&lt;'Data Input'!$I$4,12*'Data Input'!$L$24*(1+'Data Input'!$E$29)^(Table12[[#This Row],[year]]-'Data Input'!$I$3),12*'Data Input'!$L$35*(1+'Data Input'!$E$38)^(Table12[[#This Row],[year]]-'Data Input'!$I$4))</f>
        <v>1523.681578238298</v>
      </c>
      <c r="M29" s="53">
        <f>IF(Table12[[#This Row],[year]]&lt;'Data Input'!$I$4,12*'Data Input'!$M$24*(1+'Data Input'!$E$29)^(Table12[[#This Row],[year]]-'Data Input'!$I$3),12*'Data Input'!$M$35*(1+'Data Input'!$E$38)^(Table12[[#This Row],[year]]-'Data Input'!$I$4))</f>
        <v>3047.363156476596</v>
      </c>
      <c r="N29" s="55">
        <f>IF(Table12[[#This Row],[year]]&lt;'Data Input'!$I$4,12*'Data Input'!$N$24,12*'Data Input'!$N$35)</f>
        <v>2400</v>
      </c>
      <c r="O29" s="53">
        <f>IF(Table12[[#This Row],[year]]&lt;'Data Input'!$I$4,12*'Data Input'!$O$24*(1+'Data Input'!$E$29)^(Table12[[#This Row],[year]]-'Data Input'!$I$3),12*'Data Input'!$O$35*(1+'Data Input'!$E$38)^(Table12[[#This Row],[year]]-'Data Input'!$I$4))</f>
        <v>1523.681578238298</v>
      </c>
      <c r="P29" s="53">
        <f>IF(Table12[[#This Row],[year]]&lt;'Data Input'!$I$4,12*'Data Input'!$P$24*(1+'Data Input'!$E$29)^(Table12[[#This Row],[year]]-'Data Input'!$I$3),12*'Data Input'!$P$35*(1+'Data Input'!$E$38)^(Table12[[#This Row],[year]]-'Data Input'!$I$4))</f>
        <v>7618.4078911914903</v>
      </c>
      <c r="Q29" s="53">
        <f>IF(Table12[[#This Row],[year]]&lt;'Data Input'!$I$4,12*'Data Input'!$Q$24*(1+'Data Input'!$E$29)^(Table12[[#This Row],[year]]-'Data Input'!$I$3),12*'Data Input'!$Q$35*(1+'Data Input'!$E$38)^(Table12[[#This Row],[year]]-'Data Input'!$I$4))</f>
        <v>1523.681578238298</v>
      </c>
      <c r="R29" s="53">
        <f>IF(Table12[[#This Row],[year]]&lt;'Data Input'!$I$4,12*'Data Input'!$R$24*(1+'Data Input'!$E$29)^(Table12[[#This Row],[year]]-'Data Input'!$I$3),12*'Data Input'!$R$35*(1+'Data Input'!$E$38)^(Table12[[#This Row],[year]]-'Data Input'!$I$4))</f>
        <v>3047.363156476596</v>
      </c>
      <c r="S29" s="53">
        <f>IF(Table12[[#This Row],[year]]&lt;'Data Input'!$I$4,12*'Data Input'!$S$24*(1+'Data Input'!$E$29)^(Table12[[#This Row],[year]]-'Data Input'!$I$3),12*'Data Input'!$S$35*(1+'Data Input'!$E$38)^(Table12[[#This Row],[year]]-'Data Input'!$I$4))</f>
        <v>1523.681578238298</v>
      </c>
      <c r="T29" s="55">
        <f>SUM(Table12[[#This Row],[Utilities]:[Misc. Housing costs]])</f>
        <v>48700.974715853627</v>
      </c>
      <c r="U29" s="54">
        <f>Table12[[#This Row],[Total]]/12</f>
        <v>4058.414559654469</v>
      </c>
    </row>
    <row r="30" spans="1:21">
      <c r="A30" s="19">
        <f t="shared" si="0"/>
        <v>2043</v>
      </c>
      <c r="B30" s="53">
        <f>IF(Table12[[#This Row],[year]]&lt;'Data Input'!$I$4,12*'Data Input'!$B$24*(1+'Data Input'!$E$29)^(Table12[[#This Row],[year]]-'Data Input'!$I$3),12*'Data Input'!$B$35*(1+'Data Input'!$E$38)^(Table12[[#This Row],[year]]-'Data Input'!$I$4))</f>
        <v>6155.6735760827241</v>
      </c>
      <c r="C30" s="53">
        <f>IF(Table12[[#This Row],[year]]&lt;'Data Input'!$I$4,12*'Data Input'!$C$24*(1+'Data Input'!$E$29)^(Table12[[#This Row],[year]]-'Data Input'!$I$3),12*'Data Input'!$C$35*(1+'Data Input'!$E$38)^(Table12[[#This Row],[year]]-'Data Input'!$I$4))</f>
        <v>3847.2959850517027</v>
      </c>
      <c r="D30" s="53">
        <f>ROUNDDOWN('Student Loans'!B33+'Credit Card Debt'!B33,2)</f>
        <v>0</v>
      </c>
      <c r="E30" s="53">
        <f>MIN('Data Input'!$C$12+'Data Input'!$F$12,'Main Info'!B29*'Data Input'!$C$11+'Main Info'!E29*'Data Input'!$F$11+'Data Input'!$C$10+'Data Input'!$F$10)</f>
        <v>0</v>
      </c>
      <c r="F30" s="53">
        <f>12*'Data Input'!F88+12*100</f>
        <v>1200</v>
      </c>
      <c r="G30" s="53">
        <f>IF(Table12[[#This Row],[year]]&lt;'Data Input'!$I$4,12*'Data Input'!$G$24*(1+'Data Input'!$E$29)^(Table12[[#This Row],[year]]-'Data Input'!$I$3),12*'Data Input'!$G$35*(1+'Data Input'!$E$38)^(Table12[[#This Row],[year]]-'Data Input'!$I$4))</f>
        <v>1538.918394020681</v>
      </c>
      <c r="H30" s="55">
        <f>IF(Table12[[#This Row],[year]]&lt;'Data Input'!$I$4,12*'Data Input'!$H$24*(1+'Data Input'!$E$29)^(Table12[[#This Row],[year]]-'Data Input'!$I$3),12*'Data Input'!$H$35*(1+'Data Input'!$E$38)^(Table12[[#This Row],[year]]-'Data Input'!$I$4))</f>
        <v>923.35103641240869</v>
      </c>
      <c r="I30" s="53">
        <f>IF(Table12[[#This Row],[year]]&lt;'Data Input'!$I$4,12*'Data Input'!$I$24*(1+'Data Input'!$E$29)^(Table12[[#This Row],[year]]-'Data Input'!$I$3),12*'Data Input'!$I$35*(1+'Data Input'!$E$38)^(Table12[[#This Row],[year]]-'Data Input'!$I$4))</f>
        <v>3847.2959850517027</v>
      </c>
      <c r="J30" s="53">
        <f>IF(Table12[[#This Row],[year]]&lt;'Data Input'!$I$4,12*'Data Input'!$J$24*(1+'Data Input'!$E$29)^(Table12[[#This Row],[year]]-'Data Input'!$I$3),12*'Data Input'!$J$35*(1+'Data Input'!$E$38)^(Table12[[#This Row],[year]]-'Data Input'!$I$4))</f>
        <v>7694.5919701034054</v>
      </c>
      <c r="K30" s="53">
        <f>IF(Table12[[#This Row],[year]]&lt;'Data Input'!$I$4,12*'Data Input'!$K$24*(1+'Data Input'!$E$29)^(Table12[[#This Row],[year]]-'Data Input'!$I$3),12*'Data Input'!$K$35*(1+'Data Input'!$E$38)^(Table12[[#This Row],[year]]-'Data Input'!$I$4))</f>
        <v>1538.918394020681</v>
      </c>
      <c r="L30" s="53">
        <f>IF(Table12[[#This Row],[year]]&lt;'Data Input'!$I$4,12*'Data Input'!$L$24*(1+'Data Input'!$E$29)^(Table12[[#This Row],[year]]-'Data Input'!$I$3),12*'Data Input'!$L$35*(1+'Data Input'!$E$38)^(Table12[[#This Row],[year]]-'Data Input'!$I$4))</f>
        <v>1538.918394020681</v>
      </c>
      <c r="M30" s="53">
        <f>IF(Table12[[#This Row],[year]]&lt;'Data Input'!$I$4,12*'Data Input'!$M$24*(1+'Data Input'!$E$29)^(Table12[[#This Row],[year]]-'Data Input'!$I$3),12*'Data Input'!$M$35*(1+'Data Input'!$E$38)^(Table12[[#This Row],[year]]-'Data Input'!$I$4))</f>
        <v>3077.8367880413621</v>
      </c>
      <c r="N30" s="55">
        <f>IF(Table12[[#This Row],[year]]&lt;'Data Input'!$I$4,12*'Data Input'!$N$24,12*'Data Input'!$N$35)</f>
        <v>2400</v>
      </c>
      <c r="O30" s="53">
        <f>IF(Table12[[#This Row],[year]]&lt;'Data Input'!$I$4,12*'Data Input'!$O$24*(1+'Data Input'!$E$29)^(Table12[[#This Row],[year]]-'Data Input'!$I$3),12*'Data Input'!$O$35*(1+'Data Input'!$E$38)^(Table12[[#This Row],[year]]-'Data Input'!$I$4))</f>
        <v>1538.918394020681</v>
      </c>
      <c r="P30" s="53">
        <f>IF(Table12[[#This Row],[year]]&lt;'Data Input'!$I$4,12*'Data Input'!$P$24*(1+'Data Input'!$E$29)^(Table12[[#This Row],[year]]-'Data Input'!$I$3),12*'Data Input'!$P$35*(1+'Data Input'!$E$38)^(Table12[[#This Row],[year]]-'Data Input'!$I$4))</f>
        <v>7694.5919701034054</v>
      </c>
      <c r="Q30" s="53">
        <f>IF(Table12[[#This Row],[year]]&lt;'Data Input'!$I$4,12*'Data Input'!$Q$24*(1+'Data Input'!$E$29)^(Table12[[#This Row],[year]]-'Data Input'!$I$3),12*'Data Input'!$Q$35*(1+'Data Input'!$E$38)^(Table12[[#This Row],[year]]-'Data Input'!$I$4))</f>
        <v>1538.918394020681</v>
      </c>
      <c r="R30" s="53">
        <f>IF(Table12[[#This Row],[year]]&lt;'Data Input'!$I$4,12*'Data Input'!$R$24*(1+'Data Input'!$E$29)^(Table12[[#This Row],[year]]-'Data Input'!$I$3),12*'Data Input'!$R$35*(1+'Data Input'!$E$38)^(Table12[[#This Row],[year]]-'Data Input'!$I$4))</f>
        <v>3077.8367880413621</v>
      </c>
      <c r="S30" s="53">
        <f>IF(Table12[[#This Row],[year]]&lt;'Data Input'!$I$4,12*'Data Input'!$S$24*(1+'Data Input'!$E$29)^(Table12[[#This Row],[year]]-'Data Input'!$I$3),12*'Data Input'!$S$35*(1+'Data Input'!$E$38)^(Table12[[#This Row],[year]]-'Data Input'!$I$4))</f>
        <v>1538.918394020681</v>
      </c>
      <c r="T30" s="55">
        <f>SUM(Table12[[#This Row],[Utilities]:[Misc. Housing costs]])</f>
        <v>49151.984463012159</v>
      </c>
      <c r="U30" s="54">
        <f>Table12[[#This Row],[Total]]/12</f>
        <v>4095.9987052510132</v>
      </c>
    </row>
    <row r="31" spans="1:21">
      <c r="A31" s="19">
        <f t="shared" si="0"/>
        <v>2044</v>
      </c>
      <c r="B31" s="53">
        <f>IF(Table12[[#This Row],[year]]&lt;'Data Input'!$I$4,12*'Data Input'!$B$24*(1+'Data Input'!$E$29)^(Table12[[#This Row],[year]]-'Data Input'!$I$3),12*'Data Input'!$B$35*(1+'Data Input'!$E$38)^(Table12[[#This Row],[year]]-'Data Input'!$I$4))</f>
        <v>6217.2303118435511</v>
      </c>
      <c r="C31" s="53">
        <f>IF(Table12[[#This Row],[year]]&lt;'Data Input'!$I$4,12*'Data Input'!$C$24*(1+'Data Input'!$E$29)^(Table12[[#This Row],[year]]-'Data Input'!$I$3),12*'Data Input'!$C$35*(1+'Data Input'!$E$38)^(Table12[[#This Row],[year]]-'Data Input'!$I$4))</f>
        <v>3885.7689449022196</v>
      </c>
      <c r="D31" s="53">
        <f>ROUNDDOWN('Student Loans'!B34+'Credit Card Debt'!B34,2)</f>
        <v>0</v>
      </c>
      <c r="E31" s="53">
        <f>MIN('Data Input'!$C$12+'Data Input'!$F$12,'Main Info'!B30*'Data Input'!$C$11+'Main Info'!E30*'Data Input'!$F$11+'Data Input'!$C$10+'Data Input'!$F$10)</f>
        <v>0</v>
      </c>
      <c r="F31" s="53">
        <f>12*'Data Input'!F89+12*100</f>
        <v>1200</v>
      </c>
      <c r="G31" s="53">
        <f>IF(Table12[[#This Row],[year]]&lt;'Data Input'!$I$4,12*'Data Input'!$G$24*(1+'Data Input'!$E$29)^(Table12[[#This Row],[year]]-'Data Input'!$I$3),12*'Data Input'!$G$35*(1+'Data Input'!$E$38)^(Table12[[#This Row],[year]]-'Data Input'!$I$4))</f>
        <v>1554.3075779608878</v>
      </c>
      <c r="H31" s="55">
        <f>IF(Table12[[#This Row],[year]]&lt;'Data Input'!$I$4,12*'Data Input'!$H$24*(1+'Data Input'!$E$29)^(Table12[[#This Row],[year]]-'Data Input'!$I$3),12*'Data Input'!$H$35*(1+'Data Input'!$E$38)^(Table12[[#This Row],[year]]-'Data Input'!$I$4))</f>
        <v>932.58454677653276</v>
      </c>
      <c r="I31" s="53">
        <f>IF(Table12[[#This Row],[year]]&lt;'Data Input'!$I$4,12*'Data Input'!$I$24*(1+'Data Input'!$E$29)^(Table12[[#This Row],[year]]-'Data Input'!$I$3),12*'Data Input'!$I$35*(1+'Data Input'!$E$38)^(Table12[[#This Row],[year]]-'Data Input'!$I$4))</f>
        <v>3885.7689449022196</v>
      </c>
      <c r="J31" s="53">
        <f>IF(Table12[[#This Row],[year]]&lt;'Data Input'!$I$4,12*'Data Input'!$J$24*(1+'Data Input'!$E$29)^(Table12[[#This Row],[year]]-'Data Input'!$I$3),12*'Data Input'!$J$35*(1+'Data Input'!$E$38)^(Table12[[#This Row],[year]]-'Data Input'!$I$4))</f>
        <v>7771.5378898044391</v>
      </c>
      <c r="K31" s="53">
        <f>IF(Table12[[#This Row],[year]]&lt;'Data Input'!$I$4,12*'Data Input'!$K$24*(1+'Data Input'!$E$29)^(Table12[[#This Row],[year]]-'Data Input'!$I$3),12*'Data Input'!$K$35*(1+'Data Input'!$E$38)^(Table12[[#This Row],[year]]-'Data Input'!$I$4))</f>
        <v>1554.3075779608878</v>
      </c>
      <c r="L31" s="53">
        <f>IF(Table12[[#This Row],[year]]&lt;'Data Input'!$I$4,12*'Data Input'!$L$24*(1+'Data Input'!$E$29)^(Table12[[#This Row],[year]]-'Data Input'!$I$3),12*'Data Input'!$L$35*(1+'Data Input'!$E$38)^(Table12[[#This Row],[year]]-'Data Input'!$I$4))</f>
        <v>1554.3075779608878</v>
      </c>
      <c r="M31" s="53">
        <f>IF(Table12[[#This Row],[year]]&lt;'Data Input'!$I$4,12*'Data Input'!$M$24*(1+'Data Input'!$E$29)^(Table12[[#This Row],[year]]-'Data Input'!$I$3),12*'Data Input'!$M$35*(1+'Data Input'!$E$38)^(Table12[[#This Row],[year]]-'Data Input'!$I$4))</f>
        <v>3108.6151559217756</v>
      </c>
      <c r="N31" s="55">
        <f>IF(Table12[[#This Row],[year]]&lt;'Data Input'!$I$4,12*'Data Input'!$N$24,12*'Data Input'!$N$35)</f>
        <v>2400</v>
      </c>
      <c r="O31" s="53">
        <f>IF(Table12[[#This Row],[year]]&lt;'Data Input'!$I$4,12*'Data Input'!$O$24*(1+'Data Input'!$E$29)^(Table12[[#This Row],[year]]-'Data Input'!$I$3),12*'Data Input'!$O$35*(1+'Data Input'!$E$38)^(Table12[[#This Row],[year]]-'Data Input'!$I$4))</f>
        <v>1554.3075779608878</v>
      </c>
      <c r="P31" s="53">
        <f>IF(Table12[[#This Row],[year]]&lt;'Data Input'!$I$4,12*'Data Input'!$P$24*(1+'Data Input'!$E$29)^(Table12[[#This Row],[year]]-'Data Input'!$I$3),12*'Data Input'!$P$35*(1+'Data Input'!$E$38)^(Table12[[#This Row],[year]]-'Data Input'!$I$4))</f>
        <v>7771.5378898044391</v>
      </c>
      <c r="Q31" s="53">
        <f>IF(Table12[[#This Row],[year]]&lt;'Data Input'!$I$4,12*'Data Input'!$Q$24*(1+'Data Input'!$E$29)^(Table12[[#This Row],[year]]-'Data Input'!$I$3),12*'Data Input'!$Q$35*(1+'Data Input'!$E$38)^(Table12[[#This Row],[year]]-'Data Input'!$I$4))</f>
        <v>1554.3075779608878</v>
      </c>
      <c r="R31" s="53">
        <f>IF(Table12[[#This Row],[year]]&lt;'Data Input'!$I$4,12*'Data Input'!$R$24*(1+'Data Input'!$E$29)^(Table12[[#This Row],[year]]-'Data Input'!$I$3),12*'Data Input'!$R$35*(1+'Data Input'!$E$38)^(Table12[[#This Row],[year]]-'Data Input'!$I$4))</f>
        <v>3108.6151559217756</v>
      </c>
      <c r="S31" s="53">
        <f>IF(Table12[[#This Row],[year]]&lt;'Data Input'!$I$4,12*'Data Input'!$S$24*(1+'Data Input'!$E$29)^(Table12[[#This Row],[year]]-'Data Input'!$I$3),12*'Data Input'!$S$35*(1+'Data Input'!$E$38)^(Table12[[#This Row],[year]]-'Data Input'!$I$4))</f>
        <v>1554.3075779608878</v>
      </c>
      <c r="T31" s="55">
        <f>SUM(Table12[[#This Row],[Utilities]:[Misc. Housing costs]])</f>
        <v>49607.504307642266</v>
      </c>
      <c r="U31" s="54">
        <f>Table12[[#This Row],[Total]]/12</f>
        <v>4133.9586923035222</v>
      </c>
    </row>
    <row r="32" spans="1:21">
      <c r="A32" s="19">
        <f t="shared" si="0"/>
        <v>2045</v>
      </c>
      <c r="B32" s="53">
        <f>IF(Table12[[#This Row],[year]]&lt;'Data Input'!$I$4,12*'Data Input'!$B$24*(1+'Data Input'!$E$29)^(Table12[[#This Row],[year]]-'Data Input'!$I$3),12*'Data Input'!$B$35*(1+'Data Input'!$E$38)^(Table12[[#This Row],[year]]-'Data Input'!$I$4))</f>
        <v>6279.4026149619849</v>
      </c>
      <c r="C32" s="53">
        <f>IF(Table12[[#This Row],[year]]&lt;'Data Input'!$I$4,12*'Data Input'!$C$24*(1+'Data Input'!$E$29)^(Table12[[#This Row],[year]]-'Data Input'!$I$3),12*'Data Input'!$C$35*(1+'Data Input'!$E$38)^(Table12[[#This Row],[year]]-'Data Input'!$I$4))</f>
        <v>3924.6266343512407</v>
      </c>
      <c r="D32" s="53">
        <f>ROUNDDOWN('Student Loans'!B35+'Credit Card Debt'!B35,2)</f>
        <v>0</v>
      </c>
      <c r="E32" s="53">
        <f>MIN('Data Input'!$C$12+'Data Input'!$F$12,'Main Info'!B31*'Data Input'!$C$11+'Main Info'!E31*'Data Input'!$F$11+'Data Input'!$C$10+'Data Input'!$F$10)</f>
        <v>0</v>
      </c>
      <c r="F32" s="53">
        <f>12*'Data Input'!F90+12*100</f>
        <v>1200</v>
      </c>
      <c r="G32" s="53">
        <f>IF(Table12[[#This Row],[year]]&lt;'Data Input'!$I$4,12*'Data Input'!$G$24*(1+'Data Input'!$E$29)^(Table12[[#This Row],[year]]-'Data Input'!$I$3),12*'Data Input'!$G$35*(1+'Data Input'!$E$38)^(Table12[[#This Row],[year]]-'Data Input'!$I$4))</f>
        <v>1569.8506537404962</v>
      </c>
      <c r="H32" s="55">
        <f>IF(Table12[[#This Row],[year]]&lt;'Data Input'!$I$4,12*'Data Input'!$H$24*(1+'Data Input'!$E$29)^(Table12[[#This Row],[year]]-'Data Input'!$I$3),12*'Data Input'!$H$35*(1+'Data Input'!$E$38)^(Table12[[#This Row],[year]]-'Data Input'!$I$4))</f>
        <v>941.91039224429778</v>
      </c>
      <c r="I32" s="53">
        <f>IF(Table12[[#This Row],[year]]&lt;'Data Input'!$I$4,12*'Data Input'!$I$24*(1+'Data Input'!$E$29)^(Table12[[#This Row],[year]]-'Data Input'!$I$3),12*'Data Input'!$I$35*(1+'Data Input'!$E$38)^(Table12[[#This Row],[year]]-'Data Input'!$I$4))</f>
        <v>3924.6266343512407</v>
      </c>
      <c r="J32" s="53">
        <f>IF(Table12[[#This Row],[year]]&lt;'Data Input'!$I$4,12*'Data Input'!$J$24*(1+'Data Input'!$E$29)^(Table12[[#This Row],[year]]-'Data Input'!$I$3),12*'Data Input'!$J$35*(1+'Data Input'!$E$38)^(Table12[[#This Row],[year]]-'Data Input'!$I$4))</f>
        <v>7849.2532687024814</v>
      </c>
      <c r="K32" s="53">
        <f>IF(Table12[[#This Row],[year]]&lt;'Data Input'!$I$4,12*'Data Input'!$K$24*(1+'Data Input'!$E$29)^(Table12[[#This Row],[year]]-'Data Input'!$I$3),12*'Data Input'!$K$35*(1+'Data Input'!$E$38)^(Table12[[#This Row],[year]]-'Data Input'!$I$4))</f>
        <v>1569.8506537404962</v>
      </c>
      <c r="L32" s="53">
        <f>IF(Table12[[#This Row],[year]]&lt;'Data Input'!$I$4,12*'Data Input'!$L$24*(1+'Data Input'!$E$29)^(Table12[[#This Row],[year]]-'Data Input'!$I$3),12*'Data Input'!$L$35*(1+'Data Input'!$E$38)^(Table12[[#This Row],[year]]-'Data Input'!$I$4))</f>
        <v>1569.8506537404962</v>
      </c>
      <c r="M32" s="53">
        <f>IF(Table12[[#This Row],[year]]&lt;'Data Input'!$I$4,12*'Data Input'!$M$24*(1+'Data Input'!$E$29)^(Table12[[#This Row],[year]]-'Data Input'!$I$3),12*'Data Input'!$M$35*(1+'Data Input'!$E$38)^(Table12[[#This Row],[year]]-'Data Input'!$I$4))</f>
        <v>3139.7013074809925</v>
      </c>
      <c r="N32" s="55">
        <f>IF(Table12[[#This Row],[year]]&lt;'Data Input'!$I$4,12*'Data Input'!$N$24,12*'Data Input'!$N$35)</f>
        <v>2400</v>
      </c>
      <c r="O32" s="53">
        <f>IF(Table12[[#This Row],[year]]&lt;'Data Input'!$I$4,12*'Data Input'!$O$24*(1+'Data Input'!$E$29)^(Table12[[#This Row],[year]]-'Data Input'!$I$3),12*'Data Input'!$O$35*(1+'Data Input'!$E$38)^(Table12[[#This Row],[year]]-'Data Input'!$I$4))</f>
        <v>1569.8506537404962</v>
      </c>
      <c r="P32" s="53">
        <f>IF(Table12[[#This Row],[year]]&lt;'Data Input'!$I$4,12*'Data Input'!$P$24*(1+'Data Input'!$E$29)^(Table12[[#This Row],[year]]-'Data Input'!$I$3),12*'Data Input'!$P$35*(1+'Data Input'!$E$38)^(Table12[[#This Row],[year]]-'Data Input'!$I$4))</f>
        <v>7849.2532687024814</v>
      </c>
      <c r="Q32" s="53">
        <f>IF(Table12[[#This Row],[year]]&lt;'Data Input'!$I$4,12*'Data Input'!$Q$24*(1+'Data Input'!$E$29)^(Table12[[#This Row],[year]]-'Data Input'!$I$3),12*'Data Input'!$Q$35*(1+'Data Input'!$E$38)^(Table12[[#This Row],[year]]-'Data Input'!$I$4))</f>
        <v>1569.8506537404962</v>
      </c>
      <c r="R32" s="53">
        <f>IF(Table12[[#This Row],[year]]&lt;'Data Input'!$I$4,12*'Data Input'!$R$24*(1+'Data Input'!$E$29)^(Table12[[#This Row],[year]]-'Data Input'!$I$3),12*'Data Input'!$R$35*(1+'Data Input'!$E$38)^(Table12[[#This Row],[year]]-'Data Input'!$I$4))</f>
        <v>3139.7013074809925</v>
      </c>
      <c r="S32" s="53">
        <f>IF(Table12[[#This Row],[year]]&lt;'Data Input'!$I$4,12*'Data Input'!$S$24*(1+'Data Input'!$E$29)^(Table12[[#This Row],[year]]-'Data Input'!$I$3),12*'Data Input'!$S$35*(1+'Data Input'!$E$38)^(Table12[[#This Row],[year]]-'Data Input'!$I$4))</f>
        <v>1569.8506537404962</v>
      </c>
      <c r="T32" s="55">
        <f>SUM(Table12[[#This Row],[Utilities]:[Misc. Housing costs]])</f>
        <v>50067.579350718697</v>
      </c>
      <c r="U32" s="54">
        <f>Table12[[#This Row],[Total]]/12</f>
        <v>4172.2982792265584</v>
      </c>
    </row>
    <row r="33" spans="1:21">
      <c r="A33" s="19">
        <f t="shared" si="0"/>
        <v>2046</v>
      </c>
      <c r="B33" s="53">
        <f>IF(Table12[[#This Row],[year]]&lt;'Data Input'!$I$4,12*'Data Input'!$B$24*(1+'Data Input'!$E$29)^(Table12[[#This Row],[year]]-'Data Input'!$I$3),12*'Data Input'!$B$35*(1+'Data Input'!$E$38)^(Table12[[#This Row],[year]]-'Data Input'!$I$4))</f>
        <v>6342.1966411116055</v>
      </c>
      <c r="C33" s="53">
        <f>IF(Table12[[#This Row],[year]]&lt;'Data Input'!$I$4,12*'Data Input'!$C$24*(1+'Data Input'!$E$29)^(Table12[[#This Row],[year]]-'Data Input'!$I$3),12*'Data Input'!$C$35*(1+'Data Input'!$E$38)^(Table12[[#This Row],[year]]-'Data Input'!$I$4))</f>
        <v>3963.8729006947533</v>
      </c>
      <c r="D33" s="53">
        <f>ROUNDDOWN('Student Loans'!B36+'Credit Card Debt'!B36,2)</f>
        <v>0</v>
      </c>
      <c r="E33" s="53">
        <f>MIN('Data Input'!$C$12+'Data Input'!$F$12,'Main Info'!B32*'Data Input'!$C$11+'Main Info'!E32*'Data Input'!$F$11+'Data Input'!$C$10+'Data Input'!$F$10)</f>
        <v>0</v>
      </c>
      <c r="F33" s="53">
        <f>12*'Data Input'!F91+12*100</f>
        <v>1200</v>
      </c>
      <c r="G33" s="53">
        <f>IF(Table12[[#This Row],[year]]&lt;'Data Input'!$I$4,12*'Data Input'!$G$24*(1+'Data Input'!$E$29)^(Table12[[#This Row],[year]]-'Data Input'!$I$3),12*'Data Input'!$G$35*(1+'Data Input'!$E$38)^(Table12[[#This Row],[year]]-'Data Input'!$I$4))</f>
        <v>1585.5491602779014</v>
      </c>
      <c r="H33" s="55">
        <f>IF(Table12[[#This Row],[year]]&lt;'Data Input'!$I$4,12*'Data Input'!$H$24*(1+'Data Input'!$E$29)^(Table12[[#This Row],[year]]-'Data Input'!$I$3),12*'Data Input'!$H$35*(1+'Data Input'!$E$38)^(Table12[[#This Row],[year]]-'Data Input'!$I$4))</f>
        <v>951.3294961667408</v>
      </c>
      <c r="I33" s="53">
        <f>IF(Table12[[#This Row],[year]]&lt;'Data Input'!$I$4,12*'Data Input'!$I$24*(1+'Data Input'!$E$29)^(Table12[[#This Row],[year]]-'Data Input'!$I$3),12*'Data Input'!$I$35*(1+'Data Input'!$E$38)^(Table12[[#This Row],[year]]-'Data Input'!$I$4))</f>
        <v>3963.8729006947533</v>
      </c>
      <c r="J33" s="53">
        <f>IF(Table12[[#This Row],[year]]&lt;'Data Input'!$I$4,12*'Data Input'!$J$24*(1+'Data Input'!$E$29)^(Table12[[#This Row],[year]]-'Data Input'!$I$3),12*'Data Input'!$J$35*(1+'Data Input'!$E$38)^(Table12[[#This Row],[year]]-'Data Input'!$I$4))</f>
        <v>7927.7458013895066</v>
      </c>
      <c r="K33" s="53">
        <f>IF(Table12[[#This Row],[year]]&lt;'Data Input'!$I$4,12*'Data Input'!$K$24*(1+'Data Input'!$E$29)^(Table12[[#This Row],[year]]-'Data Input'!$I$3),12*'Data Input'!$K$35*(1+'Data Input'!$E$38)^(Table12[[#This Row],[year]]-'Data Input'!$I$4))</f>
        <v>1585.5491602779014</v>
      </c>
      <c r="L33" s="53">
        <f>IF(Table12[[#This Row],[year]]&lt;'Data Input'!$I$4,12*'Data Input'!$L$24*(1+'Data Input'!$E$29)^(Table12[[#This Row],[year]]-'Data Input'!$I$3),12*'Data Input'!$L$35*(1+'Data Input'!$E$38)^(Table12[[#This Row],[year]]-'Data Input'!$I$4))</f>
        <v>1585.5491602779014</v>
      </c>
      <c r="M33" s="53">
        <f>IF(Table12[[#This Row],[year]]&lt;'Data Input'!$I$4,12*'Data Input'!$M$24*(1+'Data Input'!$E$29)^(Table12[[#This Row],[year]]-'Data Input'!$I$3),12*'Data Input'!$M$35*(1+'Data Input'!$E$38)^(Table12[[#This Row],[year]]-'Data Input'!$I$4))</f>
        <v>3171.0983205558027</v>
      </c>
      <c r="N33" s="55">
        <f>IF(Table12[[#This Row],[year]]&lt;'Data Input'!$I$4,12*'Data Input'!$N$24,12*'Data Input'!$N$35)</f>
        <v>2400</v>
      </c>
      <c r="O33" s="53">
        <f>IF(Table12[[#This Row],[year]]&lt;'Data Input'!$I$4,12*'Data Input'!$O$24*(1+'Data Input'!$E$29)^(Table12[[#This Row],[year]]-'Data Input'!$I$3),12*'Data Input'!$O$35*(1+'Data Input'!$E$38)^(Table12[[#This Row],[year]]-'Data Input'!$I$4))</f>
        <v>1585.5491602779014</v>
      </c>
      <c r="P33" s="53">
        <f>IF(Table12[[#This Row],[year]]&lt;'Data Input'!$I$4,12*'Data Input'!$P$24*(1+'Data Input'!$E$29)^(Table12[[#This Row],[year]]-'Data Input'!$I$3),12*'Data Input'!$P$35*(1+'Data Input'!$E$38)^(Table12[[#This Row],[year]]-'Data Input'!$I$4))</f>
        <v>7927.7458013895066</v>
      </c>
      <c r="Q33" s="53">
        <f>IF(Table12[[#This Row],[year]]&lt;'Data Input'!$I$4,12*'Data Input'!$Q$24*(1+'Data Input'!$E$29)^(Table12[[#This Row],[year]]-'Data Input'!$I$3),12*'Data Input'!$Q$35*(1+'Data Input'!$E$38)^(Table12[[#This Row],[year]]-'Data Input'!$I$4))</f>
        <v>1585.5491602779014</v>
      </c>
      <c r="R33" s="53">
        <f>IF(Table12[[#This Row],[year]]&lt;'Data Input'!$I$4,12*'Data Input'!$R$24*(1+'Data Input'!$E$29)^(Table12[[#This Row],[year]]-'Data Input'!$I$3),12*'Data Input'!$R$35*(1+'Data Input'!$E$38)^(Table12[[#This Row],[year]]-'Data Input'!$I$4))</f>
        <v>3171.0983205558027</v>
      </c>
      <c r="S33" s="53">
        <f>IF(Table12[[#This Row],[year]]&lt;'Data Input'!$I$4,12*'Data Input'!$S$24*(1+'Data Input'!$E$29)^(Table12[[#This Row],[year]]-'Data Input'!$I$3),12*'Data Input'!$S$35*(1+'Data Input'!$E$38)^(Table12[[#This Row],[year]]-'Data Input'!$I$4))</f>
        <v>1585.5491602779014</v>
      </c>
      <c r="T33" s="55">
        <f>SUM(Table12[[#This Row],[Utilities]:[Misc. Housing costs]])</f>
        <v>50532.255144225877</v>
      </c>
      <c r="U33" s="54">
        <f>Table12[[#This Row],[Total]]/12</f>
        <v>4211.0212620188231</v>
      </c>
    </row>
    <row r="34" spans="1:21">
      <c r="A34" s="19">
        <f t="shared" si="0"/>
        <v>2047</v>
      </c>
      <c r="B34" s="53">
        <f>IF(Table12[[#This Row],[year]]&lt;'Data Input'!$I$4,12*'Data Input'!$B$24*(1+'Data Input'!$E$29)^(Table12[[#This Row],[year]]-'Data Input'!$I$3),12*'Data Input'!$B$35*(1+'Data Input'!$E$38)^(Table12[[#This Row],[year]]-'Data Input'!$I$4))</f>
        <v>6405.6186075227215</v>
      </c>
      <c r="C34" s="53">
        <f>IF(Table12[[#This Row],[year]]&lt;'Data Input'!$I$4,12*'Data Input'!$C$24*(1+'Data Input'!$E$29)^(Table12[[#This Row],[year]]-'Data Input'!$I$3),12*'Data Input'!$C$35*(1+'Data Input'!$E$38)^(Table12[[#This Row],[year]]-'Data Input'!$I$4))</f>
        <v>4003.5116297017012</v>
      </c>
      <c r="D34" s="53">
        <f>ROUNDDOWN('Student Loans'!B37+'Credit Card Debt'!B37,2)</f>
        <v>0</v>
      </c>
      <c r="E34" s="53">
        <f>MIN('Data Input'!$C$12+'Data Input'!$F$12,'Main Info'!B33*'Data Input'!$C$11+'Main Info'!E33*'Data Input'!$F$11+'Data Input'!$C$10+'Data Input'!$F$10)</f>
        <v>0</v>
      </c>
      <c r="F34" s="53">
        <f>12*'Data Input'!F92+12*100</f>
        <v>1200</v>
      </c>
      <c r="G34" s="53">
        <f>IF(Table12[[#This Row],[year]]&lt;'Data Input'!$I$4,12*'Data Input'!$G$24*(1+'Data Input'!$E$29)^(Table12[[#This Row],[year]]-'Data Input'!$I$3),12*'Data Input'!$G$35*(1+'Data Input'!$E$38)^(Table12[[#This Row],[year]]-'Data Input'!$I$4))</f>
        <v>1601.4046518806804</v>
      </c>
      <c r="H34" s="55">
        <f>IF(Table12[[#This Row],[year]]&lt;'Data Input'!$I$4,12*'Data Input'!$H$24*(1+'Data Input'!$E$29)^(Table12[[#This Row],[year]]-'Data Input'!$I$3),12*'Data Input'!$H$35*(1+'Data Input'!$E$38)^(Table12[[#This Row],[year]]-'Data Input'!$I$4))</f>
        <v>960.84279112840829</v>
      </c>
      <c r="I34" s="53">
        <f>IF(Table12[[#This Row],[year]]&lt;'Data Input'!$I$4,12*'Data Input'!$I$24*(1+'Data Input'!$E$29)^(Table12[[#This Row],[year]]-'Data Input'!$I$3),12*'Data Input'!$I$35*(1+'Data Input'!$E$38)^(Table12[[#This Row],[year]]-'Data Input'!$I$4))</f>
        <v>4003.5116297017012</v>
      </c>
      <c r="J34" s="53">
        <f>IF(Table12[[#This Row],[year]]&lt;'Data Input'!$I$4,12*'Data Input'!$J$24*(1+'Data Input'!$E$29)^(Table12[[#This Row],[year]]-'Data Input'!$I$3),12*'Data Input'!$J$35*(1+'Data Input'!$E$38)^(Table12[[#This Row],[year]]-'Data Input'!$I$4))</f>
        <v>8007.0232594034023</v>
      </c>
      <c r="K34" s="53">
        <f>IF(Table12[[#This Row],[year]]&lt;'Data Input'!$I$4,12*'Data Input'!$K$24*(1+'Data Input'!$E$29)^(Table12[[#This Row],[year]]-'Data Input'!$I$3),12*'Data Input'!$K$35*(1+'Data Input'!$E$38)^(Table12[[#This Row],[year]]-'Data Input'!$I$4))</f>
        <v>1601.4046518806804</v>
      </c>
      <c r="L34" s="53">
        <f>IF(Table12[[#This Row],[year]]&lt;'Data Input'!$I$4,12*'Data Input'!$L$24*(1+'Data Input'!$E$29)^(Table12[[#This Row],[year]]-'Data Input'!$I$3),12*'Data Input'!$L$35*(1+'Data Input'!$E$38)^(Table12[[#This Row],[year]]-'Data Input'!$I$4))</f>
        <v>1601.4046518806804</v>
      </c>
      <c r="M34" s="53">
        <f>IF(Table12[[#This Row],[year]]&lt;'Data Input'!$I$4,12*'Data Input'!$M$24*(1+'Data Input'!$E$29)^(Table12[[#This Row],[year]]-'Data Input'!$I$3),12*'Data Input'!$M$35*(1+'Data Input'!$E$38)^(Table12[[#This Row],[year]]-'Data Input'!$I$4))</f>
        <v>3202.8093037613608</v>
      </c>
      <c r="N34" s="55">
        <f>IF(Table12[[#This Row],[year]]&lt;'Data Input'!$I$4,12*'Data Input'!$N$24,12*'Data Input'!$N$35)</f>
        <v>2400</v>
      </c>
      <c r="O34" s="53">
        <f>IF(Table12[[#This Row],[year]]&lt;'Data Input'!$I$4,12*'Data Input'!$O$24*(1+'Data Input'!$E$29)^(Table12[[#This Row],[year]]-'Data Input'!$I$3),12*'Data Input'!$O$35*(1+'Data Input'!$E$38)^(Table12[[#This Row],[year]]-'Data Input'!$I$4))</f>
        <v>1601.4046518806804</v>
      </c>
      <c r="P34" s="53">
        <f>IF(Table12[[#This Row],[year]]&lt;'Data Input'!$I$4,12*'Data Input'!$P$24*(1+'Data Input'!$E$29)^(Table12[[#This Row],[year]]-'Data Input'!$I$3),12*'Data Input'!$P$35*(1+'Data Input'!$E$38)^(Table12[[#This Row],[year]]-'Data Input'!$I$4))</f>
        <v>8007.0232594034023</v>
      </c>
      <c r="Q34" s="53">
        <f>IF(Table12[[#This Row],[year]]&lt;'Data Input'!$I$4,12*'Data Input'!$Q$24*(1+'Data Input'!$E$29)^(Table12[[#This Row],[year]]-'Data Input'!$I$3),12*'Data Input'!$Q$35*(1+'Data Input'!$E$38)^(Table12[[#This Row],[year]]-'Data Input'!$I$4))</f>
        <v>1601.4046518806804</v>
      </c>
      <c r="R34" s="53">
        <f>IF(Table12[[#This Row],[year]]&lt;'Data Input'!$I$4,12*'Data Input'!$R$24*(1+'Data Input'!$E$29)^(Table12[[#This Row],[year]]-'Data Input'!$I$3),12*'Data Input'!$R$35*(1+'Data Input'!$E$38)^(Table12[[#This Row],[year]]-'Data Input'!$I$4))</f>
        <v>3202.8093037613608</v>
      </c>
      <c r="S34" s="53">
        <f>IF(Table12[[#This Row],[year]]&lt;'Data Input'!$I$4,12*'Data Input'!$S$24*(1+'Data Input'!$E$29)^(Table12[[#This Row],[year]]-'Data Input'!$I$3),12*'Data Input'!$S$35*(1+'Data Input'!$E$38)^(Table12[[#This Row],[year]]-'Data Input'!$I$4))</f>
        <v>1601.4046518806804</v>
      </c>
      <c r="T34" s="55">
        <f>SUM(Table12[[#This Row],[Utilities]:[Misc. Housing costs]])</f>
        <v>51001.577695668129</v>
      </c>
      <c r="U34" s="54">
        <f>Table12[[#This Row],[Total]]/12</f>
        <v>4250.1314746390108</v>
      </c>
    </row>
    <row r="35" spans="1:21">
      <c r="A35" s="19">
        <f t="shared" si="0"/>
        <v>2048</v>
      </c>
      <c r="B35" s="53">
        <f>IF(Table12[[#This Row],[year]]&lt;'Data Input'!$I$4,12*'Data Input'!$B$24*(1+'Data Input'!$E$29)^(Table12[[#This Row],[year]]-'Data Input'!$I$3),12*'Data Input'!$B$35*(1+'Data Input'!$E$38)^(Table12[[#This Row],[year]]-'Data Input'!$I$4))</f>
        <v>6469.6747935979502</v>
      </c>
      <c r="C35" s="53">
        <f>IF(Table12[[#This Row],[year]]&lt;'Data Input'!$I$4,12*'Data Input'!$C$24*(1+'Data Input'!$E$29)^(Table12[[#This Row],[year]]-'Data Input'!$I$3),12*'Data Input'!$C$35*(1+'Data Input'!$E$38)^(Table12[[#This Row],[year]]-'Data Input'!$I$4))</f>
        <v>4043.546745998719</v>
      </c>
      <c r="D35" s="53">
        <f>ROUNDDOWN('Student Loans'!B38+'Credit Card Debt'!B38,2)</f>
        <v>0</v>
      </c>
      <c r="E35" s="53">
        <f>MIN('Data Input'!$C$12+'Data Input'!$F$12,'Main Info'!B34*'Data Input'!$C$11+'Main Info'!E34*'Data Input'!$F$11+'Data Input'!$C$10+'Data Input'!$F$10)</f>
        <v>0</v>
      </c>
      <c r="F35" s="53">
        <f>12*'Data Input'!F93+12*100</f>
        <v>1200</v>
      </c>
      <c r="G35" s="53">
        <f>IF(Table12[[#This Row],[year]]&lt;'Data Input'!$I$4,12*'Data Input'!$G$24*(1+'Data Input'!$E$29)^(Table12[[#This Row],[year]]-'Data Input'!$I$3),12*'Data Input'!$G$35*(1+'Data Input'!$E$38)^(Table12[[#This Row],[year]]-'Data Input'!$I$4))</f>
        <v>1617.4186983994875</v>
      </c>
      <c r="H35" s="55">
        <f>IF(Table12[[#This Row],[year]]&lt;'Data Input'!$I$4,12*'Data Input'!$H$24*(1+'Data Input'!$E$29)^(Table12[[#This Row],[year]]-'Data Input'!$I$3),12*'Data Input'!$H$35*(1+'Data Input'!$E$38)^(Table12[[#This Row],[year]]-'Data Input'!$I$4))</f>
        <v>970.45121903969255</v>
      </c>
      <c r="I35" s="53">
        <f>IF(Table12[[#This Row],[year]]&lt;'Data Input'!$I$4,12*'Data Input'!$I$24*(1+'Data Input'!$E$29)^(Table12[[#This Row],[year]]-'Data Input'!$I$3),12*'Data Input'!$I$35*(1+'Data Input'!$E$38)^(Table12[[#This Row],[year]]-'Data Input'!$I$4))</f>
        <v>4043.546745998719</v>
      </c>
      <c r="J35" s="53">
        <f>IF(Table12[[#This Row],[year]]&lt;'Data Input'!$I$4,12*'Data Input'!$J$24*(1+'Data Input'!$E$29)^(Table12[[#This Row],[year]]-'Data Input'!$I$3),12*'Data Input'!$J$35*(1+'Data Input'!$E$38)^(Table12[[#This Row],[year]]-'Data Input'!$I$4))</f>
        <v>8087.0934919974379</v>
      </c>
      <c r="K35" s="53">
        <f>IF(Table12[[#This Row],[year]]&lt;'Data Input'!$I$4,12*'Data Input'!$K$24*(1+'Data Input'!$E$29)^(Table12[[#This Row],[year]]-'Data Input'!$I$3),12*'Data Input'!$K$35*(1+'Data Input'!$E$38)^(Table12[[#This Row],[year]]-'Data Input'!$I$4))</f>
        <v>1617.4186983994875</v>
      </c>
      <c r="L35" s="53">
        <f>IF(Table12[[#This Row],[year]]&lt;'Data Input'!$I$4,12*'Data Input'!$L$24*(1+'Data Input'!$E$29)^(Table12[[#This Row],[year]]-'Data Input'!$I$3),12*'Data Input'!$L$35*(1+'Data Input'!$E$38)^(Table12[[#This Row],[year]]-'Data Input'!$I$4))</f>
        <v>1617.4186983994875</v>
      </c>
      <c r="M35" s="53">
        <f>IF(Table12[[#This Row],[year]]&lt;'Data Input'!$I$4,12*'Data Input'!$M$24*(1+'Data Input'!$E$29)^(Table12[[#This Row],[year]]-'Data Input'!$I$3),12*'Data Input'!$M$35*(1+'Data Input'!$E$38)^(Table12[[#This Row],[year]]-'Data Input'!$I$4))</f>
        <v>3234.8373967989751</v>
      </c>
      <c r="N35" s="55">
        <f>IF(Table12[[#This Row],[year]]&lt;'Data Input'!$I$4,12*'Data Input'!$N$24,12*'Data Input'!$N$35)</f>
        <v>2400</v>
      </c>
      <c r="O35" s="53">
        <f>IF(Table12[[#This Row],[year]]&lt;'Data Input'!$I$4,12*'Data Input'!$O$24*(1+'Data Input'!$E$29)^(Table12[[#This Row],[year]]-'Data Input'!$I$3),12*'Data Input'!$O$35*(1+'Data Input'!$E$38)^(Table12[[#This Row],[year]]-'Data Input'!$I$4))</f>
        <v>1617.4186983994875</v>
      </c>
      <c r="P35" s="53">
        <f>IF(Table12[[#This Row],[year]]&lt;'Data Input'!$I$4,12*'Data Input'!$P$24*(1+'Data Input'!$E$29)^(Table12[[#This Row],[year]]-'Data Input'!$I$3),12*'Data Input'!$P$35*(1+'Data Input'!$E$38)^(Table12[[#This Row],[year]]-'Data Input'!$I$4))</f>
        <v>8087.0934919974379</v>
      </c>
      <c r="Q35" s="53">
        <f>IF(Table12[[#This Row],[year]]&lt;'Data Input'!$I$4,12*'Data Input'!$Q$24*(1+'Data Input'!$E$29)^(Table12[[#This Row],[year]]-'Data Input'!$I$3),12*'Data Input'!$Q$35*(1+'Data Input'!$E$38)^(Table12[[#This Row],[year]]-'Data Input'!$I$4))</f>
        <v>1617.4186983994875</v>
      </c>
      <c r="R35" s="53">
        <f>IF(Table12[[#This Row],[year]]&lt;'Data Input'!$I$4,12*'Data Input'!$R$24*(1+'Data Input'!$E$29)^(Table12[[#This Row],[year]]-'Data Input'!$I$3),12*'Data Input'!$R$35*(1+'Data Input'!$E$38)^(Table12[[#This Row],[year]]-'Data Input'!$I$4))</f>
        <v>3234.8373967989751</v>
      </c>
      <c r="S35" s="53">
        <f>IF(Table12[[#This Row],[year]]&lt;'Data Input'!$I$4,12*'Data Input'!$S$24*(1+'Data Input'!$E$29)^(Table12[[#This Row],[year]]-'Data Input'!$I$3),12*'Data Input'!$S$35*(1+'Data Input'!$E$38)^(Table12[[#This Row],[year]]-'Data Input'!$I$4))</f>
        <v>1617.4186983994875</v>
      </c>
      <c r="T35" s="55">
        <f>SUM(Table12[[#This Row],[Utilities]:[Misc. Housing costs]])</f>
        <v>51475.593472624831</v>
      </c>
      <c r="U35" s="54">
        <f>Table12[[#This Row],[Total]]/12</f>
        <v>4289.6327893854022</v>
      </c>
    </row>
    <row r="36" spans="1:21">
      <c r="A36" s="19">
        <f t="shared" si="0"/>
        <v>2049</v>
      </c>
      <c r="B36" s="53">
        <f>IF(Table12[[#This Row],[year]]&lt;'Data Input'!$I$4,12*'Data Input'!$B$24*(1+'Data Input'!$E$29)^(Table12[[#This Row],[year]]-'Data Input'!$I$3),12*'Data Input'!$B$35*(1+'Data Input'!$E$38)^(Table12[[#This Row],[year]]-'Data Input'!$I$4))</f>
        <v>6534.3715415339275</v>
      </c>
      <c r="C36" s="53">
        <f>IF(Table12[[#This Row],[year]]&lt;'Data Input'!$I$4,12*'Data Input'!$C$24*(1+'Data Input'!$E$29)^(Table12[[#This Row],[year]]-'Data Input'!$I$3),12*'Data Input'!$C$35*(1+'Data Input'!$E$38)^(Table12[[#This Row],[year]]-'Data Input'!$I$4))</f>
        <v>4083.9822134587048</v>
      </c>
      <c r="D36" s="53">
        <f>ROUNDDOWN('Student Loans'!B39+'Credit Card Debt'!B39,2)</f>
        <v>0</v>
      </c>
      <c r="E36" s="53">
        <f>MIN('Data Input'!$C$12+'Data Input'!$F$12,'Main Info'!B35*'Data Input'!$C$11+'Main Info'!E35*'Data Input'!$F$11+'Data Input'!$C$10+'Data Input'!$F$10)</f>
        <v>0</v>
      </c>
      <c r="F36" s="53">
        <f>12*'Data Input'!F94+12*100</f>
        <v>1200</v>
      </c>
      <c r="G36" s="53">
        <f>IF(Table12[[#This Row],[year]]&lt;'Data Input'!$I$4,12*'Data Input'!$G$24*(1+'Data Input'!$E$29)^(Table12[[#This Row],[year]]-'Data Input'!$I$3),12*'Data Input'!$G$35*(1+'Data Input'!$E$38)^(Table12[[#This Row],[year]]-'Data Input'!$I$4))</f>
        <v>1633.5928853834819</v>
      </c>
      <c r="H36" s="55">
        <f>IF(Table12[[#This Row],[year]]&lt;'Data Input'!$I$4,12*'Data Input'!$H$24*(1+'Data Input'!$E$29)^(Table12[[#This Row],[year]]-'Data Input'!$I$3),12*'Data Input'!$H$35*(1+'Data Input'!$E$38)^(Table12[[#This Row],[year]]-'Data Input'!$I$4))</f>
        <v>980.15573123008915</v>
      </c>
      <c r="I36" s="53">
        <f>IF(Table12[[#This Row],[year]]&lt;'Data Input'!$I$4,12*'Data Input'!$I$24*(1+'Data Input'!$E$29)^(Table12[[#This Row],[year]]-'Data Input'!$I$3),12*'Data Input'!$I$35*(1+'Data Input'!$E$38)^(Table12[[#This Row],[year]]-'Data Input'!$I$4))</f>
        <v>4083.9822134587048</v>
      </c>
      <c r="J36" s="53">
        <f>IF(Table12[[#This Row],[year]]&lt;'Data Input'!$I$4,12*'Data Input'!$J$24*(1+'Data Input'!$E$29)^(Table12[[#This Row],[year]]-'Data Input'!$I$3),12*'Data Input'!$J$35*(1+'Data Input'!$E$38)^(Table12[[#This Row],[year]]-'Data Input'!$I$4))</f>
        <v>8167.9644269174096</v>
      </c>
      <c r="K36" s="53">
        <f>IF(Table12[[#This Row],[year]]&lt;'Data Input'!$I$4,12*'Data Input'!$K$24*(1+'Data Input'!$E$29)^(Table12[[#This Row],[year]]-'Data Input'!$I$3),12*'Data Input'!$K$35*(1+'Data Input'!$E$38)^(Table12[[#This Row],[year]]-'Data Input'!$I$4))</f>
        <v>1633.5928853834819</v>
      </c>
      <c r="L36" s="53">
        <f>IF(Table12[[#This Row],[year]]&lt;'Data Input'!$I$4,12*'Data Input'!$L$24*(1+'Data Input'!$E$29)^(Table12[[#This Row],[year]]-'Data Input'!$I$3),12*'Data Input'!$L$35*(1+'Data Input'!$E$38)^(Table12[[#This Row],[year]]-'Data Input'!$I$4))</f>
        <v>1633.5928853834819</v>
      </c>
      <c r="M36" s="53">
        <f>IF(Table12[[#This Row],[year]]&lt;'Data Input'!$I$4,12*'Data Input'!$M$24*(1+'Data Input'!$E$29)^(Table12[[#This Row],[year]]-'Data Input'!$I$3),12*'Data Input'!$M$35*(1+'Data Input'!$E$38)^(Table12[[#This Row],[year]]-'Data Input'!$I$4))</f>
        <v>3267.1857707669637</v>
      </c>
      <c r="N36" s="55">
        <f>IF(Table12[[#This Row],[year]]&lt;'Data Input'!$I$4,12*'Data Input'!$N$24,12*'Data Input'!$N$35)</f>
        <v>2400</v>
      </c>
      <c r="O36" s="53">
        <f>IF(Table12[[#This Row],[year]]&lt;'Data Input'!$I$4,12*'Data Input'!$O$24*(1+'Data Input'!$E$29)^(Table12[[#This Row],[year]]-'Data Input'!$I$3),12*'Data Input'!$O$35*(1+'Data Input'!$E$38)^(Table12[[#This Row],[year]]-'Data Input'!$I$4))</f>
        <v>1633.5928853834819</v>
      </c>
      <c r="P36" s="53">
        <f>IF(Table12[[#This Row],[year]]&lt;'Data Input'!$I$4,12*'Data Input'!$P$24*(1+'Data Input'!$E$29)^(Table12[[#This Row],[year]]-'Data Input'!$I$3),12*'Data Input'!$P$35*(1+'Data Input'!$E$38)^(Table12[[#This Row],[year]]-'Data Input'!$I$4))</f>
        <v>8167.9644269174096</v>
      </c>
      <c r="Q36" s="53">
        <f>IF(Table12[[#This Row],[year]]&lt;'Data Input'!$I$4,12*'Data Input'!$Q$24*(1+'Data Input'!$E$29)^(Table12[[#This Row],[year]]-'Data Input'!$I$3),12*'Data Input'!$Q$35*(1+'Data Input'!$E$38)^(Table12[[#This Row],[year]]-'Data Input'!$I$4))</f>
        <v>1633.5928853834819</v>
      </c>
      <c r="R36" s="53">
        <f>IF(Table12[[#This Row],[year]]&lt;'Data Input'!$I$4,12*'Data Input'!$R$24*(1+'Data Input'!$E$29)^(Table12[[#This Row],[year]]-'Data Input'!$I$3),12*'Data Input'!$R$35*(1+'Data Input'!$E$38)^(Table12[[#This Row],[year]]-'Data Input'!$I$4))</f>
        <v>3267.1857707669637</v>
      </c>
      <c r="S36" s="53">
        <f>IF(Table12[[#This Row],[year]]&lt;'Data Input'!$I$4,12*'Data Input'!$S$24*(1+'Data Input'!$E$29)^(Table12[[#This Row],[year]]-'Data Input'!$I$3),12*'Data Input'!$S$35*(1+'Data Input'!$E$38)^(Table12[[#This Row],[year]]-'Data Input'!$I$4))</f>
        <v>1633.5928853834819</v>
      </c>
      <c r="T36" s="55">
        <f>SUM(Table12[[#This Row],[Utilities]:[Misc. Housing costs]])</f>
        <v>51954.349407351066</v>
      </c>
      <c r="U36" s="54">
        <f>Table12[[#This Row],[Total]]/12</f>
        <v>4329.5291172792558</v>
      </c>
    </row>
    <row r="37" spans="1:21">
      <c r="A37" s="19">
        <f t="shared" si="0"/>
        <v>2050</v>
      </c>
      <c r="B37" s="53">
        <f>IF(Table12[[#This Row],[year]]&lt;'Data Input'!$I$4,12*'Data Input'!$B$24*(1+'Data Input'!$E$29)^(Table12[[#This Row],[year]]-'Data Input'!$I$3),12*'Data Input'!$B$35*(1+'Data Input'!$E$38)^(Table12[[#This Row],[year]]-'Data Input'!$I$4))</f>
        <v>6599.7152569492682</v>
      </c>
      <c r="C37" s="53">
        <f>IF(Table12[[#This Row],[year]]&lt;'Data Input'!$I$4,12*'Data Input'!$C$24*(1+'Data Input'!$E$29)^(Table12[[#This Row],[year]]-'Data Input'!$I$3),12*'Data Input'!$C$35*(1+'Data Input'!$E$38)^(Table12[[#This Row],[year]]-'Data Input'!$I$4))</f>
        <v>4124.8220355932926</v>
      </c>
      <c r="D37" s="53">
        <f>ROUNDDOWN('Student Loans'!B40+'Credit Card Debt'!B40,2)</f>
        <v>0</v>
      </c>
      <c r="E37" s="53">
        <f>MIN('Data Input'!$C$12+'Data Input'!$F$12,'Main Info'!B36*'Data Input'!$C$11+'Main Info'!E36*'Data Input'!$F$11+'Data Input'!$C$10+'Data Input'!$F$10)</f>
        <v>0</v>
      </c>
      <c r="F37" s="53">
        <f>12*'Data Input'!F95+12*100</f>
        <v>1200</v>
      </c>
      <c r="G37" s="53">
        <f>IF(Table12[[#This Row],[year]]&lt;'Data Input'!$I$4,12*'Data Input'!$G$24*(1+'Data Input'!$E$29)^(Table12[[#This Row],[year]]-'Data Input'!$I$3),12*'Data Input'!$G$35*(1+'Data Input'!$E$38)^(Table12[[#This Row],[year]]-'Data Input'!$I$4))</f>
        <v>1649.9288142373171</v>
      </c>
      <c r="H37" s="55">
        <f>IF(Table12[[#This Row],[year]]&lt;'Data Input'!$I$4,12*'Data Input'!$H$24*(1+'Data Input'!$E$29)^(Table12[[#This Row],[year]]-'Data Input'!$I$3),12*'Data Input'!$H$35*(1+'Data Input'!$E$38)^(Table12[[#This Row],[year]]-'Data Input'!$I$4))</f>
        <v>989.9572885423903</v>
      </c>
      <c r="I37" s="53">
        <f>IF(Table12[[#This Row],[year]]&lt;'Data Input'!$I$4,12*'Data Input'!$I$24*(1+'Data Input'!$E$29)^(Table12[[#This Row],[year]]-'Data Input'!$I$3),12*'Data Input'!$I$35*(1+'Data Input'!$E$38)^(Table12[[#This Row],[year]]-'Data Input'!$I$4))</f>
        <v>4124.8220355932926</v>
      </c>
      <c r="J37" s="53">
        <f>IF(Table12[[#This Row],[year]]&lt;'Data Input'!$I$4,12*'Data Input'!$J$24*(1+'Data Input'!$E$29)^(Table12[[#This Row],[year]]-'Data Input'!$I$3),12*'Data Input'!$J$35*(1+'Data Input'!$E$38)^(Table12[[#This Row],[year]]-'Data Input'!$I$4))</f>
        <v>8249.6440711865853</v>
      </c>
      <c r="K37" s="53">
        <f>IF(Table12[[#This Row],[year]]&lt;'Data Input'!$I$4,12*'Data Input'!$K$24*(1+'Data Input'!$E$29)^(Table12[[#This Row],[year]]-'Data Input'!$I$3),12*'Data Input'!$K$35*(1+'Data Input'!$E$38)^(Table12[[#This Row],[year]]-'Data Input'!$I$4))</f>
        <v>1649.9288142373171</v>
      </c>
      <c r="L37" s="53">
        <f>IF(Table12[[#This Row],[year]]&lt;'Data Input'!$I$4,12*'Data Input'!$L$24*(1+'Data Input'!$E$29)^(Table12[[#This Row],[year]]-'Data Input'!$I$3),12*'Data Input'!$L$35*(1+'Data Input'!$E$38)^(Table12[[#This Row],[year]]-'Data Input'!$I$4))</f>
        <v>1649.9288142373171</v>
      </c>
      <c r="M37" s="53">
        <f>IF(Table12[[#This Row],[year]]&lt;'Data Input'!$I$4,12*'Data Input'!$M$24*(1+'Data Input'!$E$29)^(Table12[[#This Row],[year]]-'Data Input'!$I$3),12*'Data Input'!$M$35*(1+'Data Input'!$E$38)^(Table12[[#This Row],[year]]-'Data Input'!$I$4))</f>
        <v>3299.8576284746341</v>
      </c>
      <c r="N37" s="55">
        <f>IF(Table12[[#This Row],[year]]&lt;'Data Input'!$I$4,12*'Data Input'!$N$24,12*'Data Input'!$N$35)</f>
        <v>2400</v>
      </c>
      <c r="O37" s="53">
        <f>IF(Table12[[#This Row],[year]]&lt;'Data Input'!$I$4,12*'Data Input'!$O$24*(1+'Data Input'!$E$29)^(Table12[[#This Row],[year]]-'Data Input'!$I$3),12*'Data Input'!$O$35*(1+'Data Input'!$E$38)^(Table12[[#This Row],[year]]-'Data Input'!$I$4))</f>
        <v>1649.9288142373171</v>
      </c>
      <c r="P37" s="53">
        <f>IF(Table12[[#This Row],[year]]&lt;'Data Input'!$I$4,12*'Data Input'!$P$24*(1+'Data Input'!$E$29)^(Table12[[#This Row],[year]]-'Data Input'!$I$3),12*'Data Input'!$P$35*(1+'Data Input'!$E$38)^(Table12[[#This Row],[year]]-'Data Input'!$I$4))</f>
        <v>8249.6440711865853</v>
      </c>
      <c r="Q37" s="53">
        <f>IF(Table12[[#This Row],[year]]&lt;'Data Input'!$I$4,12*'Data Input'!$Q$24*(1+'Data Input'!$E$29)^(Table12[[#This Row],[year]]-'Data Input'!$I$3),12*'Data Input'!$Q$35*(1+'Data Input'!$E$38)^(Table12[[#This Row],[year]]-'Data Input'!$I$4))</f>
        <v>1649.9288142373171</v>
      </c>
      <c r="R37" s="53">
        <f>IF(Table12[[#This Row],[year]]&lt;'Data Input'!$I$4,12*'Data Input'!$R$24*(1+'Data Input'!$E$29)^(Table12[[#This Row],[year]]-'Data Input'!$I$3),12*'Data Input'!$R$35*(1+'Data Input'!$E$38)^(Table12[[#This Row],[year]]-'Data Input'!$I$4))</f>
        <v>3299.8576284746341</v>
      </c>
      <c r="S37" s="53">
        <f>IF(Table12[[#This Row],[year]]&lt;'Data Input'!$I$4,12*'Data Input'!$S$24*(1+'Data Input'!$E$29)^(Table12[[#This Row],[year]]-'Data Input'!$I$3),12*'Data Input'!$S$35*(1+'Data Input'!$E$38)^(Table12[[#This Row],[year]]-'Data Input'!$I$4))</f>
        <v>1649.9288142373171</v>
      </c>
      <c r="T37" s="55">
        <f>SUM(Table12[[#This Row],[Utilities]:[Misc. Housing costs]])</f>
        <v>52437.892901424602</v>
      </c>
      <c r="U37" s="54">
        <f>Table12[[#This Row],[Total]]/12</f>
        <v>4369.8244084520502</v>
      </c>
    </row>
    <row r="38" spans="1:21">
      <c r="A38" s="19">
        <f t="shared" si="0"/>
        <v>2051</v>
      </c>
      <c r="B38" s="53">
        <f>IF(Table12[[#This Row],[year]]&lt;'Data Input'!$I$4,12*'Data Input'!$B$24*(1+'Data Input'!$E$29)^(Table12[[#This Row],[year]]-'Data Input'!$I$3),12*'Data Input'!$B$35*(1+'Data Input'!$E$38)^(Table12[[#This Row],[year]]-'Data Input'!$I$4))</f>
        <v>6665.712409518761</v>
      </c>
      <c r="C38" s="53">
        <f>IF(Table12[[#This Row],[year]]&lt;'Data Input'!$I$4,12*'Data Input'!$C$24*(1+'Data Input'!$E$29)^(Table12[[#This Row],[year]]-'Data Input'!$I$3),12*'Data Input'!$C$35*(1+'Data Input'!$E$38)^(Table12[[#This Row],[year]]-'Data Input'!$I$4))</f>
        <v>4166.0702559492256</v>
      </c>
      <c r="D38" s="53">
        <f>ROUNDDOWN('Student Loans'!B41+'Credit Card Debt'!B41,2)</f>
        <v>0</v>
      </c>
      <c r="E38" s="53">
        <f>MIN('Data Input'!$C$12+'Data Input'!$F$12,'Main Info'!B37*'Data Input'!$C$11+'Main Info'!E37*'Data Input'!$F$11+'Data Input'!$C$10+'Data Input'!$F$10)</f>
        <v>0</v>
      </c>
      <c r="F38" s="53">
        <f>12*'Data Input'!F96+12*100</f>
        <v>1200</v>
      </c>
      <c r="G38" s="53">
        <f>IF(Table12[[#This Row],[year]]&lt;'Data Input'!$I$4,12*'Data Input'!$G$24*(1+'Data Input'!$E$29)^(Table12[[#This Row],[year]]-'Data Input'!$I$3),12*'Data Input'!$G$35*(1+'Data Input'!$E$38)^(Table12[[#This Row],[year]]-'Data Input'!$I$4))</f>
        <v>1666.4281023796902</v>
      </c>
      <c r="H38" s="55">
        <f>IF(Table12[[#This Row],[year]]&lt;'Data Input'!$I$4,12*'Data Input'!$H$24*(1+'Data Input'!$E$29)^(Table12[[#This Row],[year]]-'Data Input'!$I$3),12*'Data Input'!$H$35*(1+'Data Input'!$E$38)^(Table12[[#This Row],[year]]-'Data Input'!$I$4))</f>
        <v>999.85686142781424</v>
      </c>
      <c r="I38" s="53">
        <f>IF(Table12[[#This Row],[year]]&lt;'Data Input'!$I$4,12*'Data Input'!$I$24*(1+'Data Input'!$E$29)^(Table12[[#This Row],[year]]-'Data Input'!$I$3),12*'Data Input'!$I$35*(1+'Data Input'!$E$38)^(Table12[[#This Row],[year]]-'Data Input'!$I$4))</f>
        <v>4166.0702559492256</v>
      </c>
      <c r="J38" s="53">
        <f>IF(Table12[[#This Row],[year]]&lt;'Data Input'!$I$4,12*'Data Input'!$J$24*(1+'Data Input'!$E$29)^(Table12[[#This Row],[year]]-'Data Input'!$I$3),12*'Data Input'!$J$35*(1+'Data Input'!$E$38)^(Table12[[#This Row],[year]]-'Data Input'!$I$4))</f>
        <v>8332.1405118984512</v>
      </c>
      <c r="K38" s="53">
        <f>IF(Table12[[#This Row],[year]]&lt;'Data Input'!$I$4,12*'Data Input'!$K$24*(1+'Data Input'!$E$29)^(Table12[[#This Row],[year]]-'Data Input'!$I$3),12*'Data Input'!$K$35*(1+'Data Input'!$E$38)^(Table12[[#This Row],[year]]-'Data Input'!$I$4))</f>
        <v>1666.4281023796902</v>
      </c>
      <c r="L38" s="53">
        <f>IF(Table12[[#This Row],[year]]&lt;'Data Input'!$I$4,12*'Data Input'!$L$24*(1+'Data Input'!$E$29)^(Table12[[#This Row],[year]]-'Data Input'!$I$3),12*'Data Input'!$L$35*(1+'Data Input'!$E$38)^(Table12[[#This Row],[year]]-'Data Input'!$I$4))</f>
        <v>1666.4281023796902</v>
      </c>
      <c r="M38" s="53">
        <f>IF(Table12[[#This Row],[year]]&lt;'Data Input'!$I$4,12*'Data Input'!$M$24*(1+'Data Input'!$E$29)^(Table12[[#This Row],[year]]-'Data Input'!$I$3),12*'Data Input'!$M$35*(1+'Data Input'!$E$38)^(Table12[[#This Row],[year]]-'Data Input'!$I$4))</f>
        <v>3332.8562047593805</v>
      </c>
      <c r="N38" s="55">
        <f>IF(Table12[[#This Row],[year]]&lt;'Data Input'!$I$4,12*'Data Input'!$N$24,12*'Data Input'!$N$35)</f>
        <v>2400</v>
      </c>
      <c r="O38" s="53">
        <f>IF(Table12[[#This Row],[year]]&lt;'Data Input'!$I$4,12*'Data Input'!$O$24*(1+'Data Input'!$E$29)^(Table12[[#This Row],[year]]-'Data Input'!$I$3),12*'Data Input'!$O$35*(1+'Data Input'!$E$38)^(Table12[[#This Row],[year]]-'Data Input'!$I$4))</f>
        <v>1666.4281023796902</v>
      </c>
      <c r="P38" s="53">
        <f>IF(Table12[[#This Row],[year]]&lt;'Data Input'!$I$4,12*'Data Input'!$P$24*(1+'Data Input'!$E$29)^(Table12[[#This Row],[year]]-'Data Input'!$I$3),12*'Data Input'!$P$35*(1+'Data Input'!$E$38)^(Table12[[#This Row],[year]]-'Data Input'!$I$4))</f>
        <v>8332.1405118984512</v>
      </c>
      <c r="Q38" s="53">
        <f>IF(Table12[[#This Row],[year]]&lt;'Data Input'!$I$4,12*'Data Input'!$Q$24*(1+'Data Input'!$E$29)^(Table12[[#This Row],[year]]-'Data Input'!$I$3),12*'Data Input'!$Q$35*(1+'Data Input'!$E$38)^(Table12[[#This Row],[year]]-'Data Input'!$I$4))</f>
        <v>1666.4281023796902</v>
      </c>
      <c r="R38" s="53">
        <f>IF(Table12[[#This Row],[year]]&lt;'Data Input'!$I$4,12*'Data Input'!$R$24*(1+'Data Input'!$E$29)^(Table12[[#This Row],[year]]-'Data Input'!$I$3),12*'Data Input'!$R$35*(1+'Data Input'!$E$38)^(Table12[[#This Row],[year]]-'Data Input'!$I$4))</f>
        <v>3332.8562047593805</v>
      </c>
      <c r="S38" s="53">
        <f>IF(Table12[[#This Row],[year]]&lt;'Data Input'!$I$4,12*'Data Input'!$S$24*(1+'Data Input'!$E$29)^(Table12[[#This Row],[year]]-'Data Input'!$I$3),12*'Data Input'!$S$35*(1+'Data Input'!$E$38)^(Table12[[#This Row],[year]]-'Data Input'!$I$4))</f>
        <v>1666.4281023796902</v>
      </c>
      <c r="T38" s="55">
        <f>SUM(Table12[[#This Row],[Utilities]:[Misc. Housing costs]])</f>
        <v>52926.27183043884</v>
      </c>
      <c r="U38" s="54">
        <f>Table12[[#This Row],[Total]]/12</f>
        <v>4410.5226525365697</v>
      </c>
    </row>
    <row r="39" spans="1:21">
      <c r="A39" s="19">
        <f t="shared" si="0"/>
        <v>2052</v>
      </c>
      <c r="B39" s="53">
        <f>IF(Table12[[#This Row],[year]]&lt;'Data Input'!$I$4,12*'Data Input'!$B$24*(1+'Data Input'!$E$29)^(Table12[[#This Row],[year]]-'Data Input'!$I$3),12*'Data Input'!$B$35*(1+'Data Input'!$E$38)^(Table12[[#This Row],[year]]-'Data Input'!$I$4))</f>
        <v>6732.369533613949</v>
      </c>
      <c r="C39" s="53">
        <f>IF(Table12[[#This Row],[year]]&lt;'Data Input'!$I$4,12*'Data Input'!$C$24*(1+'Data Input'!$E$29)^(Table12[[#This Row],[year]]-'Data Input'!$I$3),12*'Data Input'!$C$35*(1+'Data Input'!$E$38)^(Table12[[#This Row],[year]]-'Data Input'!$I$4))</f>
        <v>4207.7309585087178</v>
      </c>
      <c r="D39" s="53">
        <f>ROUNDDOWN('Student Loans'!B42+'Credit Card Debt'!B42,2)</f>
        <v>0</v>
      </c>
      <c r="E39" s="53">
        <f>MIN('Data Input'!$C$12+'Data Input'!$F$12,'Main Info'!B38*'Data Input'!$C$11+'Main Info'!E38*'Data Input'!$F$11+'Data Input'!$C$10+'Data Input'!$F$10)</f>
        <v>0</v>
      </c>
      <c r="F39" s="53">
        <f>12*'Data Input'!F97+12*100</f>
        <v>1200</v>
      </c>
      <c r="G39" s="53">
        <f>IF(Table12[[#This Row],[year]]&lt;'Data Input'!$I$4,12*'Data Input'!$G$24*(1+'Data Input'!$E$29)^(Table12[[#This Row],[year]]-'Data Input'!$I$3),12*'Data Input'!$G$35*(1+'Data Input'!$E$38)^(Table12[[#This Row],[year]]-'Data Input'!$I$4))</f>
        <v>1683.0923834034872</v>
      </c>
      <c r="H39" s="55">
        <f>IF(Table12[[#This Row],[year]]&lt;'Data Input'!$I$4,12*'Data Input'!$H$24*(1+'Data Input'!$E$29)^(Table12[[#This Row],[year]]-'Data Input'!$I$3),12*'Data Input'!$H$35*(1+'Data Input'!$E$38)^(Table12[[#This Row],[year]]-'Data Input'!$I$4))</f>
        <v>1009.8554300420924</v>
      </c>
      <c r="I39" s="53">
        <f>IF(Table12[[#This Row],[year]]&lt;'Data Input'!$I$4,12*'Data Input'!$I$24*(1+'Data Input'!$E$29)^(Table12[[#This Row],[year]]-'Data Input'!$I$3),12*'Data Input'!$I$35*(1+'Data Input'!$E$38)^(Table12[[#This Row],[year]]-'Data Input'!$I$4))</f>
        <v>4207.7309585087178</v>
      </c>
      <c r="J39" s="53">
        <f>IF(Table12[[#This Row],[year]]&lt;'Data Input'!$I$4,12*'Data Input'!$J$24*(1+'Data Input'!$E$29)^(Table12[[#This Row],[year]]-'Data Input'!$I$3),12*'Data Input'!$J$35*(1+'Data Input'!$E$38)^(Table12[[#This Row],[year]]-'Data Input'!$I$4))</f>
        <v>8415.4619170174356</v>
      </c>
      <c r="K39" s="53">
        <f>IF(Table12[[#This Row],[year]]&lt;'Data Input'!$I$4,12*'Data Input'!$K$24*(1+'Data Input'!$E$29)^(Table12[[#This Row],[year]]-'Data Input'!$I$3),12*'Data Input'!$K$35*(1+'Data Input'!$E$38)^(Table12[[#This Row],[year]]-'Data Input'!$I$4))</f>
        <v>1683.0923834034872</v>
      </c>
      <c r="L39" s="53">
        <f>IF(Table12[[#This Row],[year]]&lt;'Data Input'!$I$4,12*'Data Input'!$L$24*(1+'Data Input'!$E$29)^(Table12[[#This Row],[year]]-'Data Input'!$I$3),12*'Data Input'!$L$35*(1+'Data Input'!$E$38)^(Table12[[#This Row],[year]]-'Data Input'!$I$4))</f>
        <v>1683.0923834034872</v>
      </c>
      <c r="M39" s="53">
        <f>IF(Table12[[#This Row],[year]]&lt;'Data Input'!$I$4,12*'Data Input'!$M$24*(1+'Data Input'!$E$29)^(Table12[[#This Row],[year]]-'Data Input'!$I$3),12*'Data Input'!$M$35*(1+'Data Input'!$E$38)^(Table12[[#This Row],[year]]-'Data Input'!$I$4))</f>
        <v>3366.1847668069745</v>
      </c>
      <c r="N39" s="55">
        <f>IF(Table12[[#This Row],[year]]&lt;'Data Input'!$I$4,12*'Data Input'!$N$24,12*'Data Input'!$N$35)</f>
        <v>2400</v>
      </c>
      <c r="O39" s="53">
        <f>IF(Table12[[#This Row],[year]]&lt;'Data Input'!$I$4,12*'Data Input'!$O$24*(1+'Data Input'!$E$29)^(Table12[[#This Row],[year]]-'Data Input'!$I$3),12*'Data Input'!$O$35*(1+'Data Input'!$E$38)^(Table12[[#This Row],[year]]-'Data Input'!$I$4))</f>
        <v>1683.0923834034872</v>
      </c>
      <c r="P39" s="53">
        <f>IF(Table12[[#This Row],[year]]&lt;'Data Input'!$I$4,12*'Data Input'!$P$24*(1+'Data Input'!$E$29)^(Table12[[#This Row],[year]]-'Data Input'!$I$3),12*'Data Input'!$P$35*(1+'Data Input'!$E$38)^(Table12[[#This Row],[year]]-'Data Input'!$I$4))</f>
        <v>8415.4619170174356</v>
      </c>
      <c r="Q39" s="53">
        <f>IF(Table12[[#This Row],[year]]&lt;'Data Input'!$I$4,12*'Data Input'!$Q$24*(1+'Data Input'!$E$29)^(Table12[[#This Row],[year]]-'Data Input'!$I$3),12*'Data Input'!$Q$35*(1+'Data Input'!$E$38)^(Table12[[#This Row],[year]]-'Data Input'!$I$4))</f>
        <v>1683.0923834034872</v>
      </c>
      <c r="R39" s="53">
        <f>IF(Table12[[#This Row],[year]]&lt;'Data Input'!$I$4,12*'Data Input'!$R$24*(1+'Data Input'!$E$29)^(Table12[[#This Row],[year]]-'Data Input'!$I$3),12*'Data Input'!$R$35*(1+'Data Input'!$E$38)^(Table12[[#This Row],[year]]-'Data Input'!$I$4))</f>
        <v>3366.1847668069745</v>
      </c>
      <c r="S39" s="53">
        <f>IF(Table12[[#This Row],[year]]&lt;'Data Input'!$I$4,12*'Data Input'!$S$24*(1+'Data Input'!$E$29)^(Table12[[#This Row],[year]]-'Data Input'!$I$3),12*'Data Input'!$S$35*(1+'Data Input'!$E$38)^(Table12[[#This Row],[year]]-'Data Input'!$I$4))</f>
        <v>1683.0923834034872</v>
      </c>
      <c r="T39" s="55">
        <f>SUM(Table12[[#This Row],[Utilities]:[Misc. Housing costs]])</f>
        <v>53419.534548743213</v>
      </c>
      <c r="U39" s="54">
        <f>Table12[[#This Row],[Total]]/12</f>
        <v>4451.6278790619344</v>
      </c>
    </row>
    <row r="40" spans="1:21">
      <c r="A40" s="19">
        <f t="shared" si="0"/>
        <v>2053</v>
      </c>
      <c r="B40" s="53">
        <f>IF(Table12[[#This Row],[year]]&lt;'Data Input'!$I$4,12*'Data Input'!$B$24*(1+'Data Input'!$E$29)^(Table12[[#This Row],[year]]-'Data Input'!$I$3),12*'Data Input'!$B$35*(1+'Data Input'!$E$38)^(Table12[[#This Row],[year]]-'Data Input'!$I$4))</f>
        <v>6799.6932289500874</v>
      </c>
      <c r="C40" s="53">
        <f>IF(Table12[[#This Row],[year]]&lt;'Data Input'!$I$4,12*'Data Input'!$C$24*(1+'Data Input'!$E$29)^(Table12[[#This Row],[year]]-'Data Input'!$I$3),12*'Data Input'!$C$35*(1+'Data Input'!$E$38)^(Table12[[#This Row],[year]]-'Data Input'!$I$4))</f>
        <v>4249.8082680938041</v>
      </c>
      <c r="D40" s="53">
        <f>ROUNDDOWN('Student Loans'!B43+'Credit Card Debt'!B43,2)</f>
        <v>0</v>
      </c>
      <c r="E40" s="53">
        <f>MIN('Data Input'!$C$12+'Data Input'!$F$12,'Main Info'!B39*'Data Input'!$C$11+'Main Info'!E39*'Data Input'!$F$11+'Data Input'!$C$10+'Data Input'!$F$10)</f>
        <v>0</v>
      </c>
      <c r="F40" s="53">
        <f>12*'Data Input'!F98+12*100</f>
        <v>1200</v>
      </c>
      <c r="G40" s="53">
        <f>IF(Table12[[#This Row],[year]]&lt;'Data Input'!$I$4,12*'Data Input'!$G$24*(1+'Data Input'!$E$29)^(Table12[[#This Row],[year]]-'Data Input'!$I$3),12*'Data Input'!$G$35*(1+'Data Input'!$E$38)^(Table12[[#This Row],[year]]-'Data Input'!$I$4))</f>
        <v>1699.9233072375218</v>
      </c>
      <c r="H40" s="55">
        <f>IF(Table12[[#This Row],[year]]&lt;'Data Input'!$I$4,12*'Data Input'!$H$24*(1+'Data Input'!$E$29)^(Table12[[#This Row],[year]]-'Data Input'!$I$3),12*'Data Input'!$H$35*(1+'Data Input'!$E$38)^(Table12[[#This Row],[year]]-'Data Input'!$I$4))</f>
        <v>1019.9539843425131</v>
      </c>
      <c r="I40" s="53">
        <f>IF(Table12[[#This Row],[year]]&lt;'Data Input'!$I$4,12*'Data Input'!$I$24*(1+'Data Input'!$E$29)^(Table12[[#This Row],[year]]-'Data Input'!$I$3),12*'Data Input'!$I$35*(1+'Data Input'!$E$38)^(Table12[[#This Row],[year]]-'Data Input'!$I$4))</f>
        <v>4249.8082680938041</v>
      </c>
      <c r="J40" s="53">
        <f>IF(Table12[[#This Row],[year]]&lt;'Data Input'!$I$4,12*'Data Input'!$J$24*(1+'Data Input'!$E$29)^(Table12[[#This Row],[year]]-'Data Input'!$I$3),12*'Data Input'!$J$35*(1+'Data Input'!$E$38)^(Table12[[#This Row],[year]]-'Data Input'!$I$4))</f>
        <v>8499.6165361876083</v>
      </c>
      <c r="K40" s="53">
        <f>IF(Table12[[#This Row],[year]]&lt;'Data Input'!$I$4,12*'Data Input'!$K$24*(1+'Data Input'!$E$29)^(Table12[[#This Row],[year]]-'Data Input'!$I$3),12*'Data Input'!$K$35*(1+'Data Input'!$E$38)^(Table12[[#This Row],[year]]-'Data Input'!$I$4))</f>
        <v>1699.9233072375218</v>
      </c>
      <c r="L40" s="53">
        <f>IF(Table12[[#This Row],[year]]&lt;'Data Input'!$I$4,12*'Data Input'!$L$24*(1+'Data Input'!$E$29)^(Table12[[#This Row],[year]]-'Data Input'!$I$3),12*'Data Input'!$L$35*(1+'Data Input'!$E$38)^(Table12[[#This Row],[year]]-'Data Input'!$I$4))</f>
        <v>1699.9233072375218</v>
      </c>
      <c r="M40" s="53">
        <f>IF(Table12[[#This Row],[year]]&lt;'Data Input'!$I$4,12*'Data Input'!$M$24*(1+'Data Input'!$E$29)^(Table12[[#This Row],[year]]-'Data Input'!$I$3),12*'Data Input'!$M$35*(1+'Data Input'!$E$38)^(Table12[[#This Row],[year]]-'Data Input'!$I$4))</f>
        <v>3399.8466144750437</v>
      </c>
      <c r="N40" s="55">
        <f>IF(Table12[[#This Row],[year]]&lt;'Data Input'!$I$4,12*'Data Input'!$N$24,12*'Data Input'!$N$35)</f>
        <v>2400</v>
      </c>
      <c r="O40" s="53">
        <f>IF(Table12[[#This Row],[year]]&lt;'Data Input'!$I$4,12*'Data Input'!$O$24*(1+'Data Input'!$E$29)^(Table12[[#This Row],[year]]-'Data Input'!$I$3),12*'Data Input'!$O$35*(1+'Data Input'!$E$38)^(Table12[[#This Row],[year]]-'Data Input'!$I$4))</f>
        <v>1699.9233072375218</v>
      </c>
      <c r="P40" s="53">
        <f>IF(Table12[[#This Row],[year]]&lt;'Data Input'!$I$4,12*'Data Input'!$P$24*(1+'Data Input'!$E$29)^(Table12[[#This Row],[year]]-'Data Input'!$I$3),12*'Data Input'!$P$35*(1+'Data Input'!$E$38)^(Table12[[#This Row],[year]]-'Data Input'!$I$4))</f>
        <v>8499.6165361876083</v>
      </c>
      <c r="Q40" s="53">
        <f>IF(Table12[[#This Row],[year]]&lt;'Data Input'!$I$4,12*'Data Input'!$Q$24*(1+'Data Input'!$E$29)^(Table12[[#This Row],[year]]-'Data Input'!$I$3),12*'Data Input'!$Q$35*(1+'Data Input'!$E$38)^(Table12[[#This Row],[year]]-'Data Input'!$I$4))</f>
        <v>1699.9233072375218</v>
      </c>
      <c r="R40" s="53">
        <f>IF(Table12[[#This Row],[year]]&lt;'Data Input'!$I$4,12*'Data Input'!$R$24*(1+'Data Input'!$E$29)^(Table12[[#This Row],[year]]-'Data Input'!$I$3),12*'Data Input'!$R$35*(1+'Data Input'!$E$38)^(Table12[[#This Row],[year]]-'Data Input'!$I$4))</f>
        <v>3399.8466144750437</v>
      </c>
      <c r="S40" s="53">
        <f>IF(Table12[[#This Row],[year]]&lt;'Data Input'!$I$4,12*'Data Input'!$S$24*(1+'Data Input'!$E$29)^(Table12[[#This Row],[year]]-'Data Input'!$I$3),12*'Data Input'!$S$35*(1+'Data Input'!$E$38)^(Table12[[#This Row],[year]]-'Data Input'!$I$4))</f>
        <v>1699.9233072375218</v>
      </c>
      <c r="T40" s="55">
        <f>SUM(Table12[[#This Row],[Utilities]:[Misc. Housing costs]])</f>
        <v>53917.729894230637</v>
      </c>
      <c r="U40" s="54">
        <f>Table12[[#This Row],[Total]]/12</f>
        <v>4493.1441578525528</v>
      </c>
    </row>
    <row r="41" spans="1:21">
      <c r="A41" s="19">
        <f t="shared" si="0"/>
        <v>2054</v>
      </c>
      <c r="B41" s="53">
        <f>IF(Table12[[#This Row],[year]]&lt;'Data Input'!$I$4,12*'Data Input'!$B$24*(1+'Data Input'!$E$29)^(Table12[[#This Row],[year]]-'Data Input'!$I$3),12*'Data Input'!$B$35*(1+'Data Input'!$E$38)^(Table12[[#This Row],[year]]-'Data Input'!$I$4))</f>
        <v>6867.6901612395886</v>
      </c>
      <c r="C41" s="53">
        <f>IF(Table12[[#This Row],[year]]&lt;'Data Input'!$I$4,12*'Data Input'!$C$24*(1+'Data Input'!$E$29)^(Table12[[#This Row],[year]]-'Data Input'!$I$3),12*'Data Input'!$C$35*(1+'Data Input'!$E$38)^(Table12[[#This Row],[year]]-'Data Input'!$I$4))</f>
        <v>4292.3063507747429</v>
      </c>
      <c r="D41" s="53">
        <f>ROUNDDOWN('Student Loans'!B44+'Credit Card Debt'!B44,2)</f>
        <v>0</v>
      </c>
      <c r="E41" s="53">
        <f>MIN('Data Input'!$C$12+'Data Input'!$F$12,'Main Info'!B40*'Data Input'!$C$11+'Main Info'!E40*'Data Input'!$F$11+'Data Input'!$C$10+'Data Input'!$F$10)</f>
        <v>0</v>
      </c>
      <c r="F41" s="53">
        <f>12*'Data Input'!F99+12*100</f>
        <v>1200</v>
      </c>
      <c r="G41" s="53">
        <f>IF(Table12[[#This Row],[year]]&lt;'Data Input'!$I$4,12*'Data Input'!$G$24*(1+'Data Input'!$E$29)^(Table12[[#This Row],[year]]-'Data Input'!$I$3),12*'Data Input'!$G$35*(1+'Data Input'!$E$38)^(Table12[[#This Row],[year]]-'Data Input'!$I$4))</f>
        <v>1716.9225403098972</v>
      </c>
      <c r="H41" s="55">
        <f>IF(Table12[[#This Row],[year]]&lt;'Data Input'!$I$4,12*'Data Input'!$H$24*(1+'Data Input'!$E$29)^(Table12[[#This Row],[year]]-'Data Input'!$I$3),12*'Data Input'!$H$35*(1+'Data Input'!$E$38)^(Table12[[#This Row],[year]]-'Data Input'!$I$4))</f>
        <v>1030.1535241859383</v>
      </c>
      <c r="I41" s="53">
        <f>IF(Table12[[#This Row],[year]]&lt;'Data Input'!$I$4,12*'Data Input'!$I$24*(1+'Data Input'!$E$29)^(Table12[[#This Row],[year]]-'Data Input'!$I$3),12*'Data Input'!$I$35*(1+'Data Input'!$E$38)^(Table12[[#This Row],[year]]-'Data Input'!$I$4))</f>
        <v>4292.3063507747429</v>
      </c>
      <c r="J41" s="53">
        <f>IF(Table12[[#This Row],[year]]&lt;'Data Input'!$I$4,12*'Data Input'!$J$24*(1+'Data Input'!$E$29)^(Table12[[#This Row],[year]]-'Data Input'!$I$3),12*'Data Input'!$J$35*(1+'Data Input'!$E$38)^(Table12[[#This Row],[year]]-'Data Input'!$I$4))</f>
        <v>8584.6127015494858</v>
      </c>
      <c r="K41" s="53">
        <f>IF(Table12[[#This Row],[year]]&lt;'Data Input'!$I$4,12*'Data Input'!$K$24*(1+'Data Input'!$E$29)^(Table12[[#This Row],[year]]-'Data Input'!$I$3),12*'Data Input'!$K$35*(1+'Data Input'!$E$38)^(Table12[[#This Row],[year]]-'Data Input'!$I$4))</f>
        <v>1716.9225403098972</v>
      </c>
      <c r="L41" s="53">
        <f>IF(Table12[[#This Row],[year]]&lt;'Data Input'!$I$4,12*'Data Input'!$L$24*(1+'Data Input'!$E$29)^(Table12[[#This Row],[year]]-'Data Input'!$I$3),12*'Data Input'!$L$35*(1+'Data Input'!$E$38)^(Table12[[#This Row],[year]]-'Data Input'!$I$4))</f>
        <v>1716.9225403098972</v>
      </c>
      <c r="M41" s="53">
        <f>IF(Table12[[#This Row],[year]]&lt;'Data Input'!$I$4,12*'Data Input'!$M$24*(1+'Data Input'!$E$29)^(Table12[[#This Row],[year]]-'Data Input'!$I$3),12*'Data Input'!$M$35*(1+'Data Input'!$E$38)^(Table12[[#This Row],[year]]-'Data Input'!$I$4))</f>
        <v>3433.8450806197943</v>
      </c>
      <c r="N41" s="55">
        <f>IF(Table12[[#This Row],[year]]&lt;'Data Input'!$I$4,12*'Data Input'!$N$24,12*'Data Input'!$N$35)</f>
        <v>2400</v>
      </c>
      <c r="O41" s="53">
        <f>IF(Table12[[#This Row],[year]]&lt;'Data Input'!$I$4,12*'Data Input'!$O$24*(1+'Data Input'!$E$29)^(Table12[[#This Row],[year]]-'Data Input'!$I$3),12*'Data Input'!$O$35*(1+'Data Input'!$E$38)^(Table12[[#This Row],[year]]-'Data Input'!$I$4))</f>
        <v>1716.9225403098972</v>
      </c>
      <c r="P41" s="53">
        <f>IF(Table12[[#This Row],[year]]&lt;'Data Input'!$I$4,12*'Data Input'!$P$24*(1+'Data Input'!$E$29)^(Table12[[#This Row],[year]]-'Data Input'!$I$3),12*'Data Input'!$P$35*(1+'Data Input'!$E$38)^(Table12[[#This Row],[year]]-'Data Input'!$I$4))</f>
        <v>8584.6127015494858</v>
      </c>
      <c r="Q41" s="53">
        <f>IF(Table12[[#This Row],[year]]&lt;'Data Input'!$I$4,12*'Data Input'!$Q$24*(1+'Data Input'!$E$29)^(Table12[[#This Row],[year]]-'Data Input'!$I$3),12*'Data Input'!$Q$35*(1+'Data Input'!$E$38)^(Table12[[#This Row],[year]]-'Data Input'!$I$4))</f>
        <v>1716.9225403098972</v>
      </c>
      <c r="R41" s="53">
        <f>IF(Table12[[#This Row],[year]]&lt;'Data Input'!$I$4,12*'Data Input'!$R$24*(1+'Data Input'!$E$29)^(Table12[[#This Row],[year]]-'Data Input'!$I$3),12*'Data Input'!$R$35*(1+'Data Input'!$E$38)^(Table12[[#This Row],[year]]-'Data Input'!$I$4))</f>
        <v>3433.8450806197943</v>
      </c>
      <c r="S41" s="53">
        <f>IF(Table12[[#This Row],[year]]&lt;'Data Input'!$I$4,12*'Data Input'!$S$24*(1+'Data Input'!$E$29)^(Table12[[#This Row],[year]]-'Data Input'!$I$3),12*'Data Input'!$S$35*(1+'Data Input'!$E$38)^(Table12[[#This Row],[year]]-'Data Input'!$I$4))</f>
        <v>1716.9225403098972</v>
      </c>
      <c r="T41" s="55">
        <f>SUM(Table12[[#This Row],[Utilities]:[Misc. Housing costs]])</f>
        <v>54420.907193172956</v>
      </c>
      <c r="U41" s="54">
        <f>Table12[[#This Row],[Total]]/12</f>
        <v>4535.0755994310794</v>
      </c>
    </row>
    <row r="42" spans="1:21">
      <c r="A42" s="19">
        <f t="shared" si="0"/>
        <v>2055</v>
      </c>
      <c r="B42" s="53">
        <f>IF(Table12[[#This Row],[year]]&lt;'Data Input'!$I$4,12*'Data Input'!$B$24*(1+'Data Input'!$E$29)^(Table12[[#This Row],[year]]-'Data Input'!$I$3),12*'Data Input'!$B$35*(1+'Data Input'!$E$38)^(Table12[[#This Row],[year]]-'Data Input'!$I$4))</f>
        <v>6936.3670628519849</v>
      </c>
      <c r="C42" s="53">
        <f>IF(Table12[[#This Row],[year]]&lt;'Data Input'!$I$4,12*'Data Input'!$C$24*(1+'Data Input'!$E$29)^(Table12[[#This Row],[year]]-'Data Input'!$I$3),12*'Data Input'!$C$35*(1+'Data Input'!$E$38)^(Table12[[#This Row],[year]]-'Data Input'!$I$4))</f>
        <v>4335.2294142824903</v>
      </c>
      <c r="D42" s="53">
        <f>ROUNDDOWN('Student Loans'!B45+'Credit Card Debt'!B45,2)</f>
        <v>0</v>
      </c>
      <c r="E42" s="53">
        <f>MIN('Data Input'!$C$12+'Data Input'!$F$12,'Main Info'!B41*'Data Input'!$C$11+'Main Info'!E41*'Data Input'!$F$11+'Data Input'!$C$10+'Data Input'!$F$10)</f>
        <v>0</v>
      </c>
      <c r="F42" s="53">
        <f>12*'Data Input'!F100+12*100</f>
        <v>1200</v>
      </c>
      <c r="G42" s="53">
        <f>IF(Table12[[#This Row],[year]]&lt;'Data Input'!$I$4,12*'Data Input'!$G$24*(1+'Data Input'!$E$29)^(Table12[[#This Row],[year]]-'Data Input'!$I$3),12*'Data Input'!$G$35*(1+'Data Input'!$E$38)^(Table12[[#This Row],[year]]-'Data Input'!$I$4))</f>
        <v>1734.0917657129962</v>
      </c>
      <c r="H42" s="55">
        <f>IF(Table12[[#This Row],[year]]&lt;'Data Input'!$I$4,12*'Data Input'!$H$24*(1+'Data Input'!$E$29)^(Table12[[#This Row],[year]]-'Data Input'!$I$3),12*'Data Input'!$H$35*(1+'Data Input'!$E$38)^(Table12[[#This Row],[year]]-'Data Input'!$I$4))</f>
        <v>1040.4550594277978</v>
      </c>
      <c r="I42" s="53">
        <f>IF(Table12[[#This Row],[year]]&lt;'Data Input'!$I$4,12*'Data Input'!$I$24*(1+'Data Input'!$E$29)^(Table12[[#This Row],[year]]-'Data Input'!$I$3),12*'Data Input'!$I$35*(1+'Data Input'!$E$38)^(Table12[[#This Row],[year]]-'Data Input'!$I$4))</f>
        <v>4335.2294142824903</v>
      </c>
      <c r="J42" s="53">
        <f>IF(Table12[[#This Row],[year]]&lt;'Data Input'!$I$4,12*'Data Input'!$J$24*(1+'Data Input'!$E$29)^(Table12[[#This Row],[year]]-'Data Input'!$I$3),12*'Data Input'!$J$35*(1+'Data Input'!$E$38)^(Table12[[#This Row],[year]]-'Data Input'!$I$4))</f>
        <v>8670.4588285649806</v>
      </c>
      <c r="K42" s="53">
        <f>IF(Table12[[#This Row],[year]]&lt;'Data Input'!$I$4,12*'Data Input'!$K$24*(1+'Data Input'!$E$29)^(Table12[[#This Row],[year]]-'Data Input'!$I$3),12*'Data Input'!$K$35*(1+'Data Input'!$E$38)^(Table12[[#This Row],[year]]-'Data Input'!$I$4))</f>
        <v>1734.0917657129962</v>
      </c>
      <c r="L42" s="53">
        <f>IF(Table12[[#This Row],[year]]&lt;'Data Input'!$I$4,12*'Data Input'!$L$24*(1+'Data Input'!$E$29)^(Table12[[#This Row],[year]]-'Data Input'!$I$3),12*'Data Input'!$L$35*(1+'Data Input'!$E$38)^(Table12[[#This Row],[year]]-'Data Input'!$I$4))</f>
        <v>1734.0917657129962</v>
      </c>
      <c r="M42" s="53">
        <f>IF(Table12[[#This Row],[year]]&lt;'Data Input'!$I$4,12*'Data Input'!$M$24*(1+'Data Input'!$E$29)^(Table12[[#This Row],[year]]-'Data Input'!$I$3),12*'Data Input'!$M$35*(1+'Data Input'!$E$38)^(Table12[[#This Row],[year]]-'Data Input'!$I$4))</f>
        <v>3468.1835314259924</v>
      </c>
      <c r="N42" s="55">
        <f>IF(Table12[[#This Row],[year]]&lt;'Data Input'!$I$4,12*'Data Input'!$N$24,12*'Data Input'!$N$35)</f>
        <v>2400</v>
      </c>
      <c r="O42" s="53">
        <f>IF(Table12[[#This Row],[year]]&lt;'Data Input'!$I$4,12*'Data Input'!$O$24*(1+'Data Input'!$E$29)^(Table12[[#This Row],[year]]-'Data Input'!$I$3),12*'Data Input'!$O$35*(1+'Data Input'!$E$38)^(Table12[[#This Row],[year]]-'Data Input'!$I$4))</f>
        <v>1734.0917657129962</v>
      </c>
      <c r="P42" s="53">
        <f>IF(Table12[[#This Row],[year]]&lt;'Data Input'!$I$4,12*'Data Input'!$P$24*(1+'Data Input'!$E$29)^(Table12[[#This Row],[year]]-'Data Input'!$I$3),12*'Data Input'!$P$35*(1+'Data Input'!$E$38)^(Table12[[#This Row],[year]]-'Data Input'!$I$4))</f>
        <v>8670.4588285649806</v>
      </c>
      <c r="Q42" s="53">
        <f>IF(Table12[[#This Row],[year]]&lt;'Data Input'!$I$4,12*'Data Input'!$Q$24*(1+'Data Input'!$E$29)^(Table12[[#This Row],[year]]-'Data Input'!$I$3),12*'Data Input'!$Q$35*(1+'Data Input'!$E$38)^(Table12[[#This Row],[year]]-'Data Input'!$I$4))</f>
        <v>1734.0917657129962</v>
      </c>
      <c r="R42" s="53">
        <f>IF(Table12[[#This Row],[year]]&lt;'Data Input'!$I$4,12*'Data Input'!$R$24*(1+'Data Input'!$E$29)^(Table12[[#This Row],[year]]-'Data Input'!$I$3),12*'Data Input'!$R$35*(1+'Data Input'!$E$38)^(Table12[[#This Row],[year]]-'Data Input'!$I$4))</f>
        <v>3468.1835314259924</v>
      </c>
      <c r="S42" s="53">
        <f>IF(Table12[[#This Row],[year]]&lt;'Data Input'!$I$4,12*'Data Input'!$S$24*(1+'Data Input'!$E$29)^(Table12[[#This Row],[year]]-'Data Input'!$I$3),12*'Data Input'!$S$35*(1+'Data Input'!$E$38)^(Table12[[#This Row],[year]]-'Data Input'!$I$4))</f>
        <v>1734.0917657129962</v>
      </c>
      <c r="T42" s="55">
        <f>SUM(Table12[[#This Row],[Utilities]:[Misc. Housing costs]])</f>
        <v>54929.116265104698</v>
      </c>
      <c r="U42" s="54">
        <f>Table12[[#This Row],[Total]]/12</f>
        <v>4577.4263554253912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81" t="s">
        <v>61</v>
      </c>
      <c r="C2" s="181"/>
      <c r="E2" s="34" t="s">
        <v>44</v>
      </c>
      <c r="F2" s="34" t="s">
        <v>18</v>
      </c>
      <c r="G2" s="29" t="s">
        <v>66</v>
      </c>
      <c r="H2" s="34" t="s">
        <v>64</v>
      </c>
      <c r="I2" s="34" t="s">
        <v>65</v>
      </c>
      <c r="J2" s="34" t="s">
        <v>18</v>
      </c>
      <c r="K2" s="16"/>
      <c r="L2" s="41"/>
    </row>
    <row r="3" spans="2:12" ht="30">
      <c r="B3" s="30" t="s">
        <v>60</v>
      </c>
      <c r="C3" s="71">
        <v>6300</v>
      </c>
      <c r="E3" s="34" t="s">
        <v>93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62</v>
      </c>
      <c r="C4" s="71">
        <v>4050</v>
      </c>
      <c r="E4" s="34" t="s">
        <v>94</v>
      </c>
      <c r="F4" s="34" t="s">
        <v>95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6" t="s">
        <v>130</v>
      </c>
      <c r="C5" s="71">
        <v>1050</v>
      </c>
      <c r="E5" s="34" t="s">
        <v>96</v>
      </c>
      <c r="F5" s="34" t="s">
        <v>97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129</v>
      </c>
      <c r="C6" s="71">
        <f>C3*2</f>
        <v>12600</v>
      </c>
      <c r="E6" s="34" t="s">
        <v>98</v>
      </c>
      <c r="F6" s="34" t="s">
        <v>99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7"/>
      <c r="C7" s="47"/>
      <c r="E7" s="34" t="s">
        <v>100</v>
      </c>
      <c r="F7" s="34" t="s">
        <v>101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102</v>
      </c>
      <c r="F8" s="34" t="s">
        <v>103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104</v>
      </c>
      <c r="F9" s="34" t="s">
        <v>105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81" t="s">
        <v>86</v>
      </c>
      <c r="C11" s="181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60</v>
      </c>
      <c r="C12" s="71">
        <v>4044</v>
      </c>
      <c r="D12" s="36"/>
      <c r="E12" s="30" t="s">
        <v>67</v>
      </c>
      <c r="F12" s="30" t="s">
        <v>76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62</v>
      </c>
      <c r="C13" s="71">
        <v>109</v>
      </c>
      <c r="D13" s="36"/>
      <c r="E13" s="30" t="s">
        <v>68</v>
      </c>
      <c r="F13" s="30" t="s">
        <v>77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69</v>
      </c>
      <c r="F14" s="30" t="s">
        <v>78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71">
        <f>C12*2</f>
        <v>8088</v>
      </c>
      <c r="D15" s="36"/>
      <c r="E15" s="30" t="s">
        <v>70</v>
      </c>
      <c r="F15" s="30" t="s">
        <v>79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71</v>
      </c>
      <c r="F16" s="30" t="s">
        <v>80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72</v>
      </c>
      <c r="F17" s="30" t="s">
        <v>81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73</v>
      </c>
      <c r="F18" s="30" t="s">
        <v>82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74</v>
      </c>
      <c r="F19" s="30" t="s">
        <v>83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75</v>
      </c>
      <c r="F20" s="30" t="s">
        <v>84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85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90</v>
      </c>
      <c r="C24" s="30" t="s">
        <v>89</v>
      </c>
      <c r="D24" s="30" t="s">
        <v>91</v>
      </c>
      <c r="E24" s="27" t="s">
        <v>92</v>
      </c>
      <c r="F24" s="36"/>
      <c r="G24" s="36"/>
    </row>
    <row r="25" spans="1:10">
      <c r="A25" s="27">
        <f>'Data Input'!I3</f>
        <v>2016</v>
      </c>
      <c r="B25" s="28">
        <f>'Main Info'!G2</f>
        <v>30300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3617.35</v>
      </c>
      <c r="D25" s="28">
        <f>'Main Info'!F2</f>
        <v>42694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806.36</v>
      </c>
    </row>
    <row r="26" spans="1:10">
      <c r="A26" s="27">
        <f>A25+1</f>
        <v>2017</v>
      </c>
      <c r="B26" s="28">
        <f>'Main Info'!G3</f>
        <v>32300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3917.35</v>
      </c>
      <c r="D26" s="28">
        <f>'Main Info'!F3</f>
        <v>44694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1772.7199999999998</v>
      </c>
    </row>
    <row r="27" spans="1:10">
      <c r="A27" s="27">
        <f t="shared" ref="A27:A64" si="4">A26+1</f>
        <v>2018</v>
      </c>
      <c r="B27" s="28">
        <f>'Main Info'!G4</f>
        <v>20258.044984724009</v>
      </c>
      <c r="C27" s="42">
        <f t="shared" si="2"/>
        <v>2111.0567477086015</v>
      </c>
      <c r="D27" s="28">
        <f>'Main Info'!F4</f>
        <v>28554.127535432664</v>
      </c>
      <c r="E27" s="28">
        <f t="shared" si="3"/>
        <v>414.08255070865329</v>
      </c>
    </row>
    <row r="28" spans="1:10">
      <c r="A28" s="27">
        <f t="shared" si="4"/>
        <v>2019</v>
      </c>
      <c r="B28" s="28">
        <f>'Main Info'!G5</f>
        <v>1051.4155285225643</v>
      </c>
      <c r="C28" s="42">
        <f t="shared" si="2"/>
        <v>105.14155285225644</v>
      </c>
      <c r="D28" s="28">
        <f>'Main Info'!F5</f>
        <v>9023.6520490126895</v>
      </c>
      <c r="E28" s="28">
        <f t="shared" si="3"/>
        <v>90.236520490126892</v>
      </c>
    </row>
    <row r="29" spans="1:10">
      <c r="A29" s="27">
        <f t="shared" si="4"/>
        <v>2020</v>
      </c>
      <c r="B29" s="28">
        <f>'Main Info'!G6</f>
        <v>-831.34883648104005</v>
      </c>
      <c r="C29" s="42">
        <f t="shared" si="2"/>
        <v>0</v>
      </c>
      <c r="D29" s="28">
        <f>'Main Info'!F6</f>
        <v>11102.677942948445</v>
      </c>
      <c r="E29" s="28">
        <f t="shared" si="3"/>
        <v>111.02677942948445</v>
      </c>
    </row>
    <row r="30" spans="1:10">
      <c r="A30" s="27">
        <f t="shared" si="4"/>
        <v>2021</v>
      </c>
      <c r="B30" s="28">
        <f>'Main Info'!G7</f>
        <v>1423.9022696973261</v>
      </c>
      <c r="C30" s="42">
        <f t="shared" si="2"/>
        <v>142.39022696973262</v>
      </c>
      <c r="D30" s="28">
        <f>'Main Info'!F7</f>
        <v>13380.709363330636</v>
      </c>
      <c r="E30" s="28">
        <f t="shared" si="3"/>
        <v>133.80709363330635</v>
      </c>
    </row>
    <row r="31" spans="1:10">
      <c r="A31" s="27">
        <f t="shared" si="4"/>
        <v>2022</v>
      </c>
      <c r="B31" s="28">
        <f>'Main Info'!G8</f>
        <v>-277.04205357464525</v>
      </c>
      <c r="C31" s="42">
        <f t="shared" si="2"/>
        <v>0</v>
      </c>
      <c r="D31" s="28">
        <f>'Main Info'!F8</f>
        <v>15643.391865076112</v>
      </c>
      <c r="E31" s="28">
        <f t="shared" si="3"/>
        <v>156.43391865076111</v>
      </c>
    </row>
    <row r="32" spans="1:10">
      <c r="A32" s="27">
        <f t="shared" si="4"/>
        <v>2023</v>
      </c>
      <c r="B32" s="28">
        <f>'Main Info'!G9</f>
        <v>2143.2677511207658</v>
      </c>
      <c r="C32" s="42">
        <f t="shared" si="2"/>
        <v>214.32677511207658</v>
      </c>
      <c r="D32" s="28">
        <f>'Main Info'!F9</f>
        <v>18112.518113388534</v>
      </c>
      <c r="E32" s="28">
        <f t="shared" si="3"/>
        <v>205.2503622677707</v>
      </c>
    </row>
    <row r="33" spans="1:5">
      <c r="A33" s="27">
        <f t="shared" si="4"/>
        <v>2024</v>
      </c>
      <c r="B33" s="28">
        <f>'Main Info'!G10</f>
        <v>614.55313875858701</v>
      </c>
      <c r="C33" s="42">
        <f t="shared" si="2"/>
        <v>61.455313875858707</v>
      </c>
      <c r="D33" s="28">
        <f>'Main Info'!F10</f>
        <v>20574.033815059789</v>
      </c>
      <c r="E33" s="28">
        <f t="shared" si="3"/>
        <v>254.48067630119579</v>
      </c>
    </row>
    <row r="34" spans="1:5">
      <c r="A34" s="27">
        <f t="shared" si="4"/>
        <v>2025</v>
      </c>
      <c r="B34" s="28">
        <f>'Main Info'!G11</f>
        <v>3237.043011100388</v>
      </c>
      <c r="C34" s="42">
        <f t="shared" si="2"/>
        <v>323.70430111003884</v>
      </c>
      <c r="D34" s="28">
        <f>'Main Info'!F11</f>
        <v>23250.043888877946</v>
      </c>
      <c r="E34" s="28">
        <f t="shared" si="3"/>
        <v>308.00087777755891</v>
      </c>
    </row>
    <row r="35" spans="1:5">
      <c r="A35" s="27">
        <f t="shared" si="4"/>
        <v>2026</v>
      </c>
      <c r="B35" s="28">
        <f>'Main Info'!G12</f>
        <v>5967.1025070854375</v>
      </c>
      <c r="C35" s="42">
        <f t="shared" si="2"/>
        <v>596.71025070854375</v>
      </c>
      <c r="D35" s="28">
        <f>'Main Info'!F12</f>
        <v>26035.81888478106</v>
      </c>
      <c r="E35" s="28">
        <f t="shared" si="3"/>
        <v>363.71637769562119</v>
      </c>
    </row>
    <row r="36" spans="1:5">
      <c r="A36" s="27">
        <f t="shared" si="4"/>
        <v>2027</v>
      </c>
      <c r="B36" s="28">
        <f>'Main Info'!G13</f>
        <v>8809.0856285489135</v>
      </c>
      <c r="C36" s="42">
        <f t="shared" si="2"/>
        <v>880.90856285489144</v>
      </c>
      <c r="D36" s="28">
        <f>'Main Info'!F13</f>
        <v>28935.801661784608</v>
      </c>
      <c r="E36" s="28">
        <f t="shared" si="3"/>
        <v>421.71603323569218</v>
      </c>
    </row>
    <row r="37" spans="1:5">
      <c r="A37" s="27">
        <f t="shared" si="4"/>
        <v>2028</v>
      </c>
      <c r="B37" s="28">
        <f>'Main Info'!G14</f>
        <v>11767.522048412487</v>
      </c>
      <c r="C37" s="42">
        <f t="shared" si="2"/>
        <v>1176.7522048412488</v>
      </c>
      <c r="D37" s="28">
        <f>'Main Info'!F14</f>
        <v>31954.614335114784</v>
      </c>
      <c r="E37" s="28">
        <f t="shared" si="3"/>
        <v>482.09228670229567</v>
      </c>
    </row>
    <row r="38" spans="1:5">
      <c r="A38" s="27">
        <f t="shared" si="4"/>
        <v>2029</v>
      </c>
      <c r="B38" s="28">
        <f>'Main Info'!G15</f>
        <v>14847.124193332333</v>
      </c>
      <c r="C38" s="42">
        <f t="shared" si="2"/>
        <v>1484.7124193332334</v>
      </c>
      <c r="D38" s="28">
        <f>'Main Info'!F15</f>
        <v>35097.065503400336</v>
      </c>
      <c r="E38" s="28">
        <f t="shared" si="3"/>
        <v>544.94131006800671</v>
      </c>
    </row>
    <row r="39" spans="1:5">
      <c r="A39" s="27">
        <f t="shared" si="4"/>
        <v>2030</v>
      </c>
      <c r="B39" s="28">
        <f>'Main Info'!G16</f>
        <v>16950.293428084136</v>
      </c>
      <c r="C39" s="42">
        <f t="shared" si="2"/>
        <v>1695.0293428084137</v>
      </c>
      <c r="D39" s="28">
        <f>'Main Info'!F16</f>
        <v>38368.157767213401</v>
      </c>
      <c r="E39" s="28">
        <f t="shared" si="3"/>
        <v>1266.6526213770721</v>
      </c>
    </row>
    <row r="40" spans="1:5">
      <c r="A40" s="27">
        <f t="shared" si="4"/>
        <v>2031</v>
      </c>
      <c r="B40" s="28">
        <f>'Main Info'!G17</f>
        <v>19028.305165207501</v>
      </c>
      <c r="C40" s="42">
        <f t="shared" si="2"/>
        <v>1926.5957747811251</v>
      </c>
      <c r="D40" s="28">
        <f>'Main Info'!F17</f>
        <v>41654.745482607759</v>
      </c>
      <c r="E40" s="28">
        <f t="shared" si="3"/>
        <v>1529.5796386086208</v>
      </c>
    </row>
    <row r="41" spans="1:5">
      <c r="A41" s="27">
        <f t="shared" si="4"/>
        <v>2032</v>
      </c>
      <c r="B41" s="28">
        <f>'Main Info'!G18</f>
        <v>21189.437371815809</v>
      </c>
      <c r="C41" s="42">
        <f t="shared" si="2"/>
        <v>2250.7656057723716</v>
      </c>
      <c r="D41" s="28">
        <f>'Main Info'!F18</f>
        <v>43747.59209239007</v>
      </c>
      <c r="E41" s="28">
        <f t="shared" si="3"/>
        <v>1697.0073673912057</v>
      </c>
    </row>
    <row r="42" spans="1:5">
      <c r="A42" s="27">
        <f t="shared" si="4"/>
        <v>2033</v>
      </c>
      <c r="B42" s="28">
        <f>'Main Info'!G19</f>
        <v>23437.014866688449</v>
      </c>
      <c r="C42" s="42">
        <f t="shared" si="2"/>
        <v>2587.9022300032675</v>
      </c>
      <c r="D42" s="28">
        <f>'Main Info'!F19</f>
        <v>45926.201134468458</v>
      </c>
      <c r="E42" s="28">
        <f t="shared" si="3"/>
        <v>1871.2960907574766</v>
      </c>
    </row>
    <row r="43" spans="1:5">
      <c r="A43" s="27">
        <f t="shared" si="4"/>
        <v>2034</v>
      </c>
      <c r="B43" s="28">
        <f>'Main Info'!G20</f>
        <v>25774.495461355989</v>
      </c>
      <c r="C43" s="42">
        <f t="shared" si="2"/>
        <v>2938.5243192033986</v>
      </c>
      <c r="D43" s="28">
        <f>'Main Info'!F20</f>
        <v>48194.023591813799</v>
      </c>
      <c r="E43" s="28">
        <f t="shared" si="3"/>
        <v>2052.7218873451038</v>
      </c>
    </row>
    <row r="44" spans="1:5">
      <c r="A44" s="27">
        <f t="shared" si="4"/>
        <v>2035</v>
      </c>
      <c r="B44" s="28">
        <f>'Main Info'!G21</f>
        <v>28205.475279810227</v>
      </c>
      <c r="C44" s="42">
        <f t="shared" si="2"/>
        <v>3303.1712919715337</v>
      </c>
      <c r="D44" s="28">
        <f>'Main Info'!F21</f>
        <v>50554.648691572613</v>
      </c>
      <c r="E44" s="28">
        <f t="shared" si="3"/>
        <v>2241.5718953258092</v>
      </c>
    </row>
    <row r="45" spans="1:5">
      <c r="A45" s="27">
        <f t="shared" si="4"/>
        <v>2036</v>
      </c>
      <c r="B45" s="28">
        <f>'Main Info'!G22</f>
        <v>30733.694291002641</v>
      </c>
      <c r="C45" s="42">
        <f t="shared" si="2"/>
        <v>3682.4041436503958</v>
      </c>
      <c r="D45" s="28">
        <f>'Main Info'!F22</f>
        <v>53011.80943688265</v>
      </c>
      <c r="E45" s="28">
        <f t="shared" si="3"/>
        <v>2438.144754950612</v>
      </c>
    </row>
    <row r="46" spans="1:5">
      <c r="A46" s="27">
        <f t="shared" si="4"/>
        <v>2037</v>
      </c>
      <c r="B46" s="28">
        <f>'Main Info'!G23</f>
        <v>33221.637291183048</v>
      </c>
      <c r="C46" s="42">
        <f t="shared" si="2"/>
        <v>4055.5955936774571</v>
      </c>
      <c r="D46" s="28">
        <f>'Main Info'!F23</f>
        <v>55569.388359981574</v>
      </c>
      <c r="E46" s="28">
        <f t="shared" si="3"/>
        <v>2642.7510687985259</v>
      </c>
    </row>
    <row r="47" spans="1:5">
      <c r="A47" s="27">
        <f t="shared" si="4"/>
        <v>2038</v>
      </c>
      <c r="B47" s="28">
        <f>'Main Info'!G24</f>
        <v>39711.989625023809</v>
      </c>
      <c r="C47" s="42">
        <f t="shared" si="2"/>
        <v>5029.148443753571</v>
      </c>
      <c r="D47" s="28">
        <f>'Main Info'!F24</f>
        <v>58340.423505460662</v>
      </c>
      <c r="E47" s="28">
        <f t="shared" si="3"/>
        <v>2864.4338804368526</v>
      </c>
    </row>
    <row r="48" spans="1:5">
      <c r="A48" s="27">
        <f t="shared" si="4"/>
        <v>2039</v>
      </c>
      <c r="B48" s="28">
        <f>'Main Info'!G25</f>
        <v>43756.727773697537</v>
      </c>
      <c r="C48" s="42">
        <f t="shared" si="2"/>
        <v>5635.8591660546299</v>
      </c>
      <c r="D48" s="28">
        <f>'Main Info'!F25</f>
        <v>61111.114652869721</v>
      </c>
      <c r="E48" s="28">
        <f t="shared" si="3"/>
        <v>1590.3868791721832</v>
      </c>
    </row>
    <row r="49" spans="1:5">
      <c r="A49" s="27">
        <f t="shared" si="4"/>
        <v>2040</v>
      </c>
      <c r="B49" s="28">
        <f>'Main Info'!G26</f>
        <v>50510.880000952224</v>
      </c>
      <c r="C49" s="42">
        <f t="shared" si="2"/>
        <v>6648.9820001428334</v>
      </c>
      <c r="D49" s="28">
        <f>'Main Info'!F26</f>
        <v>64103.829788247051</v>
      </c>
      <c r="E49" s="28">
        <f t="shared" si="3"/>
        <v>1769.949787294823</v>
      </c>
    </row>
    <row r="50" spans="1:5">
      <c r="A50" s="27">
        <f t="shared" si="4"/>
        <v>2041</v>
      </c>
      <c r="B50" s="28">
        <f>'Main Info'!G27</f>
        <v>53332.085124460187</v>
      </c>
      <c r="C50" s="42">
        <f t="shared" si="2"/>
        <v>7072.1627686690281</v>
      </c>
      <c r="D50" s="28">
        <f>'Main Info'!F27</f>
        <v>67105.111834532116</v>
      </c>
      <c r="E50" s="28">
        <f t="shared" si="3"/>
        <v>1950.0267100719268</v>
      </c>
    </row>
    <row r="51" spans="1:5">
      <c r="A51" s="27">
        <f t="shared" si="4"/>
        <v>2042</v>
      </c>
      <c r="B51" s="28">
        <f>'Main Info'!G28</f>
        <v>60311.704512143144</v>
      </c>
      <c r="C51" s="42">
        <f t="shared" si="2"/>
        <v>8119.1056768214712</v>
      </c>
      <c r="D51" s="28">
        <f>'Main Info'!F28</f>
        <v>70337.685651216103</v>
      </c>
      <c r="E51" s="28">
        <f t="shared" si="3"/>
        <v>2143.981139072966</v>
      </c>
    </row>
    <row r="52" spans="1:5">
      <c r="A52" s="27">
        <f t="shared" si="4"/>
        <v>2043</v>
      </c>
      <c r="B52" s="28">
        <f>'Main Info'!G29</f>
        <v>63367.437395160472</v>
      </c>
      <c r="C52" s="42">
        <f t="shared" si="2"/>
        <v>8577.4656092740697</v>
      </c>
      <c r="D52" s="28">
        <f>'Main Info'!F29</f>
        <v>73588.46531400051</v>
      </c>
      <c r="E52" s="28">
        <f t="shared" si="3"/>
        <v>2339.0279188400305</v>
      </c>
    </row>
    <row r="53" spans="1:5">
      <c r="A53" s="27">
        <f t="shared" si="4"/>
        <v>2044</v>
      </c>
      <c r="B53" s="28">
        <f>'Main Info'!G30</f>
        <v>66547.547984523815</v>
      </c>
      <c r="C53" s="42">
        <f t="shared" si="2"/>
        <v>9054.4821976785715</v>
      </c>
      <c r="D53" s="28">
        <f>'Main Info'!F30</f>
        <v>76971.561685663633</v>
      </c>
      <c r="E53" s="28">
        <f t="shared" si="3"/>
        <v>2542.0137011398178</v>
      </c>
    </row>
    <row r="54" spans="1:5">
      <c r="A54" s="27">
        <f t="shared" si="4"/>
        <v>2045</v>
      </c>
      <c r="B54" s="28">
        <f>'Main Info'!G31</f>
        <v>69857.032872397278</v>
      </c>
      <c r="C54" s="42">
        <f t="shared" si="2"/>
        <v>9550.9049308595913</v>
      </c>
      <c r="D54" s="28">
        <f>'Main Info'!F31</f>
        <v>80492.290289784331</v>
      </c>
      <c r="E54" s="28">
        <f t="shared" si="3"/>
        <v>2753.2574173870598</v>
      </c>
    </row>
    <row r="55" spans="1:5">
      <c r="A55" s="76">
        <f t="shared" si="4"/>
        <v>2046</v>
      </c>
      <c r="B55" s="28">
        <f>'Main Info'!G32</f>
        <v>73248.885139481834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10059.682770922274</v>
      </c>
      <c r="D55" s="28">
        <f>'Main Info'!F32</f>
        <v>84156.179499436766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3025.2943599549412</v>
      </c>
    </row>
    <row r="56" spans="1:5">
      <c r="A56" s="76">
        <f t="shared" si="4"/>
        <v>2047</v>
      </c>
      <c r="B56" s="28">
        <f>'Main Info'!G33</f>
        <v>76756.66072917945</v>
      </c>
      <c r="C56" s="42">
        <f t="shared" si="5"/>
        <v>10731.415182294862</v>
      </c>
      <c r="D56" s="28">
        <f>'Main Info'!F33</f>
        <v>87968.979053455914</v>
      </c>
      <c r="E56" s="28">
        <f t="shared" si="6"/>
        <v>3330.318324276473</v>
      </c>
    </row>
    <row r="57" spans="1:5">
      <c r="A57" s="76">
        <f t="shared" si="4"/>
        <v>2048</v>
      </c>
      <c r="B57" s="28">
        <f>'Main Info'!G34</f>
        <v>80406.935400306174</v>
      </c>
      <c r="C57" s="42">
        <f t="shared" si="5"/>
        <v>11643.983850076544</v>
      </c>
      <c r="D57" s="28">
        <f>'Main Info'!F34</f>
        <v>91936.66891337627</v>
      </c>
      <c r="E57" s="28">
        <f t="shared" si="6"/>
        <v>3647.7335130701017</v>
      </c>
    </row>
    <row r="58" spans="1:5">
      <c r="A58" s="76">
        <f t="shared" si="4"/>
        <v>2049</v>
      </c>
      <c r="B58" s="28">
        <f>'Main Info'!G35</f>
        <v>84205.430996697542</v>
      </c>
      <c r="C58" s="42">
        <f t="shared" si="5"/>
        <v>12593.607749174385</v>
      </c>
      <c r="D58" s="28">
        <f>'Main Info'!F35</f>
        <v>96065.468474671245</v>
      </c>
      <c r="E58" s="28">
        <f t="shared" si="6"/>
        <v>3978.0374779736994</v>
      </c>
    </row>
    <row r="59" spans="1:5">
      <c r="A59" s="76">
        <f t="shared" si="4"/>
        <v>2050</v>
      </c>
      <c r="B59" s="28">
        <f>'Main Info'!G36</f>
        <v>88158.098454748382</v>
      </c>
      <c r="C59" s="42">
        <f t="shared" si="5"/>
        <v>13581.774613687096</v>
      </c>
      <c r="D59" s="28">
        <f>'Main Info'!F36</f>
        <v>100361.84614646563</v>
      </c>
      <c r="E59" s="28">
        <f t="shared" si="6"/>
        <v>4321.7476917172498</v>
      </c>
    </row>
    <row r="60" spans="1:5">
      <c r="A60" s="76">
        <f t="shared" si="4"/>
        <v>2051</v>
      </c>
      <c r="B60" s="28">
        <f>'Main Info'!G37</f>
        <v>92248.084088215095</v>
      </c>
      <c r="C60" s="42">
        <f t="shared" si="5"/>
        <v>14604.271022053774</v>
      </c>
      <c r="D60" s="28">
        <f>'Main Info'!F37</f>
        <v>104832.52931445985</v>
      </c>
      <c r="E60" s="28">
        <f t="shared" si="6"/>
        <v>4702.4452262447667</v>
      </c>
    </row>
    <row r="61" spans="1:5">
      <c r="A61" s="76">
        <f t="shared" si="4"/>
        <v>2052</v>
      </c>
      <c r="B61" s="28">
        <f>'Main Info'!G38</f>
        <v>96467.434835072432</v>
      </c>
      <c r="C61" s="42">
        <f t="shared" si="5"/>
        <v>15659.108708768108</v>
      </c>
      <c r="D61" s="28">
        <f>'Main Info'!F38</f>
        <v>109484.51470239519</v>
      </c>
      <c r="E61" s="28">
        <f t="shared" si="6"/>
        <v>5135.0798673227528</v>
      </c>
    </row>
    <row r="62" spans="1:5">
      <c r="A62" s="76">
        <f t="shared" si="4"/>
        <v>2053</v>
      </c>
      <c r="B62" s="28">
        <f>'Main Info'!G39</f>
        <v>100857.82678723741</v>
      </c>
      <c r="C62" s="42">
        <f t="shared" si="5"/>
        <v>16756.706696809353</v>
      </c>
      <c r="D62" s="28">
        <f>'Main Info'!F39</f>
        <v>114325.07914800156</v>
      </c>
      <c r="E62" s="28">
        <f t="shared" si="6"/>
        <v>5585.2523607641451</v>
      </c>
    </row>
    <row r="63" spans="1:5">
      <c r="A63" s="76">
        <f t="shared" si="4"/>
        <v>2054</v>
      </c>
      <c r="B63" s="28">
        <f>'Main Info'!G40</f>
        <v>105426.12426467656</v>
      </c>
      <c r="C63" s="42">
        <f t="shared" si="5"/>
        <v>17898.78106616914</v>
      </c>
      <c r="D63" s="28">
        <f>'Main Info'!F40</f>
        <v>119361.79081000722</v>
      </c>
      <c r="E63" s="28">
        <f t="shared" si="6"/>
        <v>6053.6665453306723</v>
      </c>
    </row>
    <row r="64" spans="1:5">
      <c r="A64" s="77">
        <f t="shared" si="4"/>
        <v>2055</v>
      </c>
      <c r="B64" s="78">
        <f>'Main Info'!G41</f>
        <v>110179.46638687278</v>
      </c>
      <c r="C64" s="79">
        <f t="shared" si="5"/>
        <v>19087.116596718195</v>
      </c>
      <c r="D64" s="78">
        <f>'Main Info'!F41</f>
        <v>124602.520823454</v>
      </c>
      <c r="E64" s="78">
        <f t="shared" si="6"/>
        <v>6541.0544365812229</v>
      </c>
    </row>
    <row r="65" spans="1:5">
      <c r="A65" s="80"/>
      <c r="B65" s="81"/>
      <c r="C65" s="82"/>
      <c r="D65" s="81"/>
      <c r="E65" s="8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Input'!L4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Input'!L5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Input'!L6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Input'!O4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Input'!O5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Input'!O6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E11" sqref="E11"/>
    </sheetView>
  </sheetViews>
  <sheetFormatPr defaultRowHeight="15"/>
  <cols>
    <col min="3" max="3" width="91.5703125" bestFit="1" customWidth="1"/>
    <col min="6" max="6" width="11.42578125" bestFit="1" customWidth="1"/>
  </cols>
  <sheetData>
    <row r="1" spans="2:6" s="16" customFormat="1" ht="15.75" thickBot="1"/>
    <row r="2" spans="2:6">
      <c r="B2" t="s">
        <v>131</v>
      </c>
      <c r="C2" t="s">
        <v>132</v>
      </c>
      <c r="D2" t="s">
        <v>138</v>
      </c>
      <c r="F2" s="99" t="s">
        <v>169</v>
      </c>
    </row>
    <row r="3" spans="2:6" ht="15.75" thickBot="1">
      <c r="B3">
        <v>1</v>
      </c>
      <c r="C3" t="s">
        <v>133</v>
      </c>
      <c r="D3" t="s">
        <v>139</v>
      </c>
      <c r="F3" s="100" t="s">
        <v>187</v>
      </c>
    </row>
    <row r="4" spans="2:6">
      <c r="B4">
        <f>B3+1</f>
        <v>2</v>
      </c>
      <c r="C4" t="s">
        <v>134</v>
      </c>
      <c r="D4" t="s">
        <v>139</v>
      </c>
    </row>
    <row r="5" spans="2:6">
      <c r="B5" s="16">
        <f t="shared" ref="B5:B15" si="0">B4+1</f>
        <v>3</v>
      </c>
      <c r="C5" t="s">
        <v>135</v>
      </c>
      <c r="D5" t="s">
        <v>139</v>
      </c>
    </row>
    <row r="6" spans="2:6">
      <c r="B6" s="16">
        <f t="shared" si="0"/>
        <v>4</v>
      </c>
      <c r="C6" t="s">
        <v>136</v>
      </c>
      <c r="D6" t="s">
        <v>139</v>
      </c>
    </row>
    <row r="7" spans="2:6">
      <c r="B7" s="16">
        <f t="shared" si="0"/>
        <v>5</v>
      </c>
      <c r="C7" t="s">
        <v>137</v>
      </c>
      <c r="D7" t="s">
        <v>139</v>
      </c>
    </row>
    <row r="8" spans="2:6">
      <c r="B8" s="16">
        <f t="shared" si="0"/>
        <v>6</v>
      </c>
      <c r="C8" t="s">
        <v>141</v>
      </c>
      <c r="D8" t="s">
        <v>140</v>
      </c>
    </row>
    <row r="9" spans="2:6">
      <c r="B9" s="16">
        <f t="shared" si="0"/>
        <v>7</v>
      </c>
      <c r="C9" t="s">
        <v>142</v>
      </c>
      <c r="D9" s="16" t="s">
        <v>140</v>
      </c>
    </row>
    <row r="10" spans="2:6">
      <c r="B10" s="16">
        <f t="shared" si="0"/>
        <v>8</v>
      </c>
      <c r="C10" t="s">
        <v>144</v>
      </c>
      <c r="D10" s="16" t="s">
        <v>140</v>
      </c>
    </row>
    <row r="11" spans="2:6">
      <c r="B11" s="16">
        <f t="shared" si="0"/>
        <v>9</v>
      </c>
      <c r="C11" t="s">
        <v>143</v>
      </c>
      <c r="D11" s="16" t="s">
        <v>140</v>
      </c>
    </row>
    <row r="12" spans="2:6">
      <c r="B12" s="16">
        <f t="shared" si="0"/>
        <v>10</v>
      </c>
      <c r="C12" t="s">
        <v>145</v>
      </c>
      <c r="D12" s="16" t="s">
        <v>140</v>
      </c>
    </row>
    <row r="13" spans="2:6">
      <c r="B13" s="16">
        <f t="shared" si="0"/>
        <v>11</v>
      </c>
      <c r="C13" t="s">
        <v>157</v>
      </c>
      <c r="D13" t="s">
        <v>140</v>
      </c>
    </row>
    <row r="14" spans="2:6">
      <c r="B14" s="16">
        <f t="shared" si="0"/>
        <v>12</v>
      </c>
      <c r="C14" t="s">
        <v>164</v>
      </c>
      <c r="D14" t="s">
        <v>168</v>
      </c>
    </row>
    <row r="15" spans="2:6">
      <c r="B15" s="16">
        <f t="shared" si="0"/>
        <v>13</v>
      </c>
      <c r="C15" t="s">
        <v>165</v>
      </c>
      <c r="D15" t="s">
        <v>168</v>
      </c>
    </row>
    <row r="16" spans="2:6">
      <c r="B16" s="16">
        <f>B15+1</f>
        <v>14</v>
      </c>
      <c r="C16" s="16" t="s">
        <v>188</v>
      </c>
      <c r="D16" t="s">
        <v>187</v>
      </c>
    </row>
    <row r="17" spans="2:4">
      <c r="B17" s="16">
        <f t="shared" ref="B17:B22" si="1">B16+1</f>
        <v>15</v>
      </c>
      <c r="C17" s="16" t="s">
        <v>189</v>
      </c>
      <c r="D17" s="16" t="s">
        <v>187</v>
      </c>
    </row>
    <row r="18" spans="2:4">
      <c r="B18" s="16">
        <f t="shared" si="1"/>
        <v>16</v>
      </c>
      <c r="C18" s="16" t="s">
        <v>190</v>
      </c>
      <c r="D18" s="16" t="s">
        <v>187</v>
      </c>
    </row>
    <row r="19" spans="2:4">
      <c r="B19" s="16">
        <f t="shared" si="1"/>
        <v>17</v>
      </c>
      <c r="C19" s="16" t="s">
        <v>191</v>
      </c>
      <c r="D19" s="16" t="s">
        <v>187</v>
      </c>
    </row>
    <row r="20" spans="2:4">
      <c r="B20" s="16">
        <f t="shared" si="1"/>
        <v>18</v>
      </c>
      <c r="C20" s="16" t="s">
        <v>192</v>
      </c>
      <c r="D20" s="16" t="s">
        <v>187</v>
      </c>
    </row>
    <row r="21" spans="2:4">
      <c r="B21" s="16">
        <f t="shared" si="1"/>
        <v>19</v>
      </c>
      <c r="C21" s="16" t="s">
        <v>193</v>
      </c>
      <c r="D21" s="16" t="s">
        <v>187</v>
      </c>
    </row>
    <row r="22" spans="2:4">
      <c r="B22" s="16">
        <f t="shared" si="1"/>
        <v>20</v>
      </c>
      <c r="C22" s="16" t="s">
        <v>194</v>
      </c>
      <c r="D22" s="1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Student Loans</vt:lpstr>
      <vt:lpstr>Credit Card Debt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2016-09-14T03:35:30Z</dcterms:modified>
</cp:coreProperties>
</file>