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Budget\"/>
    </mc:Choice>
  </mc:AlternateContent>
  <bookViews>
    <workbookView xWindow="0" yWindow="0" windowWidth="20490" windowHeight="7755" activeTab="1"/>
  </bookViews>
  <sheets>
    <sheet name="Data Input" sheetId="7" r:id="rId1"/>
    <sheet name="Main Info" sheetId="2" r:id="rId2"/>
    <sheet name="Mortgage Sheet" sheetId="1" r:id="rId3"/>
    <sheet name="Spending" sheetId="4" r:id="rId4"/>
    <sheet name="Tax Information" sheetId="6" r:id="rId5"/>
    <sheet name="Change Log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4" i="8" l="1"/>
  <c r="B5" i="8"/>
  <c r="B6" i="8"/>
  <c r="B7" i="8" s="1"/>
  <c r="B8" i="8" s="1"/>
  <c r="B9" i="8" s="1"/>
  <c r="B10" i="8" s="1"/>
  <c r="B11" i="8" s="1"/>
  <c r="B12" i="8" s="1"/>
  <c r="B13" i="8" s="1"/>
  <c r="B14" i="8" s="1"/>
  <c r="B15" i="8" s="1"/>
  <c r="B3" i="8"/>
  <c r="C15" i="6"/>
  <c r="C6" i="6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A25" i="6" l="1"/>
  <c r="G1" i="1" l="1"/>
  <c r="L2" i="1"/>
  <c r="K2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E7" i="7"/>
  <c r="E15" i="7"/>
  <c r="B15" i="7"/>
  <c r="B7" i="7"/>
  <c r="B4" i="7"/>
  <c r="B24" i="7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Q3" i="4"/>
  <c r="P3" i="4"/>
  <c r="O3" i="4"/>
  <c r="M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K3" i="4"/>
  <c r="J3" i="4"/>
  <c r="I3" i="4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G2" i="1"/>
  <c r="G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" i="2"/>
  <c r="B2" i="2" s="1"/>
  <c r="A1" i="2"/>
  <c r="I21" i="7"/>
  <c r="I22" i="7" s="1"/>
  <c r="J4" i="7" s="1"/>
  <c r="G9" i="4" s="1"/>
  <c r="G12" i="4" l="1"/>
  <c r="G42" i="4"/>
  <c r="G26" i="4"/>
  <c r="G10" i="4"/>
  <c r="G39" i="4"/>
  <c r="G23" i="4"/>
  <c r="G7" i="4"/>
  <c r="G27" i="4"/>
  <c r="G4" i="4"/>
  <c r="G35" i="4"/>
  <c r="G19" i="4"/>
  <c r="G44" i="4"/>
  <c r="G43" i="4"/>
  <c r="G36" i="4"/>
  <c r="G34" i="4"/>
  <c r="G18" i="4"/>
  <c r="G28" i="4"/>
  <c r="G11" i="4"/>
  <c r="G20" i="4"/>
  <c r="G47" i="4"/>
  <c r="G31" i="4"/>
  <c r="G15" i="4"/>
  <c r="G40" i="4"/>
  <c r="G32" i="4"/>
  <c r="G24" i="4"/>
  <c r="G16" i="4"/>
  <c r="G8" i="4"/>
  <c r="G46" i="4"/>
  <c r="G38" i="4"/>
  <c r="G30" i="4"/>
  <c r="G22" i="4"/>
  <c r="G14" i="4"/>
  <c r="G6" i="4"/>
  <c r="G3" i="4"/>
  <c r="G45" i="4"/>
  <c r="G37" i="4"/>
  <c r="G29" i="4"/>
  <c r="G21" i="4"/>
  <c r="G13" i="4"/>
  <c r="G5" i="4"/>
  <c r="G41" i="4"/>
  <c r="G33" i="4"/>
  <c r="G25" i="4"/>
  <c r="G17" i="4"/>
  <c r="E2" i="2"/>
  <c r="D2" i="2" s="1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C2" i="2" l="1"/>
  <c r="E1" i="1"/>
  <c r="H14" i="6"/>
  <c r="H15" i="6"/>
  <c r="H16" i="6"/>
  <c r="H17" i="6"/>
  <c r="H18" i="6"/>
  <c r="H19" i="6"/>
  <c r="H20" i="6"/>
  <c r="H13" i="6"/>
  <c r="G11" i="6"/>
  <c r="F11" i="6"/>
  <c r="H11" i="6"/>
  <c r="I11" i="6"/>
  <c r="J11" i="6"/>
  <c r="E11" i="6"/>
  <c r="E24" i="7"/>
  <c r="F24" i="7" s="1"/>
  <c r="E13" i="7"/>
  <c r="G4" i="7" l="1"/>
  <c r="D3" i="4"/>
  <c r="B25" i="7"/>
  <c r="C24" i="7"/>
  <c r="H2" i="2" s="1"/>
  <c r="E11" i="7"/>
  <c r="E25" i="7" l="1"/>
  <c r="F25" i="7" s="1"/>
  <c r="D4" i="4" s="1"/>
  <c r="C25" i="7"/>
  <c r="H3" i="2" s="1"/>
  <c r="B26" i="7"/>
  <c r="E1" i="2"/>
  <c r="B1" i="2"/>
  <c r="E14" i="7"/>
  <c r="E9" i="7"/>
  <c r="E10" i="7"/>
  <c r="E12" i="7"/>
  <c r="E8" i="7"/>
  <c r="E26" i="7" l="1"/>
  <c r="F26" i="7" s="1"/>
  <c r="D5" i="4" s="1"/>
  <c r="B27" i="7"/>
  <c r="C26" i="7"/>
  <c r="H4" i="2" s="1"/>
  <c r="A3" i="2"/>
  <c r="E3" i="2" l="1"/>
  <c r="B3" i="2"/>
  <c r="B28" i="7"/>
  <c r="E27" i="7"/>
  <c r="F27" i="7" s="1"/>
  <c r="D6" i="4" s="1"/>
  <c r="C27" i="7"/>
  <c r="H5" i="2" s="1"/>
  <c r="P2" i="2"/>
  <c r="A4" i="2"/>
  <c r="D3" i="2" l="1"/>
  <c r="B4" i="2"/>
  <c r="E4" i="2"/>
  <c r="C3" i="2"/>
  <c r="P3" i="2" s="1"/>
  <c r="B29" i="7"/>
  <c r="E28" i="7"/>
  <c r="F28" i="7" s="1"/>
  <c r="D7" i="4" s="1"/>
  <c r="C28" i="7"/>
  <c r="H6" i="2" s="1"/>
  <c r="A5" i="2"/>
  <c r="C4" i="2" l="1"/>
  <c r="P4" i="2" s="1"/>
  <c r="D4" i="2"/>
  <c r="B5" i="2"/>
  <c r="E5" i="2"/>
  <c r="B30" i="7"/>
  <c r="E29" i="7"/>
  <c r="F29" i="7" s="1"/>
  <c r="D8" i="4" s="1"/>
  <c r="C29" i="7"/>
  <c r="H7" i="2" s="1"/>
  <c r="A6" i="2"/>
  <c r="C5" i="2" l="1"/>
  <c r="P5" i="2" s="1"/>
  <c r="D5" i="2"/>
  <c r="E6" i="2"/>
  <c r="B6" i="2"/>
  <c r="D6" i="2" s="1"/>
  <c r="B31" i="7"/>
  <c r="E30" i="7"/>
  <c r="F30" i="7" s="1"/>
  <c r="D9" i="4" s="1"/>
  <c r="C30" i="7"/>
  <c r="H8" i="2" s="1"/>
  <c r="A7" i="2"/>
  <c r="C6" i="2" l="1"/>
  <c r="P6" i="2" s="1"/>
  <c r="E7" i="2"/>
  <c r="B7" i="2"/>
  <c r="D7" i="2" s="1"/>
  <c r="B32" i="7"/>
  <c r="E31" i="7"/>
  <c r="F31" i="7" s="1"/>
  <c r="D10" i="4" s="1"/>
  <c r="C31" i="7"/>
  <c r="H9" i="2" s="1"/>
  <c r="A8" i="2"/>
  <c r="L5" i="2"/>
  <c r="M5" i="2"/>
  <c r="C7" i="2" l="1"/>
  <c r="P7" i="2" s="1"/>
  <c r="B8" i="2"/>
  <c r="C8" i="2" s="1"/>
  <c r="E8" i="2"/>
  <c r="B33" i="7"/>
  <c r="E32" i="7"/>
  <c r="F32" i="7" s="1"/>
  <c r="D11" i="4" s="1"/>
  <c r="C32" i="7"/>
  <c r="H10" i="2" s="1"/>
  <c r="A9" i="2"/>
  <c r="L3" i="2"/>
  <c r="L4" i="2"/>
  <c r="B9" i="2" l="1"/>
  <c r="C9" i="2" s="1"/>
  <c r="E9" i="2"/>
  <c r="D8" i="2"/>
  <c r="B34" i="7"/>
  <c r="E33" i="7"/>
  <c r="F33" i="7" s="1"/>
  <c r="D12" i="4" s="1"/>
  <c r="C33" i="7"/>
  <c r="H11" i="2" s="1"/>
  <c r="P8" i="2"/>
  <c r="A10" i="2"/>
  <c r="D9" i="2" l="1"/>
  <c r="E10" i="2"/>
  <c r="B10" i="2"/>
  <c r="D10" i="2" s="1"/>
  <c r="B35" i="7"/>
  <c r="E34" i="7"/>
  <c r="F34" i="7" s="1"/>
  <c r="D13" i="4" s="1"/>
  <c r="C34" i="7"/>
  <c r="H12" i="2" s="1"/>
  <c r="P9" i="2"/>
  <c r="A11" i="2"/>
  <c r="E11" i="2" l="1"/>
  <c r="B11" i="2"/>
  <c r="D11" i="2" s="1"/>
  <c r="C10" i="2"/>
  <c r="P10" i="2" s="1"/>
  <c r="B36" i="7"/>
  <c r="E35" i="7"/>
  <c r="F35" i="7" s="1"/>
  <c r="D14" i="4" s="1"/>
  <c r="C35" i="7"/>
  <c r="H13" i="2" s="1"/>
  <c r="A12" i="2"/>
  <c r="B12" i="2" l="1"/>
  <c r="C12" i="2" s="1"/>
  <c r="E12" i="2"/>
  <c r="C11" i="2"/>
  <c r="B37" i="7"/>
  <c r="E36" i="7"/>
  <c r="F36" i="7" s="1"/>
  <c r="D15" i="4" s="1"/>
  <c r="C36" i="7"/>
  <c r="H14" i="2" s="1"/>
  <c r="A13" i="2"/>
  <c r="P11" i="2" l="1"/>
  <c r="P12" i="2" s="1"/>
  <c r="D12" i="2"/>
  <c r="B13" i="2"/>
  <c r="C13" i="2" s="1"/>
  <c r="E13" i="2"/>
  <c r="B38" i="7"/>
  <c r="E37" i="7"/>
  <c r="F37" i="7" s="1"/>
  <c r="D16" i="4" s="1"/>
  <c r="C37" i="7"/>
  <c r="H15" i="2" s="1"/>
  <c r="A14" i="2"/>
  <c r="L6" i="2"/>
  <c r="Q5" i="2"/>
  <c r="D13" i="2" l="1"/>
  <c r="E14" i="2"/>
  <c r="B14" i="2"/>
  <c r="D14" i="2" s="1"/>
  <c r="B39" i="7"/>
  <c r="E38" i="7"/>
  <c r="F38" i="7" s="1"/>
  <c r="D17" i="4" s="1"/>
  <c r="C38" i="7"/>
  <c r="H16" i="2" s="1"/>
  <c r="P13" i="2"/>
  <c r="A15" i="2"/>
  <c r="L7" i="2"/>
  <c r="C14" i="2" l="1"/>
  <c r="P14" i="2" s="1"/>
  <c r="E15" i="2"/>
  <c r="B15" i="2"/>
  <c r="D15" i="2" s="1"/>
  <c r="B40" i="7"/>
  <c r="E39" i="7"/>
  <c r="F39" i="7" s="1"/>
  <c r="D18" i="4" s="1"/>
  <c r="C39" i="7"/>
  <c r="H17" i="2" s="1"/>
  <c r="A16" i="2"/>
  <c r="L8" i="2"/>
  <c r="C15" i="2" l="1"/>
  <c r="P15" i="2" s="1"/>
  <c r="B16" i="2"/>
  <c r="D16" i="2" s="1"/>
  <c r="E16" i="2"/>
  <c r="B41" i="7"/>
  <c r="E40" i="7"/>
  <c r="F40" i="7" s="1"/>
  <c r="D19" i="4" s="1"/>
  <c r="C40" i="7"/>
  <c r="H18" i="2" s="1"/>
  <c r="A17" i="2"/>
  <c r="L9" i="2"/>
  <c r="C16" i="2" l="1"/>
  <c r="P16" i="2" s="1"/>
  <c r="B17" i="2"/>
  <c r="C17" i="2" s="1"/>
  <c r="E17" i="2"/>
  <c r="B42" i="7"/>
  <c r="E41" i="7"/>
  <c r="F41" i="7" s="1"/>
  <c r="D20" i="4" s="1"/>
  <c r="C41" i="7"/>
  <c r="H19" i="2" s="1"/>
  <c r="A18" i="2"/>
  <c r="L10" i="2"/>
  <c r="D17" i="2" l="1"/>
  <c r="E18" i="2"/>
  <c r="B18" i="2"/>
  <c r="D18" i="2" s="1"/>
  <c r="E42" i="7"/>
  <c r="F42" i="7" s="1"/>
  <c r="D21" i="4" s="1"/>
  <c r="C42" i="7"/>
  <c r="H20" i="2" s="1"/>
  <c r="B43" i="7"/>
  <c r="P17" i="2"/>
  <c r="A19" i="2"/>
  <c r="L11" i="2"/>
  <c r="C18" i="2" l="1"/>
  <c r="P18" i="2" s="1"/>
  <c r="E19" i="2"/>
  <c r="B19" i="2"/>
  <c r="D19" i="2" s="1"/>
  <c r="B44" i="7"/>
  <c r="E43" i="7"/>
  <c r="F43" i="7" s="1"/>
  <c r="D22" i="4" s="1"/>
  <c r="C43" i="7"/>
  <c r="H21" i="2" s="1"/>
  <c r="A20" i="2"/>
  <c r="L12" i="2"/>
  <c r="C19" i="2" l="1"/>
  <c r="B20" i="2"/>
  <c r="C20" i="2" s="1"/>
  <c r="E20" i="2"/>
  <c r="B45" i="7"/>
  <c r="E44" i="7"/>
  <c r="F44" i="7" s="1"/>
  <c r="D23" i="4" s="1"/>
  <c r="C44" i="7"/>
  <c r="H22" i="2" s="1"/>
  <c r="A21" i="2"/>
  <c r="L13" i="2"/>
  <c r="P19" i="2" l="1"/>
  <c r="P20" i="2" s="1"/>
  <c r="D20" i="2"/>
  <c r="B21" i="2"/>
  <c r="C21" i="2" s="1"/>
  <c r="E21" i="2"/>
  <c r="B46" i="7"/>
  <c r="E45" i="7"/>
  <c r="F45" i="7" s="1"/>
  <c r="D24" i="4" s="1"/>
  <c r="C45" i="7"/>
  <c r="H23" i="2" s="1"/>
  <c r="A22" i="2"/>
  <c r="L14" i="2"/>
  <c r="D21" i="2" l="1"/>
  <c r="E22" i="2"/>
  <c r="B22" i="2"/>
  <c r="D22" i="2" s="1"/>
  <c r="B47" i="7"/>
  <c r="E46" i="7"/>
  <c r="F46" i="7" s="1"/>
  <c r="D25" i="4" s="1"/>
  <c r="C46" i="7"/>
  <c r="H24" i="2" s="1"/>
  <c r="P21" i="2"/>
  <c r="A23" i="2"/>
  <c r="L15" i="2"/>
  <c r="E23" i="2" l="1"/>
  <c r="B23" i="2"/>
  <c r="D23" i="2" s="1"/>
  <c r="C22" i="2"/>
  <c r="P22" i="2" s="1"/>
  <c r="B48" i="7"/>
  <c r="E47" i="7"/>
  <c r="F47" i="7" s="1"/>
  <c r="D26" i="4" s="1"/>
  <c r="C47" i="7"/>
  <c r="H25" i="2" s="1"/>
  <c r="A24" i="2"/>
  <c r="L16" i="2"/>
  <c r="C23" i="2" l="1"/>
  <c r="P23" i="2" s="1"/>
  <c r="B24" i="2"/>
  <c r="C24" i="2" s="1"/>
  <c r="E24" i="2"/>
  <c r="E48" i="7"/>
  <c r="F48" i="7" s="1"/>
  <c r="D27" i="4" s="1"/>
  <c r="B49" i="7"/>
  <c r="C48" i="7"/>
  <c r="H26" i="2" s="1"/>
  <c r="A25" i="2"/>
  <c r="L17" i="2"/>
  <c r="D24" i="2" l="1"/>
  <c r="B25" i="2"/>
  <c r="C25" i="2" s="1"/>
  <c r="E25" i="2"/>
  <c r="E49" i="7"/>
  <c r="F49" i="7" s="1"/>
  <c r="D28" i="4" s="1"/>
  <c r="C49" i="7"/>
  <c r="H27" i="2" s="1"/>
  <c r="B50" i="7"/>
  <c r="P24" i="2"/>
  <c r="A26" i="2"/>
  <c r="L18" i="2"/>
  <c r="D25" i="2" l="1"/>
  <c r="E26" i="2"/>
  <c r="B26" i="2"/>
  <c r="D26" i="2" s="1"/>
  <c r="E50" i="7"/>
  <c r="F50" i="7" s="1"/>
  <c r="D29" i="4" s="1"/>
  <c r="B51" i="7"/>
  <c r="C50" i="7"/>
  <c r="H28" i="2" s="1"/>
  <c r="P25" i="2"/>
  <c r="A27" i="2"/>
  <c r="L19" i="2"/>
  <c r="C26" i="2" l="1"/>
  <c r="P26" i="2" s="1"/>
  <c r="E27" i="2"/>
  <c r="B27" i="2"/>
  <c r="D27" i="2" s="1"/>
  <c r="E51" i="7"/>
  <c r="F51" i="7" s="1"/>
  <c r="D30" i="4" s="1"/>
  <c r="B52" i="7"/>
  <c r="C51" i="7"/>
  <c r="H29" i="2" s="1"/>
  <c r="A28" i="2"/>
  <c r="L20" i="2"/>
  <c r="C27" i="2" l="1"/>
  <c r="P27" i="2" s="1"/>
  <c r="B28" i="2"/>
  <c r="C28" i="2" s="1"/>
  <c r="E28" i="2"/>
  <c r="B53" i="7"/>
  <c r="E52" i="7"/>
  <c r="F52" i="7" s="1"/>
  <c r="D31" i="4" s="1"/>
  <c r="C52" i="7"/>
  <c r="H30" i="2" s="1"/>
  <c r="A29" i="2"/>
  <c r="L21" i="2"/>
  <c r="D28" i="2" l="1"/>
  <c r="B29" i="2"/>
  <c r="C29" i="2" s="1"/>
  <c r="E29" i="2"/>
  <c r="E53" i="7"/>
  <c r="F53" i="7" s="1"/>
  <c r="D32" i="4" s="1"/>
  <c r="C53" i="7"/>
  <c r="H31" i="2" s="1"/>
  <c r="P28" i="2"/>
  <c r="A30" i="2"/>
  <c r="L22" i="2"/>
  <c r="D29" i="2" l="1"/>
  <c r="E30" i="2"/>
  <c r="B30" i="2"/>
  <c r="D30" i="2" s="1"/>
  <c r="P29" i="2"/>
  <c r="A31" i="2"/>
  <c r="L23" i="2"/>
  <c r="E31" i="2" l="1"/>
  <c r="B31" i="2"/>
  <c r="D31" i="2" s="1"/>
  <c r="C30" i="2"/>
  <c r="L24" i="2"/>
  <c r="P30" i="2" l="1"/>
  <c r="C31" i="2"/>
  <c r="L25" i="2"/>
  <c r="P31" i="2" l="1"/>
  <c r="L26" i="2"/>
  <c r="L27" i="2" l="1"/>
  <c r="L28" i="2" l="1"/>
  <c r="L29" i="2" l="1"/>
  <c r="L2" i="2" l="1"/>
  <c r="M2" i="2"/>
  <c r="Q2" i="2" s="1"/>
  <c r="M3" i="2" l="1"/>
  <c r="Q3" i="2" s="1"/>
  <c r="M4" i="2"/>
  <c r="Q4" i="2" s="1"/>
  <c r="M7" i="2" l="1"/>
  <c r="M8" i="2" l="1"/>
  <c r="Q8" i="2" s="1"/>
  <c r="M6" i="2"/>
  <c r="Q6" i="2" s="1"/>
  <c r="Q7" i="2"/>
  <c r="K5" i="1"/>
  <c r="R5" i="4" l="1"/>
  <c r="M9" i="2"/>
  <c r="H5" i="1"/>
  <c r="S5" i="4" l="1"/>
  <c r="R37" i="4"/>
  <c r="M10" i="2"/>
  <c r="Q10" i="2" s="1"/>
  <c r="J5" i="1"/>
  <c r="Q9" i="2"/>
  <c r="S37" i="4" l="1"/>
  <c r="M11" i="2"/>
  <c r="R38" i="4" l="1"/>
  <c r="M12" i="2"/>
  <c r="Q12" i="2" s="1"/>
  <c r="Q11" i="2"/>
  <c r="R41" i="4" l="1"/>
  <c r="R40" i="4"/>
  <c r="R39" i="4"/>
  <c r="S38" i="4"/>
  <c r="M13" i="2"/>
  <c r="S40" i="4" l="1"/>
  <c r="S41" i="4"/>
  <c r="S39" i="4"/>
  <c r="M14" i="2"/>
  <c r="Q14" i="2" s="1"/>
  <c r="Q13" i="2"/>
  <c r="M15" i="2" l="1"/>
  <c r="R42" i="4" l="1"/>
  <c r="M16" i="2"/>
  <c r="Q16" i="2" s="1"/>
  <c r="Q15" i="2"/>
  <c r="S42" i="4" l="1"/>
  <c r="R43" i="4"/>
  <c r="M17" i="2"/>
  <c r="S43" i="4" l="1"/>
  <c r="R45" i="4"/>
  <c r="R44" i="4"/>
  <c r="M20" i="2"/>
  <c r="M18" i="2"/>
  <c r="Q17" i="2"/>
  <c r="S45" i="4" l="1"/>
  <c r="S44" i="4"/>
  <c r="M21" i="2"/>
  <c r="M19" i="2"/>
  <c r="Q18" i="2"/>
  <c r="R46" i="4" l="1"/>
  <c r="M22" i="2"/>
  <c r="Q19" i="2"/>
  <c r="R47" i="4" l="1"/>
  <c r="S46" i="4"/>
  <c r="M23" i="2"/>
  <c r="Q20" i="2"/>
  <c r="S47" i="4" l="1"/>
  <c r="M24" i="2"/>
  <c r="Q21" i="2"/>
  <c r="Q22" i="2"/>
  <c r="M25" i="2" l="1"/>
  <c r="Q24" i="2"/>
  <c r="Q23" i="2"/>
  <c r="M26" i="2" l="1"/>
  <c r="Q26" i="2" s="1"/>
  <c r="M27" i="2" l="1"/>
  <c r="Q27" i="2" s="1"/>
  <c r="M29" i="2" l="1"/>
  <c r="Q29" i="2" s="1"/>
  <c r="M28" i="2"/>
  <c r="Q28" i="2" s="1"/>
  <c r="Q25" i="2"/>
  <c r="L30" i="2" l="1"/>
  <c r="M30" i="2"/>
  <c r="Q30" i="2" s="1"/>
  <c r="L31" i="2" l="1"/>
  <c r="M31" i="2" l="1"/>
  <c r="Q31" i="2" s="1"/>
  <c r="I5" i="1" l="1"/>
  <c r="F5" i="1" s="1"/>
  <c r="G5" i="1" l="1"/>
  <c r="K6" i="1" s="1"/>
  <c r="K3" i="1"/>
  <c r="I13" i="7" s="1"/>
  <c r="R36" i="4" l="1"/>
  <c r="I6" i="1"/>
  <c r="F6" i="1" s="1"/>
  <c r="H6" i="1"/>
  <c r="R3" i="4" l="1"/>
  <c r="S3" i="4" s="1"/>
  <c r="C6" i="1"/>
  <c r="S36" i="4"/>
  <c r="G6" i="1"/>
  <c r="K7" i="1" s="1"/>
  <c r="J6" i="1"/>
  <c r="I7" i="1" l="1"/>
  <c r="H7" i="1"/>
  <c r="F7" i="1" l="1"/>
  <c r="G7" i="1" s="1"/>
  <c r="K8" i="1" s="1"/>
  <c r="J7" i="1"/>
  <c r="I8" i="1" l="1"/>
  <c r="H8" i="1"/>
  <c r="F8" i="1" l="1"/>
  <c r="G8" i="1" s="1"/>
  <c r="K9" i="1" s="1"/>
  <c r="J8" i="1"/>
  <c r="H9" i="1" l="1"/>
  <c r="I9" i="1"/>
  <c r="F9" i="1" s="1"/>
  <c r="G9" i="1" l="1"/>
  <c r="K10" i="1" s="1"/>
  <c r="J9" i="1"/>
  <c r="I10" i="1" l="1"/>
  <c r="H10" i="1"/>
  <c r="F10" i="1" l="1"/>
  <c r="G10" i="1" s="1"/>
  <c r="K11" i="1" s="1"/>
  <c r="I11" i="1" s="1"/>
  <c r="J10" i="1"/>
  <c r="H11" i="1" l="1"/>
  <c r="F11" i="1" l="1"/>
  <c r="G11" i="1" s="1"/>
  <c r="K12" i="1" s="1"/>
  <c r="J11" i="1"/>
  <c r="H12" i="1" l="1"/>
  <c r="J12" i="1" s="1"/>
  <c r="I12" i="1"/>
  <c r="F12" i="1" s="1"/>
  <c r="G12" i="1" l="1"/>
  <c r="K13" i="1" s="1"/>
  <c r="H13" i="1" s="1"/>
  <c r="I13" i="1" l="1"/>
  <c r="F13" i="1" s="1"/>
  <c r="G13" i="1" s="1"/>
  <c r="K14" i="1" s="1"/>
  <c r="I14" i="1" s="1"/>
  <c r="J13" i="1"/>
  <c r="H14" i="1" l="1"/>
  <c r="J14" i="1" s="1"/>
  <c r="F14" i="1"/>
  <c r="G14" i="1" l="1"/>
  <c r="K15" i="1" s="1"/>
  <c r="I15" i="1" s="1"/>
  <c r="H15" i="1" l="1"/>
  <c r="J15" i="1" s="1"/>
  <c r="F15" i="1"/>
  <c r="G15" i="1" l="1"/>
  <c r="K16" i="1" s="1"/>
  <c r="H16" i="1" s="1"/>
  <c r="J16" i="1" l="1"/>
  <c r="I16" i="1"/>
  <c r="F16" i="1" s="1"/>
  <c r="B6" i="1" s="1"/>
  <c r="G16" i="1" l="1"/>
  <c r="K17" i="1" l="1"/>
  <c r="H17" i="1" s="1"/>
  <c r="J17" i="1" l="1"/>
  <c r="I17" i="1"/>
  <c r="F17" i="1" s="1"/>
  <c r="G17" i="1" s="1"/>
  <c r="K18" i="1" s="1"/>
  <c r="H18" i="1" s="1"/>
  <c r="I18" i="1" l="1"/>
  <c r="F18" i="1" s="1"/>
  <c r="G18" i="1" s="1"/>
  <c r="K19" i="1" s="1"/>
  <c r="H19" i="1" s="1"/>
  <c r="J18" i="1"/>
  <c r="C7" i="1"/>
  <c r="I19" i="1" l="1"/>
  <c r="F19" i="1" s="1"/>
  <c r="G19" i="1" s="1"/>
  <c r="K20" i="1" s="1"/>
  <c r="I20" i="1" s="1"/>
  <c r="J19" i="1"/>
  <c r="H20" i="1" l="1"/>
  <c r="J20" i="1" s="1"/>
  <c r="F20" i="1"/>
  <c r="G20" i="1" l="1"/>
  <c r="K21" i="1" s="1"/>
  <c r="H21" i="1" s="1"/>
  <c r="J21" i="1" l="1"/>
  <c r="I21" i="1"/>
  <c r="F21" i="1" s="1"/>
  <c r="G21" i="1" s="1"/>
  <c r="K22" i="1" s="1"/>
  <c r="H22" i="1" s="1"/>
  <c r="J22" i="1" l="1"/>
  <c r="I22" i="1"/>
  <c r="F22" i="1" s="1"/>
  <c r="G22" i="1" s="1"/>
  <c r="K23" i="1" s="1"/>
  <c r="H23" i="1" s="1"/>
  <c r="J23" i="1" l="1"/>
  <c r="I23" i="1"/>
  <c r="F23" i="1" s="1"/>
  <c r="G23" i="1" s="1"/>
  <c r="K24" i="1" s="1"/>
  <c r="I24" i="1" s="1"/>
  <c r="H24" i="1" l="1"/>
  <c r="J24" i="1" s="1"/>
  <c r="F24" i="1" l="1"/>
  <c r="G24" i="1" s="1"/>
  <c r="K25" i="1" s="1"/>
  <c r="I25" i="1" l="1"/>
  <c r="H25" i="1"/>
  <c r="J25" i="1" s="1"/>
  <c r="F25" i="1" l="1"/>
  <c r="G25" i="1" s="1"/>
  <c r="K26" i="1" s="1"/>
  <c r="H26" i="1" s="1"/>
  <c r="J26" i="1" s="1"/>
  <c r="I26" i="1" l="1"/>
  <c r="F26" i="1" s="1"/>
  <c r="G26" i="1" s="1"/>
  <c r="K27" i="1" s="1"/>
  <c r="I27" i="1" l="1"/>
  <c r="H27" i="1"/>
  <c r="J27" i="1" s="1"/>
  <c r="F27" i="1" l="1"/>
  <c r="G27" i="1" s="1"/>
  <c r="K28" i="1" s="1"/>
  <c r="H28" i="1" s="1"/>
  <c r="I28" i="1" l="1"/>
  <c r="F28" i="1" s="1"/>
  <c r="B7" i="1" s="1"/>
  <c r="J28" i="1"/>
  <c r="G28" i="1" l="1"/>
  <c r="K29" i="1" l="1"/>
  <c r="I29" i="1" s="1"/>
  <c r="H29" i="1" l="1"/>
  <c r="J29" i="1" s="1"/>
  <c r="F29" i="1" l="1"/>
  <c r="G29" i="1" s="1"/>
  <c r="K30" i="1" s="1"/>
  <c r="H30" i="1" s="1"/>
  <c r="C8" i="1" s="1"/>
  <c r="I30" i="1" l="1"/>
  <c r="F30" i="1" s="1"/>
  <c r="G30" i="1" s="1"/>
  <c r="K31" i="1" s="1"/>
  <c r="I31" i="1" s="1"/>
  <c r="J30" i="1"/>
  <c r="H31" i="1" l="1"/>
  <c r="F31" i="1" l="1"/>
  <c r="G31" i="1" s="1"/>
  <c r="K32" i="1" s="1"/>
  <c r="H32" i="1" s="1"/>
  <c r="J31" i="1"/>
  <c r="J32" i="1" l="1"/>
  <c r="I32" i="1"/>
  <c r="F32" i="1" s="1"/>
  <c r="G32" i="1" s="1"/>
  <c r="K33" i="1" s="1"/>
  <c r="I33" i="1" s="1"/>
  <c r="H33" i="1" l="1"/>
  <c r="F33" i="1" s="1"/>
  <c r="J33" i="1" l="1"/>
  <c r="G33" i="1"/>
  <c r="K34" i="1" s="1"/>
  <c r="I34" i="1" s="1"/>
  <c r="H34" i="1" l="1"/>
  <c r="J34" i="1" s="1"/>
  <c r="F34" i="1" l="1"/>
  <c r="G34" i="1" s="1"/>
  <c r="K35" i="1" s="1"/>
  <c r="I35" i="1" s="1"/>
  <c r="H35" i="1" l="1"/>
  <c r="J35" i="1" s="1"/>
  <c r="F35" i="1" l="1"/>
  <c r="G35" i="1" s="1"/>
  <c r="K36" i="1" s="1"/>
  <c r="I36" i="1" s="1"/>
  <c r="H36" i="1" l="1"/>
  <c r="J36" i="1" s="1"/>
  <c r="F36" i="1" l="1"/>
  <c r="G36" i="1" s="1"/>
  <c r="K37" i="1" s="1"/>
  <c r="I37" i="1" s="1"/>
  <c r="H37" i="1" l="1"/>
  <c r="J37" i="1" s="1"/>
  <c r="F37" i="1" l="1"/>
  <c r="G37" i="1" s="1"/>
  <c r="K38" i="1" s="1"/>
  <c r="I38" i="1" s="1"/>
  <c r="H38" i="1" l="1"/>
  <c r="J38" i="1" s="1"/>
  <c r="F38" i="1" l="1"/>
  <c r="G38" i="1" s="1"/>
  <c r="K39" i="1" s="1"/>
  <c r="I39" i="1" s="1"/>
  <c r="H39" i="1" l="1"/>
  <c r="J39" i="1" l="1"/>
  <c r="F39" i="1"/>
  <c r="G39" i="1" s="1"/>
  <c r="K40" i="1" s="1"/>
  <c r="H40" i="1" s="1"/>
  <c r="I40" i="1" l="1"/>
  <c r="F40" i="1" s="1"/>
  <c r="B8" i="1" s="1"/>
  <c r="J40" i="1"/>
  <c r="G40" i="1" l="1"/>
  <c r="K41" i="1" s="1"/>
  <c r="H41" i="1" s="1"/>
  <c r="J41" i="1" l="1"/>
  <c r="I41" i="1"/>
  <c r="F41" i="1" s="1"/>
  <c r="G41" i="1" s="1"/>
  <c r="K42" i="1" s="1"/>
  <c r="I42" i="1" s="1"/>
  <c r="H42" i="1" l="1"/>
  <c r="C9" i="1" s="1"/>
  <c r="F42" i="1" l="1"/>
  <c r="G42" i="1" s="1"/>
  <c r="K43" i="1" s="1"/>
  <c r="H43" i="1" s="1"/>
  <c r="J42" i="1"/>
  <c r="J43" i="1" l="1"/>
  <c r="I43" i="1"/>
  <c r="F43" i="1" s="1"/>
  <c r="G43" i="1" s="1"/>
  <c r="K44" i="1" s="1"/>
  <c r="H44" i="1" s="1"/>
  <c r="J44" i="1" l="1"/>
  <c r="I44" i="1"/>
  <c r="F44" i="1" s="1"/>
  <c r="G44" i="1" s="1"/>
  <c r="K45" i="1" s="1"/>
  <c r="H45" i="1" l="1"/>
  <c r="I45" i="1"/>
  <c r="F45" i="1" l="1"/>
  <c r="G45" i="1" s="1"/>
  <c r="K46" i="1" s="1"/>
  <c r="J45" i="1"/>
  <c r="I46" i="1" l="1"/>
  <c r="H46" i="1"/>
  <c r="J46" i="1" s="1"/>
  <c r="F46" i="1" l="1"/>
  <c r="G46" i="1" s="1"/>
  <c r="K47" i="1" s="1"/>
  <c r="I47" i="1" s="1"/>
  <c r="H47" i="1" l="1"/>
  <c r="J47" i="1" s="1"/>
  <c r="F47" i="1" l="1"/>
  <c r="G47" i="1" s="1"/>
  <c r="K48" i="1" s="1"/>
  <c r="I48" i="1" s="1"/>
  <c r="H48" i="1" l="1"/>
  <c r="J48" i="1" s="1"/>
  <c r="F48" i="1" l="1"/>
  <c r="G48" i="1" s="1"/>
  <c r="K49" i="1" s="1"/>
  <c r="I49" i="1" s="1"/>
  <c r="H49" i="1" l="1"/>
  <c r="J49" i="1" s="1"/>
  <c r="F49" i="1" l="1"/>
  <c r="G49" i="1" s="1"/>
  <c r="K50" i="1" s="1"/>
  <c r="I50" i="1" s="1"/>
  <c r="H50" i="1" l="1"/>
  <c r="F50" i="1" l="1"/>
  <c r="G50" i="1" s="1"/>
  <c r="K51" i="1" s="1"/>
  <c r="H51" i="1" s="1"/>
  <c r="J50" i="1"/>
  <c r="R8" i="4" l="1"/>
  <c r="I51" i="1"/>
  <c r="F51" i="1" s="1"/>
  <c r="G51" i="1" s="1"/>
  <c r="K52" i="1" s="1"/>
  <c r="H52" i="1" s="1"/>
  <c r="J51" i="1"/>
  <c r="R7" i="4" l="1"/>
  <c r="S8" i="4"/>
  <c r="I52" i="1"/>
  <c r="F52" i="1" s="1"/>
  <c r="G52" i="1" s="1"/>
  <c r="K53" i="1" s="1"/>
  <c r="J52" i="1"/>
  <c r="S7" i="4" l="1"/>
  <c r="B9" i="1"/>
  <c r="I53" i="1"/>
  <c r="H53" i="1"/>
  <c r="F53" i="1" l="1"/>
  <c r="G53" i="1" s="1"/>
  <c r="K54" i="1" s="1"/>
  <c r="H54" i="1" s="1"/>
  <c r="J53" i="1"/>
  <c r="C10" i="1" l="1"/>
  <c r="R9" i="4"/>
  <c r="J54" i="1"/>
  <c r="I54" i="1"/>
  <c r="F54" i="1" s="1"/>
  <c r="G54" i="1" s="1"/>
  <c r="K55" i="1" s="1"/>
  <c r="S9" i="4" l="1"/>
  <c r="H55" i="1"/>
  <c r="I55" i="1"/>
  <c r="F55" i="1" l="1"/>
  <c r="G55" i="1" s="1"/>
  <c r="K56" i="1" s="1"/>
  <c r="J55" i="1"/>
  <c r="I56" i="1" l="1"/>
  <c r="H56" i="1"/>
  <c r="F56" i="1" l="1"/>
  <c r="G56" i="1" s="1"/>
  <c r="K57" i="1" s="1"/>
  <c r="H57" i="1" s="1"/>
  <c r="J56" i="1"/>
  <c r="J57" i="1" l="1"/>
  <c r="I57" i="1"/>
  <c r="F57" i="1" s="1"/>
  <c r="G57" i="1" s="1"/>
  <c r="K58" i="1" s="1"/>
  <c r="I58" i="1" s="1"/>
  <c r="H58" i="1" l="1"/>
  <c r="F58" i="1" s="1"/>
  <c r="J58" i="1" l="1"/>
  <c r="G58" i="1"/>
  <c r="K59" i="1" s="1"/>
  <c r="I59" i="1" l="1"/>
  <c r="H59" i="1"/>
  <c r="J59" i="1" s="1"/>
  <c r="F59" i="1" l="1"/>
  <c r="G59" i="1" s="1"/>
  <c r="K60" i="1" s="1"/>
  <c r="H60" i="1" s="1"/>
  <c r="J60" i="1" s="1"/>
  <c r="I60" i="1" l="1"/>
  <c r="F60" i="1" s="1"/>
  <c r="G60" i="1" s="1"/>
  <c r="K61" i="1" s="1"/>
  <c r="I61" i="1" s="1"/>
  <c r="H61" i="1" l="1"/>
  <c r="J61" i="1" s="1"/>
  <c r="F61" i="1" l="1"/>
  <c r="G61" i="1" s="1"/>
  <c r="K62" i="1" s="1"/>
  <c r="I62" i="1" l="1"/>
  <c r="H62" i="1"/>
  <c r="J62" i="1" s="1"/>
  <c r="F62" i="1" l="1"/>
  <c r="G62" i="1" s="1"/>
  <c r="K63" i="1" s="1"/>
  <c r="I63" i="1" s="1"/>
  <c r="H63" i="1" l="1"/>
  <c r="J63" i="1" s="1"/>
  <c r="F63" i="1" l="1"/>
  <c r="G63" i="1" s="1"/>
  <c r="K64" i="1" s="1"/>
  <c r="H64" i="1" s="1"/>
  <c r="I64" i="1" l="1"/>
  <c r="F64" i="1" s="1"/>
  <c r="B10" i="1" s="1"/>
  <c r="J64" i="1"/>
  <c r="G64" i="1" l="1"/>
  <c r="K65" i="1" s="1"/>
  <c r="I65" i="1" s="1"/>
  <c r="H65" i="1" l="1"/>
  <c r="J65" i="1" l="1"/>
  <c r="F65" i="1"/>
  <c r="G65" i="1" s="1"/>
  <c r="K66" i="1" s="1"/>
  <c r="I66" i="1" s="1"/>
  <c r="H66" i="1" l="1"/>
  <c r="C11" i="1" s="1"/>
  <c r="R10" i="4" l="1"/>
  <c r="J66" i="1"/>
  <c r="F66" i="1"/>
  <c r="G66" i="1" s="1"/>
  <c r="K67" i="1" s="1"/>
  <c r="S10" i="4" l="1"/>
  <c r="H67" i="1"/>
  <c r="I67" i="1"/>
  <c r="J67" i="1" l="1"/>
  <c r="F67" i="1"/>
  <c r="G67" i="1" s="1"/>
  <c r="K68" i="1" s="1"/>
  <c r="I68" i="1" s="1"/>
  <c r="H68" i="1" l="1"/>
  <c r="J68" i="1" l="1"/>
  <c r="F68" i="1"/>
  <c r="G68" i="1" s="1"/>
  <c r="K69" i="1" s="1"/>
  <c r="I69" i="1" s="1"/>
  <c r="H69" i="1" l="1"/>
  <c r="J69" i="1" s="1"/>
  <c r="F69" i="1" l="1"/>
  <c r="G69" i="1" s="1"/>
  <c r="K70" i="1" s="1"/>
  <c r="H70" i="1" s="1"/>
  <c r="J70" i="1" s="1"/>
  <c r="I70" i="1" l="1"/>
  <c r="F70" i="1" s="1"/>
  <c r="G70" i="1" s="1"/>
  <c r="K71" i="1" s="1"/>
  <c r="H71" i="1" s="1"/>
  <c r="J71" i="1" s="1"/>
  <c r="I71" i="1" l="1"/>
  <c r="F71" i="1" s="1"/>
  <c r="G71" i="1" s="1"/>
  <c r="K72" i="1" s="1"/>
  <c r="I72" i="1" s="1"/>
  <c r="H72" i="1" l="1"/>
  <c r="J72" i="1" s="1"/>
  <c r="F72" i="1" l="1"/>
  <c r="G72" i="1" s="1"/>
  <c r="K73" i="1" s="1"/>
  <c r="H73" i="1" s="1"/>
  <c r="J73" i="1" s="1"/>
  <c r="I73" i="1" l="1"/>
  <c r="F73" i="1" s="1"/>
  <c r="G73" i="1" s="1"/>
  <c r="K74" i="1" s="1"/>
  <c r="H74" i="1" s="1"/>
  <c r="J74" i="1" s="1"/>
  <c r="I74" i="1" l="1"/>
  <c r="F74" i="1" s="1"/>
  <c r="G74" i="1" s="1"/>
  <c r="K75" i="1" s="1"/>
  <c r="H75" i="1" s="1"/>
  <c r="J75" i="1" s="1"/>
  <c r="I75" i="1" l="1"/>
  <c r="F75" i="1" s="1"/>
  <c r="G75" i="1" s="1"/>
  <c r="K76" i="1" s="1"/>
  <c r="I76" i="1" s="1"/>
  <c r="H76" i="1" l="1"/>
  <c r="F76" i="1" l="1"/>
  <c r="B11" i="1" s="1"/>
  <c r="J76" i="1"/>
  <c r="G76" i="1" l="1"/>
  <c r="K77" i="1" s="1"/>
  <c r="H77" i="1" l="1"/>
  <c r="I77" i="1"/>
  <c r="J77" i="1" l="1"/>
  <c r="F77" i="1"/>
  <c r="G77" i="1" s="1"/>
  <c r="K78" i="1" s="1"/>
  <c r="H78" i="1" s="1"/>
  <c r="C12" i="1" l="1"/>
  <c r="J78" i="1"/>
  <c r="I78" i="1"/>
  <c r="F78" i="1" s="1"/>
  <c r="G78" i="1" s="1"/>
  <c r="K79" i="1" s="1"/>
  <c r="I79" i="1" s="1"/>
  <c r="R11" i="4" l="1"/>
  <c r="H79" i="1"/>
  <c r="S11" i="4" l="1"/>
  <c r="J79" i="1"/>
  <c r="F79" i="1"/>
  <c r="G79" i="1" s="1"/>
  <c r="K80" i="1" s="1"/>
  <c r="H80" i="1" s="1"/>
  <c r="J80" i="1" l="1"/>
  <c r="I80" i="1"/>
  <c r="F80" i="1" s="1"/>
  <c r="G80" i="1" s="1"/>
  <c r="K81" i="1" s="1"/>
  <c r="I81" i="1" l="1"/>
  <c r="H81" i="1"/>
  <c r="J81" i="1" l="1"/>
  <c r="F81" i="1"/>
  <c r="G81" i="1" s="1"/>
  <c r="K82" i="1" s="1"/>
  <c r="I82" i="1" s="1"/>
  <c r="H82" i="1" l="1"/>
  <c r="J82" i="1" l="1"/>
  <c r="F82" i="1"/>
  <c r="G82" i="1" s="1"/>
  <c r="K83" i="1" s="1"/>
  <c r="H83" i="1" l="1"/>
  <c r="I83" i="1"/>
  <c r="J83" i="1" l="1"/>
  <c r="F83" i="1"/>
  <c r="G83" i="1" s="1"/>
  <c r="K84" i="1" s="1"/>
  <c r="H84" i="1" s="1"/>
  <c r="J84" i="1" l="1"/>
  <c r="I84" i="1"/>
  <c r="F84" i="1" s="1"/>
  <c r="G84" i="1" s="1"/>
  <c r="K85" i="1" s="1"/>
  <c r="I85" i="1" l="1"/>
  <c r="H85" i="1"/>
  <c r="J85" i="1" s="1"/>
  <c r="F85" i="1" l="1"/>
  <c r="G85" i="1" s="1"/>
  <c r="K86" i="1" s="1"/>
  <c r="H86" i="1" l="1"/>
  <c r="J86" i="1" s="1"/>
  <c r="I86" i="1"/>
  <c r="F86" i="1" l="1"/>
  <c r="G86" i="1" s="1"/>
  <c r="K87" i="1" s="1"/>
  <c r="H87" i="1" s="1"/>
  <c r="J87" i="1" s="1"/>
  <c r="I87" i="1" l="1"/>
  <c r="F87" i="1" s="1"/>
  <c r="G87" i="1" s="1"/>
  <c r="K88" i="1" s="1"/>
  <c r="H88" i="1" s="1"/>
  <c r="J88" i="1" l="1"/>
  <c r="I88" i="1"/>
  <c r="F88" i="1" s="1"/>
  <c r="G88" i="1" s="1"/>
  <c r="K89" i="1" s="1"/>
  <c r="I89" i="1" s="1"/>
  <c r="H89" i="1" l="1"/>
  <c r="B12" i="1"/>
  <c r="J89" i="1" l="1"/>
  <c r="F89" i="1"/>
  <c r="G89" i="1" s="1"/>
  <c r="K90" i="1" s="1"/>
  <c r="H90" i="1" s="1"/>
  <c r="C13" i="1" s="1"/>
  <c r="J90" i="1" l="1"/>
  <c r="I90" i="1"/>
  <c r="F90" i="1" s="1"/>
  <c r="G90" i="1" s="1"/>
  <c r="K91" i="1" s="1"/>
  <c r="H91" i="1" s="1"/>
  <c r="J91" i="1" l="1"/>
  <c r="I91" i="1"/>
  <c r="F91" i="1" s="1"/>
  <c r="G91" i="1" s="1"/>
  <c r="K92" i="1" s="1"/>
  <c r="H92" i="1" s="1"/>
  <c r="R12" i="4" l="1"/>
  <c r="J92" i="1"/>
  <c r="I92" i="1"/>
  <c r="F92" i="1" s="1"/>
  <c r="G92" i="1" s="1"/>
  <c r="K93" i="1" s="1"/>
  <c r="I93" i="1" s="1"/>
  <c r="S12" i="4" l="1"/>
  <c r="H93" i="1"/>
  <c r="J93" i="1" s="1"/>
  <c r="F93" i="1" l="1"/>
  <c r="G93" i="1" s="1"/>
  <c r="K94" i="1" s="1"/>
  <c r="H94" i="1" s="1"/>
  <c r="J94" i="1" s="1"/>
  <c r="I94" i="1" l="1"/>
  <c r="F94" i="1" s="1"/>
  <c r="G94" i="1" s="1"/>
  <c r="K95" i="1" s="1"/>
  <c r="H95" i="1" s="1"/>
  <c r="J95" i="1" s="1"/>
  <c r="I95" i="1" l="1"/>
  <c r="F95" i="1" s="1"/>
  <c r="G95" i="1" s="1"/>
  <c r="K96" i="1" s="1"/>
  <c r="I96" i="1" s="1"/>
  <c r="H96" i="1" l="1"/>
  <c r="J96" i="1" s="1"/>
  <c r="F96" i="1" l="1"/>
  <c r="G96" i="1" s="1"/>
  <c r="K97" i="1" s="1"/>
  <c r="I97" i="1" s="1"/>
  <c r="H97" i="1" l="1"/>
  <c r="J97" i="1" s="1"/>
  <c r="F97" i="1" l="1"/>
  <c r="G97" i="1" s="1"/>
  <c r="K98" i="1" s="1"/>
  <c r="H98" i="1" s="1"/>
  <c r="J98" i="1" s="1"/>
  <c r="I98" i="1" l="1"/>
  <c r="F98" i="1" s="1"/>
  <c r="G98" i="1" s="1"/>
  <c r="K99" i="1" s="1"/>
  <c r="H99" i="1" s="1"/>
  <c r="J99" i="1" s="1"/>
  <c r="I99" i="1" l="1"/>
  <c r="F99" i="1" s="1"/>
  <c r="G99" i="1" s="1"/>
  <c r="K100" i="1" s="1"/>
  <c r="H100" i="1" s="1"/>
  <c r="I100" i="1" l="1"/>
  <c r="F100" i="1" s="1"/>
  <c r="B13" i="1" s="1"/>
  <c r="J100" i="1"/>
  <c r="G100" i="1" l="1"/>
  <c r="K101" i="1" s="1"/>
  <c r="I101" i="1" s="1"/>
  <c r="H101" i="1" l="1"/>
  <c r="J101" i="1" l="1"/>
  <c r="F101" i="1"/>
  <c r="G101" i="1" s="1"/>
  <c r="K102" i="1" s="1"/>
  <c r="I102" i="1" s="1"/>
  <c r="H102" i="1" l="1"/>
  <c r="C14" i="1" s="1"/>
  <c r="R13" i="4" l="1"/>
  <c r="J102" i="1"/>
  <c r="F102" i="1"/>
  <c r="G102" i="1" s="1"/>
  <c r="K103" i="1" s="1"/>
  <c r="I103" i="1" s="1"/>
  <c r="S13" i="4" l="1"/>
  <c r="H103" i="1"/>
  <c r="J103" i="1" l="1"/>
  <c r="F103" i="1"/>
  <c r="G103" i="1" s="1"/>
  <c r="K104" i="1" s="1"/>
  <c r="I104" i="1" s="1"/>
  <c r="H104" i="1" l="1"/>
  <c r="J104" i="1" l="1"/>
  <c r="F104" i="1"/>
  <c r="G104" i="1" s="1"/>
  <c r="K105" i="1" s="1"/>
  <c r="H105" i="1" s="1"/>
  <c r="J105" i="1" l="1"/>
  <c r="I105" i="1"/>
  <c r="F105" i="1" s="1"/>
  <c r="G105" i="1" s="1"/>
  <c r="K106" i="1" s="1"/>
  <c r="H106" i="1" s="1"/>
  <c r="J106" i="1" l="1"/>
  <c r="I106" i="1"/>
  <c r="F106" i="1" s="1"/>
  <c r="G106" i="1" s="1"/>
  <c r="K107" i="1" s="1"/>
  <c r="I107" i="1" s="1"/>
  <c r="H107" i="1" l="1"/>
  <c r="J107" i="1" s="1"/>
  <c r="F107" i="1" l="1"/>
  <c r="G107" i="1" s="1"/>
  <c r="K108" i="1" s="1"/>
  <c r="H108" i="1" s="1"/>
  <c r="J108" i="1" s="1"/>
  <c r="I108" i="1" l="1"/>
  <c r="F108" i="1" s="1"/>
  <c r="G108" i="1" s="1"/>
  <c r="K109" i="1" s="1"/>
  <c r="I109" i="1" s="1"/>
  <c r="H109" i="1" l="1"/>
  <c r="J109" i="1" s="1"/>
  <c r="F109" i="1" l="1"/>
  <c r="G109" i="1" s="1"/>
  <c r="K110" i="1" s="1"/>
  <c r="I110" i="1" s="1"/>
  <c r="H110" i="1" l="1"/>
  <c r="J110" i="1" s="1"/>
  <c r="F110" i="1" l="1"/>
  <c r="G110" i="1" s="1"/>
  <c r="K111" i="1" s="1"/>
  <c r="H111" i="1" s="1"/>
  <c r="J111" i="1" s="1"/>
  <c r="I111" i="1" l="1"/>
  <c r="F111" i="1" s="1"/>
  <c r="G111" i="1" s="1"/>
  <c r="K112" i="1" s="1"/>
  <c r="H112" i="1" s="1"/>
  <c r="I112" i="1" l="1"/>
  <c r="F112" i="1" s="1"/>
  <c r="G112" i="1" s="1"/>
  <c r="K113" i="1" s="1"/>
  <c r="H113" i="1" s="1"/>
  <c r="J112" i="1"/>
  <c r="B14" i="1" l="1"/>
  <c r="I113" i="1"/>
  <c r="F113" i="1" s="1"/>
  <c r="G113" i="1" s="1"/>
  <c r="K114" i="1" s="1"/>
  <c r="I114" i="1" s="1"/>
  <c r="J113" i="1"/>
  <c r="H114" i="1" l="1"/>
  <c r="C15" i="1" s="1"/>
  <c r="J114" i="1" l="1"/>
  <c r="F114" i="1"/>
  <c r="G114" i="1" s="1"/>
  <c r="K115" i="1" s="1"/>
  <c r="H115" i="1" s="1"/>
  <c r="I115" i="1" l="1"/>
  <c r="F115" i="1" s="1"/>
  <c r="G115" i="1" s="1"/>
  <c r="K116" i="1" s="1"/>
  <c r="I116" i="1" s="1"/>
  <c r="J115" i="1"/>
  <c r="R14" i="4" l="1"/>
  <c r="H116" i="1"/>
  <c r="J116" i="1" s="1"/>
  <c r="S14" i="4" l="1"/>
  <c r="F116" i="1"/>
  <c r="G116" i="1" s="1"/>
  <c r="K117" i="1" s="1"/>
  <c r="I117" i="1" s="1"/>
  <c r="H117" i="1" l="1"/>
  <c r="J117" i="1" s="1"/>
  <c r="F117" i="1" l="1"/>
  <c r="G117" i="1" s="1"/>
  <c r="K118" i="1" s="1"/>
  <c r="I118" i="1" s="1"/>
  <c r="H118" i="1" l="1"/>
  <c r="J118" i="1" s="1"/>
  <c r="F118" i="1" l="1"/>
  <c r="G118" i="1" s="1"/>
  <c r="K119" i="1" s="1"/>
  <c r="H119" i="1" s="1"/>
  <c r="J119" i="1" s="1"/>
  <c r="I119" i="1" l="1"/>
  <c r="F119" i="1" s="1"/>
  <c r="G119" i="1" s="1"/>
  <c r="K120" i="1" s="1"/>
  <c r="I120" i="1" s="1"/>
  <c r="H120" i="1" l="1"/>
  <c r="J120" i="1" s="1"/>
  <c r="F120" i="1" l="1"/>
  <c r="G120" i="1" s="1"/>
  <c r="K121" i="1" s="1"/>
  <c r="I121" i="1" s="1"/>
  <c r="H121" i="1" l="1"/>
  <c r="J121" i="1" s="1"/>
  <c r="F121" i="1" l="1"/>
  <c r="G121" i="1" s="1"/>
  <c r="K122" i="1" s="1"/>
  <c r="H122" i="1" s="1"/>
  <c r="J122" i="1" s="1"/>
  <c r="I122" i="1" l="1"/>
  <c r="F122" i="1" s="1"/>
  <c r="G122" i="1" s="1"/>
  <c r="K123" i="1" s="1"/>
  <c r="I123" i="1" s="1"/>
  <c r="H123" i="1" l="1"/>
  <c r="J123" i="1" s="1"/>
  <c r="F123" i="1" l="1"/>
  <c r="G123" i="1" s="1"/>
  <c r="K124" i="1" s="1"/>
  <c r="H124" i="1" s="1"/>
  <c r="I124" i="1" l="1"/>
  <c r="F124" i="1" s="1"/>
  <c r="B15" i="1" s="1"/>
  <c r="J124" i="1"/>
  <c r="G124" i="1" l="1"/>
  <c r="K125" i="1" s="1"/>
  <c r="I125" i="1" s="1"/>
  <c r="H125" i="1" l="1"/>
  <c r="J125" i="1" l="1"/>
  <c r="F125" i="1"/>
  <c r="G125" i="1" s="1"/>
  <c r="K126" i="1" s="1"/>
  <c r="I126" i="1" s="1"/>
  <c r="H126" i="1" l="1"/>
  <c r="C16" i="1" s="1"/>
  <c r="R15" i="4" l="1"/>
  <c r="J126" i="1"/>
  <c r="F126" i="1"/>
  <c r="G126" i="1" s="1"/>
  <c r="K127" i="1" s="1"/>
  <c r="H127" i="1" s="1"/>
  <c r="S15" i="4" l="1"/>
  <c r="I127" i="1"/>
  <c r="F127" i="1" s="1"/>
  <c r="G127" i="1" s="1"/>
  <c r="K128" i="1" s="1"/>
  <c r="I128" i="1" s="1"/>
  <c r="J127" i="1"/>
  <c r="H128" i="1" l="1"/>
  <c r="J128" i="1" l="1"/>
  <c r="F128" i="1"/>
  <c r="G128" i="1" s="1"/>
  <c r="K129" i="1" s="1"/>
  <c r="I129" i="1" s="1"/>
  <c r="H129" i="1" l="1"/>
  <c r="J129" i="1" l="1"/>
  <c r="F129" i="1"/>
  <c r="G129" i="1" s="1"/>
  <c r="K130" i="1" s="1"/>
  <c r="I130" i="1" s="1"/>
  <c r="H130" i="1" l="1"/>
  <c r="J130" i="1" s="1"/>
  <c r="F130" i="1" l="1"/>
  <c r="G130" i="1" s="1"/>
  <c r="K131" i="1" s="1"/>
  <c r="H131" i="1" s="1"/>
  <c r="J131" i="1" s="1"/>
  <c r="I131" i="1" l="1"/>
  <c r="F131" i="1" s="1"/>
  <c r="G131" i="1" s="1"/>
  <c r="K132" i="1" s="1"/>
  <c r="H132" i="1" s="1"/>
  <c r="J132" i="1" s="1"/>
  <c r="I132" i="1" l="1"/>
  <c r="F132" i="1" s="1"/>
  <c r="G132" i="1" s="1"/>
  <c r="K133" i="1" s="1"/>
  <c r="I133" i="1" s="1"/>
  <c r="H133" i="1" l="1"/>
  <c r="J133" i="1" s="1"/>
  <c r="F133" i="1" l="1"/>
  <c r="G133" i="1" s="1"/>
  <c r="K134" i="1" s="1"/>
  <c r="H134" i="1" s="1"/>
  <c r="J134" i="1" s="1"/>
  <c r="I134" i="1" l="1"/>
  <c r="F134" i="1" s="1"/>
  <c r="G134" i="1" s="1"/>
  <c r="K135" i="1" s="1"/>
  <c r="H135" i="1" s="1"/>
  <c r="J135" i="1" l="1"/>
  <c r="I135" i="1"/>
  <c r="F135" i="1" s="1"/>
  <c r="G135" i="1" s="1"/>
  <c r="K136" i="1" s="1"/>
  <c r="H136" i="1" s="1"/>
  <c r="I136" i="1" l="1"/>
  <c r="F136" i="1" s="1"/>
  <c r="G136" i="1" s="1"/>
  <c r="K137" i="1" s="1"/>
  <c r="H137" i="1" s="1"/>
  <c r="J136" i="1"/>
  <c r="I137" i="1" l="1"/>
  <c r="F137" i="1" s="1"/>
  <c r="G137" i="1" s="1"/>
  <c r="K138" i="1" s="1"/>
  <c r="I138" i="1" s="1"/>
  <c r="J137" i="1"/>
  <c r="B16" i="1"/>
  <c r="H138" i="1" l="1"/>
  <c r="C17" i="1" s="1"/>
  <c r="J138" i="1" l="1"/>
  <c r="F138" i="1"/>
  <c r="G138" i="1" s="1"/>
  <c r="K139" i="1" s="1"/>
  <c r="I139" i="1" s="1"/>
  <c r="H139" i="1" l="1"/>
  <c r="R16" i="4" l="1"/>
  <c r="J139" i="1"/>
  <c r="F139" i="1"/>
  <c r="G139" i="1" s="1"/>
  <c r="K140" i="1" s="1"/>
  <c r="I140" i="1" s="1"/>
  <c r="S16" i="4" l="1"/>
  <c r="H140" i="1"/>
  <c r="J140" i="1" s="1"/>
  <c r="F140" i="1" l="1"/>
  <c r="G140" i="1" s="1"/>
  <c r="K141" i="1" s="1"/>
  <c r="I141" i="1" s="1"/>
  <c r="H141" i="1" l="1"/>
  <c r="J141" i="1" s="1"/>
  <c r="F141" i="1" l="1"/>
  <c r="G141" i="1" s="1"/>
  <c r="K142" i="1" s="1"/>
  <c r="I142" i="1" s="1"/>
  <c r="H142" i="1" l="1"/>
  <c r="J142" i="1" s="1"/>
  <c r="F142" i="1" l="1"/>
  <c r="G142" i="1" s="1"/>
  <c r="K143" i="1" s="1"/>
  <c r="H143" i="1" s="1"/>
  <c r="I143" i="1" l="1"/>
  <c r="F143" i="1" s="1"/>
  <c r="G143" i="1" s="1"/>
  <c r="K144" i="1" s="1"/>
  <c r="I144" i="1" s="1"/>
  <c r="J143" i="1"/>
  <c r="H144" i="1" l="1"/>
  <c r="J144" i="1" s="1"/>
  <c r="F144" i="1" l="1"/>
  <c r="G144" i="1" s="1"/>
  <c r="K145" i="1" s="1"/>
  <c r="H145" i="1" s="1"/>
  <c r="J145" i="1" s="1"/>
  <c r="I145" i="1" l="1"/>
  <c r="F145" i="1" s="1"/>
  <c r="G145" i="1" s="1"/>
  <c r="K146" i="1" s="1"/>
  <c r="H146" i="1" s="1"/>
  <c r="I146" i="1" l="1"/>
  <c r="F146" i="1" s="1"/>
  <c r="G146" i="1" s="1"/>
  <c r="K147" i="1" s="1"/>
  <c r="I147" i="1" s="1"/>
  <c r="J146" i="1"/>
  <c r="H147" i="1" l="1"/>
  <c r="F147" i="1" s="1"/>
  <c r="G147" i="1" s="1"/>
  <c r="K148" i="1" s="1"/>
  <c r="I148" i="1" s="1"/>
  <c r="H148" i="1" l="1"/>
  <c r="J147" i="1"/>
  <c r="F148" i="1" l="1"/>
  <c r="G148" i="1" s="1"/>
  <c r="K149" i="1" s="1"/>
  <c r="H149" i="1" s="1"/>
  <c r="J148" i="1"/>
  <c r="B17" i="1" l="1"/>
  <c r="J149" i="1"/>
  <c r="I149" i="1"/>
  <c r="F149" i="1" s="1"/>
  <c r="G149" i="1" s="1"/>
  <c r="K150" i="1" s="1"/>
  <c r="H150" i="1" s="1"/>
  <c r="C18" i="1" l="1"/>
  <c r="J150" i="1"/>
  <c r="I150" i="1"/>
  <c r="F150" i="1" s="1"/>
  <c r="G150" i="1" s="1"/>
  <c r="K151" i="1" s="1"/>
  <c r="I151" i="1" s="1"/>
  <c r="H151" i="1" l="1"/>
  <c r="J151" i="1" l="1"/>
  <c r="F151" i="1"/>
  <c r="G151" i="1" s="1"/>
  <c r="K152" i="1" s="1"/>
  <c r="H152" i="1" s="1"/>
  <c r="R17" i="4" l="1"/>
  <c r="J152" i="1"/>
  <c r="I152" i="1"/>
  <c r="F152" i="1" s="1"/>
  <c r="G152" i="1" s="1"/>
  <c r="K153" i="1" s="1"/>
  <c r="H153" i="1" s="1"/>
  <c r="J153" i="1" s="1"/>
  <c r="S17" i="4" l="1"/>
  <c r="I153" i="1"/>
  <c r="F153" i="1" s="1"/>
  <c r="G153" i="1" s="1"/>
  <c r="K154" i="1" s="1"/>
  <c r="H154" i="1" s="1"/>
  <c r="J154" i="1" s="1"/>
  <c r="I154" i="1" l="1"/>
  <c r="F154" i="1" s="1"/>
  <c r="G154" i="1" s="1"/>
  <c r="K155" i="1" s="1"/>
  <c r="H155" i="1" s="1"/>
  <c r="J155" i="1" s="1"/>
  <c r="I155" i="1" l="1"/>
  <c r="F155" i="1" s="1"/>
  <c r="G155" i="1" s="1"/>
  <c r="K156" i="1" s="1"/>
  <c r="H156" i="1" s="1"/>
  <c r="J156" i="1" s="1"/>
  <c r="I156" i="1" l="1"/>
  <c r="F156" i="1" s="1"/>
  <c r="G156" i="1" s="1"/>
  <c r="K157" i="1" s="1"/>
  <c r="H157" i="1" s="1"/>
  <c r="J157" i="1" s="1"/>
  <c r="I157" i="1" l="1"/>
  <c r="F157" i="1" s="1"/>
  <c r="G157" i="1" s="1"/>
  <c r="K158" i="1" s="1"/>
  <c r="H158" i="1" s="1"/>
  <c r="J158" i="1" l="1"/>
  <c r="I158" i="1"/>
  <c r="F158" i="1" s="1"/>
  <c r="G158" i="1" s="1"/>
  <c r="K159" i="1" s="1"/>
  <c r="I159" i="1" s="1"/>
  <c r="H159" i="1" l="1"/>
  <c r="F159" i="1" s="1"/>
  <c r="G159" i="1" s="1"/>
  <c r="K160" i="1" s="1"/>
  <c r="J159" i="1" l="1"/>
  <c r="I160" i="1"/>
  <c r="H160" i="1"/>
  <c r="F160" i="1" l="1"/>
  <c r="G160" i="1" s="1"/>
  <c r="K161" i="1" s="1"/>
  <c r="J160" i="1"/>
  <c r="B18" i="1" l="1"/>
  <c r="I161" i="1"/>
  <c r="H161" i="1"/>
  <c r="J161" i="1" l="1"/>
  <c r="F161" i="1"/>
  <c r="G161" i="1" s="1"/>
  <c r="K162" i="1" s="1"/>
  <c r="H162" i="1" s="1"/>
  <c r="C19" i="1" s="1"/>
  <c r="J162" i="1" l="1"/>
  <c r="I162" i="1"/>
  <c r="F162" i="1" s="1"/>
  <c r="G162" i="1" s="1"/>
  <c r="K163" i="1" s="1"/>
  <c r="I163" i="1" s="1"/>
  <c r="H163" i="1" l="1"/>
  <c r="R18" i="4" l="1"/>
  <c r="J163" i="1"/>
  <c r="F163" i="1"/>
  <c r="G163" i="1" s="1"/>
  <c r="K164" i="1" s="1"/>
  <c r="I164" i="1" s="1"/>
  <c r="S18" i="4" l="1"/>
  <c r="H164" i="1"/>
  <c r="J164" i="1" l="1"/>
  <c r="F164" i="1"/>
  <c r="G164" i="1" s="1"/>
  <c r="K165" i="1" s="1"/>
  <c r="I165" i="1" s="1"/>
  <c r="H165" i="1" l="1"/>
  <c r="J165" i="1" s="1"/>
  <c r="F165" i="1" l="1"/>
  <c r="G165" i="1" s="1"/>
  <c r="K166" i="1" s="1"/>
  <c r="H166" i="1" s="1"/>
  <c r="J166" i="1" s="1"/>
  <c r="I166" i="1" l="1"/>
  <c r="F166" i="1" s="1"/>
  <c r="G166" i="1" s="1"/>
  <c r="K167" i="1" s="1"/>
  <c r="H167" i="1" s="1"/>
  <c r="J167" i="1" s="1"/>
  <c r="I167" i="1" l="1"/>
  <c r="F167" i="1" s="1"/>
  <c r="G167" i="1" s="1"/>
  <c r="K168" i="1" s="1"/>
  <c r="I168" i="1" s="1"/>
  <c r="H168" i="1" l="1"/>
  <c r="J168" i="1" s="1"/>
  <c r="F168" i="1" l="1"/>
  <c r="G168" i="1" s="1"/>
  <c r="K169" i="1" s="1"/>
  <c r="I169" i="1" s="1"/>
  <c r="H169" i="1" l="1"/>
  <c r="J169" i="1" s="1"/>
  <c r="F169" i="1" l="1"/>
  <c r="G169" i="1" s="1"/>
  <c r="K170" i="1" s="1"/>
  <c r="H170" i="1" s="1"/>
  <c r="J170" i="1" s="1"/>
  <c r="I170" i="1" l="1"/>
  <c r="F170" i="1" s="1"/>
  <c r="G170" i="1" s="1"/>
  <c r="K171" i="1" s="1"/>
  <c r="I171" i="1" s="1"/>
  <c r="H171" i="1" l="1"/>
  <c r="J171" i="1" s="1"/>
  <c r="F171" i="1" l="1"/>
  <c r="G171" i="1" s="1"/>
  <c r="K172" i="1" s="1"/>
  <c r="I172" i="1" s="1"/>
  <c r="H172" i="1" l="1"/>
  <c r="F172" i="1" l="1"/>
  <c r="B19" i="1" s="1"/>
  <c r="J172" i="1"/>
  <c r="G172" i="1" l="1"/>
  <c r="K173" i="1" s="1"/>
  <c r="I173" i="1" s="1"/>
  <c r="R19" i="4" l="1"/>
  <c r="H173" i="1"/>
  <c r="S19" i="4" l="1"/>
  <c r="J173" i="1"/>
  <c r="F173" i="1"/>
  <c r="G173" i="1" s="1"/>
  <c r="K174" i="1" s="1"/>
  <c r="H174" i="1" s="1"/>
  <c r="C20" i="1" s="1"/>
  <c r="J174" i="1" l="1"/>
  <c r="I174" i="1"/>
  <c r="F174" i="1" s="1"/>
  <c r="G174" i="1" s="1"/>
  <c r="K175" i="1" s="1"/>
  <c r="I175" i="1" s="1"/>
  <c r="H175" i="1" l="1"/>
  <c r="J175" i="1" l="1"/>
  <c r="F175" i="1"/>
  <c r="G175" i="1" s="1"/>
  <c r="K176" i="1" s="1"/>
  <c r="H176" i="1" s="1"/>
  <c r="J176" i="1" s="1"/>
  <c r="I176" i="1" l="1"/>
  <c r="F176" i="1" s="1"/>
  <c r="G176" i="1" s="1"/>
  <c r="K177" i="1" s="1"/>
  <c r="I177" i="1" s="1"/>
  <c r="H177" i="1" l="1"/>
  <c r="J177" i="1" s="1"/>
  <c r="F177" i="1" l="1"/>
  <c r="G177" i="1" s="1"/>
  <c r="K178" i="1" s="1"/>
  <c r="H178" i="1" s="1"/>
  <c r="J178" i="1" s="1"/>
  <c r="I178" i="1" l="1"/>
  <c r="F178" i="1" s="1"/>
  <c r="G178" i="1" s="1"/>
  <c r="K179" i="1" s="1"/>
  <c r="H179" i="1" s="1"/>
  <c r="J179" i="1" s="1"/>
  <c r="I179" i="1" l="1"/>
  <c r="F179" i="1" s="1"/>
  <c r="G179" i="1" s="1"/>
  <c r="K180" i="1" s="1"/>
  <c r="I180" i="1" s="1"/>
  <c r="H180" i="1" l="1"/>
  <c r="J180" i="1" s="1"/>
  <c r="F180" i="1" l="1"/>
  <c r="G180" i="1" s="1"/>
  <c r="K181" i="1" s="1"/>
  <c r="H181" i="1" s="1"/>
  <c r="J181" i="1" s="1"/>
  <c r="I181" i="1" l="1"/>
  <c r="F181" i="1" s="1"/>
  <c r="G181" i="1" s="1"/>
  <c r="K182" i="1" s="1"/>
  <c r="I182" i="1" s="1"/>
  <c r="H182" i="1" l="1"/>
  <c r="J182" i="1" s="1"/>
  <c r="F182" i="1" l="1"/>
  <c r="G182" i="1" s="1"/>
  <c r="K183" i="1" s="1"/>
  <c r="H183" i="1" s="1"/>
  <c r="J183" i="1" s="1"/>
  <c r="I183" i="1" l="1"/>
  <c r="F183" i="1" s="1"/>
  <c r="G183" i="1" s="1"/>
  <c r="K184" i="1" s="1"/>
  <c r="H184" i="1" s="1"/>
  <c r="J184" i="1" l="1"/>
  <c r="I184" i="1"/>
  <c r="F184" i="1" s="1"/>
  <c r="B20" i="1" s="1"/>
  <c r="G184" i="1" l="1"/>
  <c r="K185" i="1" s="1"/>
  <c r="H185" i="1" s="1"/>
  <c r="I185" i="1" l="1"/>
  <c r="F185" i="1" s="1"/>
  <c r="G185" i="1" s="1"/>
  <c r="K186" i="1" s="1"/>
  <c r="H186" i="1" s="1"/>
  <c r="C21" i="1" s="1"/>
  <c r="J185" i="1"/>
  <c r="J186" i="1" l="1"/>
  <c r="I186" i="1"/>
  <c r="F186" i="1" s="1"/>
  <c r="G186" i="1" s="1"/>
  <c r="K187" i="1" s="1"/>
  <c r="H187" i="1" s="1"/>
  <c r="J187" i="1" l="1"/>
  <c r="I187" i="1"/>
  <c r="F187" i="1" s="1"/>
  <c r="G187" i="1" s="1"/>
  <c r="K188" i="1" s="1"/>
  <c r="H188" i="1" s="1"/>
  <c r="R20" i="4" l="1"/>
  <c r="J188" i="1"/>
  <c r="I188" i="1"/>
  <c r="F188" i="1" s="1"/>
  <c r="G188" i="1" s="1"/>
  <c r="K189" i="1" s="1"/>
  <c r="I189" i="1" s="1"/>
  <c r="S20" i="4" l="1"/>
  <c r="H189" i="1"/>
  <c r="J189" i="1" s="1"/>
  <c r="F189" i="1" l="1"/>
  <c r="G189" i="1" s="1"/>
  <c r="K190" i="1" s="1"/>
  <c r="I190" i="1" s="1"/>
  <c r="H190" i="1" l="1"/>
  <c r="J190" i="1" s="1"/>
  <c r="F190" i="1" l="1"/>
  <c r="G190" i="1" s="1"/>
  <c r="K191" i="1" s="1"/>
  <c r="I191" i="1" s="1"/>
  <c r="H191" i="1" l="1"/>
  <c r="J191" i="1" s="1"/>
  <c r="F191" i="1" l="1"/>
  <c r="G191" i="1" s="1"/>
  <c r="K192" i="1" s="1"/>
  <c r="I192" i="1" s="1"/>
  <c r="H192" i="1" l="1"/>
  <c r="J192" i="1" s="1"/>
  <c r="F192" i="1" l="1"/>
  <c r="G192" i="1" s="1"/>
  <c r="K193" i="1" s="1"/>
  <c r="I193" i="1" s="1"/>
  <c r="H193" i="1" l="1"/>
  <c r="J193" i="1" s="1"/>
  <c r="F193" i="1" l="1"/>
  <c r="G193" i="1" s="1"/>
  <c r="K194" i="1" s="1"/>
  <c r="H194" i="1" s="1"/>
  <c r="I194" i="1" l="1"/>
  <c r="F194" i="1" s="1"/>
  <c r="G194" i="1" s="1"/>
  <c r="K195" i="1" s="1"/>
  <c r="I195" i="1" s="1"/>
  <c r="J194" i="1"/>
  <c r="H195" i="1" l="1"/>
  <c r="J195" i="1" s="1"/>
  <c r="F195" i="1" l="1"/>
  <c r="G195" i="1" s="1"/>
  <c r="K196" i="1" s="1"/>
  <c r="I196" i="1" s="1"/>
  <c r="H196" i="1" l="1"/>
  <c r="F196" i="1" l="1"/>
  <c r="B21" i="1" s="1"/>
  <c r="J196" i="1"/>
  <c r="G196" i="1" l="1"/>
  <c r="K197" i="1" s="1"/>
  <c r="I197" i="1" s="1"/>
  <c r="H197" i="1" l="1"/>
  <c r="J197" i="1" l="1"/>
  <c r="F197" i="1"/>
  <c r="G197" i="1" s="1"/>
  <c r="K198" i="1" s="1"/>
  <c r="H198" i="1" s="1"/>
  <c r="C22" i="1" s="1"/>
  <c r="I198" i="1" l="1"/>
  <c r="F198" i="1" s="1"/>
  <c r="G198" i="1" s="1"/>
  <c r="K199" i="1" s="1"/>
  <c r="I199" i="1" s="1"/>
  <c r="J198" i="1"/>
  <c r="R21" i="4" l="1"/>
  <c r="H199" i="1"/>
  <c r="S21" i="4" l="1"/>
  <c r="J199" i="1"/>
  <c r="F199" i="1"/>
  <c r="G199" i="1" s="1"/>
  <c r="K200" i="1" s="1"/>
  <c r="I200" i="1" s="1"/>
  <c r="H200" i="1" l="1"/>
  <c r="J200" i="1" l="1"/>
  <c r="F200" i="1"/>
  <c r="G200" i="1" s="1"/>
  <c r="K201" i="1" s="1"/>
  <c r="H201" i="1" s="1"/>
  <c r="J201" i="1" l="1"/>
  <c r="I201" i="1"/>
  <c r="F201" i="1" s="1"/>
  <c r="G201" i="1" s="1"/>
  <c r="K202" i="1" s="1"/>
  <c r="H202" i="1" s="1"/>
  <c r="J202" i="1" l="1"/>
  <c r="I202" i="1"/>
  <c r="F202" i="1" s="1"/>
  <c r="G202" i="1" s="1"/>
  <c r="K203" i="1" s="1"/>
  <c r="H203" i="1" s="1"/>
  <c r="J203" i="1" l="1"/>
  <c r="I203" i="1"/>
  <c r="F203" i="1" s="1"/>
  <c r="G203" i="1" s="1"/>
  <c r="K204" i="1" s="1"/>
  <c r="I204" i="1" s="1"/>
  <c r="H204" i="1" l="1"/>
  <c r="J204" i="1" s="1"/>
  <c r="F204" i="1" l="1"/>
  <c r="G204" i="1" s="1"/>
  <c r="K205" i="1" s="1"/>
  <c r="H205" i="1" s="1"/>
  <c r="J205" i="1" s="1"/>
  <c r="I205" i="1" l="1"/>
  <c r="F205" i="1" s="1"/>
  <c r="G205" i="1" s="1"/>
  <c r="K206" i="1" s="1"/>
  <c r="I206" i="1" s="1"/>
  <c r="H206" i="1" l="1"/>
  <c r="J206" i="1" s="1"/>
  <c r="F206" i="1" l="1"/>
  <c r="G206" i="1" s="1"/>
  <c r="K207" i="1" s="1"/>
  <c r="I207" i="1" s="1"/>
  <c r="H207" i="1" l="1"/>
  <c r="J207" i="1" s="1"/>
  <c r="F207" i="1" l="1"/>
  <c r="G207" i="1" s="1"/>
  <c r="K208" i="1" s="1"/>
  <c r="H208" i="1" s="1"/>
  <c r="I208" i="1" l="1"/>
  <c r="F208" i="1" s="1"/>
  <c r="B22" i="1" s="1"/>
  <c r="J208" i="1"/>
  <c r="G208" i="1" l="1"/>
  <c r="K209" i="1" s="1"/>
  <c r="H209" i="1" s="1"/>
  <c r="R22" i="4" l="1"/>
  <c r="I209" i="1"/>
  <c r="F209" i="1" s="1"/>
  <c r="G209" i="1" s="1"/>
  <c r="K210" i="1" s="1"/>
  <c r="H210" i="1" s="1"/>
  <c r="C23" i="1" s="1"/>
  <c r="J209" i="1"/>
  <c r="S22" i="4" l="1"/>
  <c r="I210" i="1"/>
  <c r="F210" i="1" s="1"/>
  <c r="G210" i="1" s="1"/>
  <c r="K211" i="1" s="1"/>
  <c r="H211" i="1" s="1"/>
  <c r="J210" i="1"/>
  <c r="I211" i="1" l="1"/>
  <c r="F211" i="1" s="1"/>
  <c r="G211" i="1" s="1"/>
  <c r="K212" i="1" s="1"/>
  <c r="H212" i="1" s="1"/>
  <c r="J211" i="1"/>
  <c r="J212" i="1" l="1"/>
  <c r="I212" i="1"/>
  <c r="F212" i="1" s="1"/>
  <c r="G212" i="1" s="1"/>
  <c r="K213" i="1" s="1"/>
  <c r="H213" i="1" s="1"/>
  <c r="J213" i="1" l="1"/>
  <c r="I213" i="1"/>
  <c r="F213" i="1" s="1"/>
  <c r="G213" i="1" s="1"/>
  <c r="K214" i="1" s="1"/>
  <c r="I214" i="1" s="1"/>
  <c r="H214" i="1" l="1"/>
  <c r="F214" i="1" s="1"/>
  <c r="G214" i="1" s="1"/>
  <c r="K215" i="1" s="1"/>
  <c r="H215" i="1" s="1"/>
  <c r="J214" i="1" l="1"/>
  <c r="J215" i="1" s="1"/>
  <c r="I215" i="1"/>
  <c r="F215" i="1" s="1"/>
  <c r="G215" i="1" s="1"/>
  <c r="K216" i="1" s="1"/>
  <c r="H216" i="1" s="1"/>
  <c r="I216" i="1" l="1"/>
  <c r="F216" i="1" s="1"/>
  <c r="G216" i="1" s="1"/>
  <c r="K217" i="1" s="1"/>
  <c r="I217" i="1" s="1"/>
  <c r="J216" i="1"/>
  <c r="H217" i="1" l="1"/>
  <c r="J217" i="1" s="1"/>
  <c r="F217" i="1" l="1"/>
  <c r="G217" i="1" s="1"/>
  <c r="K218" i="1" s="1"/>
  <c r="I218" i="1" s="1"/>
  <c r="H218" i="1" l="1"/>
  <c r="J218" i="1" s="1"/>
  <c r="F218" i="1" l="1"/>
  <c r="G218" i="1" s="1"/>
  <c r="K219" i="1" s="1"/>
  <c r="H219" i="1" l="1"/>
  <c r="J219" i="1" s="1"/>
  <c r="I219" i="1"/>
  <c r="F219" i="1" l="1"/>
  <c r="G219" i="1" s="1"/>
  <c r="K220" i="1" s="1"/>
  <c r="I220" i="1" l="1"/>
  <c r="H220" i="1"/>
  <c r="J220" i="1" l="1"/>
  <c r="F220" i="1"/>
  <c r="B23" i="1" s="1"/>
  <c r="G220" i="1" l="1"/>
  <c r="K221" i="1" s="1"/>
  <c r="H221" i="1" s="1"/>
  <c r="J221" i="1" l="1"/>
  <c r="R23" i="4"/>
  <c r="I221" i="1"/>
  <c r="F221" i="1" s="1"/>
  <c r="G221" i="1" s="1"/>
  <c r="K222" i="1" s="1"/>
  <c r="I222" i="1" s="1"/>
  <c r="S23" i="4" l="1"/>
  <c r="H222" i="1"/>
  <c r="C24" i="1" s="1"/>
  <c r="J222" i="1" l="1"/>
  <c r="F222" i="1"/>
  <c r="G222" i="1" s="1"/>
  <c r="K223" i="1" s="1"/>
  <c r="I223" i="1" l="1"/>
  <c r="H223" i="1"/>
  <c r="J223" i="1" l="1"/>
  <c r="F223" i="1"/>
  <c r="G223" i="1" s="1"/>
  <c r="K224" i="1" s="1"/>
  <c r="I224" i="1" l="1"/>
  <c r="H224" i="1"/>
  <c r="J224" i="1" l="1"/>
  <c r="F224" i="1"/>
  <c r="G224" i="1" s="1"/>
  <c r="K225" i="1" s="1"/>
  <c r="H225" i="1" s="1"/>
  <c r="J225" i="1" s="1"/>
  <c r="I225" i="1" l="1"/>
  <c r="F225" i="1" s="1"/>
  <c r="G225" i="1" l="1"/>
  <c r="K226" i="1" s="1"/>
  <c r="I226" i="1" l="1"/>
  <c r="H226" i="1"/>
  <c r="J226" i="1" s="1"/>
  <c r="F226" i="1" l="1"/>
  <c r="G226" i="1" s="1"/>
  <c r="K227" i="1" s="1"/>
  <c r="I227" i="1" s="1"/>
  <c r="H227" i="1" l="1"/>
  <c r="J227" i="1" s="1"/>
  <c r="F227" i="1" l="1"/>
  <c r="G227" i="1" s="1"/>
  <c r="K228" i="1" s="1"/>
  <c r="H228" i="1" s="1"/>
  <c r="J228" i="1" s="1"/>
  <c r="I228" i="1" l="1"/>
  <c r="F228" i="1" s="1"/>
  <c r="G228" i="1" s="1"/>
  <c r="K229" i="1" s="1"/>
  <c r="H229" i="1" s="1"/>
  <c r="I229" i="1" l="1"/>
  <c r="F229" i="1" s="1"/>
  <c r="G229" i="1" s="1"/>
  <c r="K230" i="1" s="1"/>
  <c r="H230" i="1" s="1"/>
  <c r="J229" i="1"/>
  <c r="J230" i="1" l="1"/>
  <c r="I230" i="1"/>
  <c r="F230" i="1" s="1"/>
  <c r="G230" i="1" s="1"/>
  <c r="K231" i="1" s="1"/>
  <c r="I231" i="1" s="1"/>
  <c r="H231" i="1" l="1"/>
  <c r="J231" i="1" s="1"/>
  <c r="F231" i="1" l="1"/>
  <c r="G231" i="1" s="1"/>
  <c r="K232" i="1" s="1"/>
  <c r="I232" i="1" l="1"/>
  <c r="H232" i="1"/>
  <c r="F232" i="1" l="1"/>
  <c r="G232" i="1" s="1"/>
  <c r="K233" i="1" s="1"/>
  <c r="J232" i="1"/>
  <c r="B24" i="1" l="1"/>
  <c r="I233" i="1"/>
  <c r="H233" i="1"/>
  <c r="J233" i="1" l="1"/>
  <c r="R24" i="4"/>
  <c r="F233" i="1"/>
  <c r="G233" i="1" s="1"/>
  <c r="K234" i="1" s="1"/>
  <c r="S24" i="4" l="1"/>
  <c r="H234" i="1"/>
  <c r="C25" i="1" s="1"/>
  <c r="I234" i="1"/>
  <c r="J234" i="1" l="1"/>
  <c r="F234" i="1"/>
  <c r="G234" i="1" s="1"/>
  <c r="K235" i="1" s="1"/>
  <c r="H235" i="1" s="1"/>
  <c r="J235" i="1" s="1"/>
  <c r="I235" i="1" l="1"/>
  <c r="F235" i="1" s="1"/>
  <c r="G235" i="1" s="1"/>
  <c r="K236" i="1" s="1"/>
  <c r="H236" i="1" s="1"/>
  <c r="J236" i="1" s="1"/>
  <c r="I236" i="1" l="1"/>
  <c r="F236" i="1" s="1"/>
  <c r="G236" i="1" s="1"/>
  <c r="K237" i="1" s="1"/>
  <c r="H237" i="1" s="1"/>
  <c r="J237" i="1" s="1"/>
  <c r="I237" i="1" l="1"/>
  <c r="F237" i="1" s="1"/>
  <c r="G237" i="1" s="1"/>
  <c r="K238" i="1" s="1"/>
  <c r="I238" i="1" l="1"/>
  <c r="H238" i="1"/>
  <c r="J238" i="1" s="1"/>
  <c r="F238" i="1" l="1"/>
  <c r="G238" i="1" s="1"/>
  <c r="K239" i="1" s="1"/>
  <c r="I239" i="1" l="1"/>
  <c r="H239" i="1"/>
  <c r="F239" i="1" l="1"/>
  <c r="G239" i="1" s="1"/>
  <c r="K240" i="1" s="1"/>
  <c r="J239" i="1"/>
  <c r="H240" i="1" l="1"/>
  <c r="J240" i="1" s="1"/>
  <c r="I240" i="1"/>
  <c r="F240" i="1" l="1"/>
  <c r="G240" i="1" s="1"/>
  <c r="K241" i="1" s="1"/>
  <c r="H241" i="1" s="1"/>
  <c r="J241" i="1" s="1"/>
  <c r="I241" i="1" l="1"/>
  <c r="F241" i="1" s="1"/>
  <c r="G241" i="1" s="1"/>
  <c r="K242" i="1" s="1"/>
  <c r="I242" i="1" s="1"/>
  <c r="H242" i="1" l="1"/>
  <c r="J242" i="1" s="1"/>
  <c r="F242" i="1" l="1"/>
  <c r="G242" i="1" s="1"/>
  <c r="K243" i="1" s="1"/>
  <c r="I243" i="1" l="1"/>
  <c r="H243" i="1"/>
  <c r="F243" i="1" l="1"/>
  <c r="G243" i="1" s="1"/>
  <c r="K244" i="1" s="1"/>
  <c r="J243" i="1"/>
  <c r="H244" i="1" l="1"/>
  <c r="I244" i="1"/>
  <c r="J244" i="1" l="1"/>
  <c r="F244" i="1"/>
  <c r="G244" i="1" s="1"/>
  <c r="K245" i="1" s="1"/>
  <c r="I245" i="1" s="1"/>
  <c r="H245" i="1" l="1"/>
  <c r="F245" i="1" l="1"/>
  <c r="B25" i="1" s="1"/>
  <c r="R25" i="4"/>
  <c r="J245" i="1"/>
  <c r="G245" i="1" l="1"/>
  <c r="K246" i="1" s="1"/>
  <c r="H246" i="1" s="1"/>
  <c r="C26" i="1" s="1"/>
  <c r="S25" i="4"/>
  <c r="J246" i="1" l="1"/>
  <c r="I246" i="1"/>
  <c r="F246" i="1" s="1"/>
  <c r="G246" i="1" s="1"/>
  <c r="K247" i="1" s="1"/>
  <c r="I247" i="1" s="1"/>
  <c r="H247" i="1" l="1"/>
  <c r="F247" i="1" s="1"/>
  <c r="G247" i="1" s="1"/>
  <c r="K248" i="1" s="1"/>
  <c r="J247" i="1" l="1"/>
  <c r="I248" i="1"/>
  <c r="H248" i="1"/>
  <c r="J248" i="1" l="1"/>
  <c r="F248" i="1"/>
  <c r="G248" i="1" l="1"/>
  <c r="K249" i="1" s="1"/>
  <c r="I249" i="1" l="1"/>
  <c r="H249" i="1"/>
  <c r="J249" i="1" s="1"/>
  <c r="F249" i="1" l="1"/>
  <c r="G249" i="1" s="1"/>
  <c r="K250" i="1" s="1"/>
  <c r="I250" i="1" l="1"/>
  <c r="H250" i="1"/>
  <c r="J250" i="1" s="1"/>
  <c r="F250" i="1" l="1"/>
  <c r="G250" i="1" s="1"/>
  <c r="K251" i="1" s="1"/>
  <c r="I251" i="1" l="1"/>
  <c r="H251" i="1"/>
  <c r="F251" i="1" l="1"/>
  <c r="G251" i="1" s="1"/>
  <c r="K252" i="1" s="1"/>
  <c r="H252" i="1" s="1"/>
  <c r="J251" i="1"/>
  <c r="J252" i="1" l="1"/>
  <c r="I252" i="1"/>
  <c r="F252" i="1" s="1"/>
  <c r="G252" i="1" s="1"/>
  <c r="K253" i="1" s="1"/>
  <c r="H253" i="1" l="1"/>
  <c r="I253" i="1"/>
  <c r="F253" i="1" l="1"/>
  <c r="G253" i="1" s="1"/>
  <c r="K254" i="1" s="1"/>
  <c r="J253" i="1"/>
  <c r="H254" i="1" l="1"/>
  <c r="J254" i="1" s="1"/>
  <c r="I254" i="1"/>
  <c r="F254" i="1" l="1"/>
  <c r="G254" i="1" s="1"/>
  <c r="K255" i="1" s="1"/>
  <c r="I255" i="1" s="1"/>
  <c r="H255" i="1" l="1"/>
  <c r="J255" i="1" s="1"/>
  <c r="F255" i="1" l="1"/>
  <c r="G255" i="1" s="1"/>
  <c r="K256" i="1" s="1"/>
  <c r="I256" i="1" s="1"/>
  <c r="H256" i="1" l="1"/>
  <c r="J256" i="1" l="1"/>
  <c r="F256" i="1"/>
  <c r="G256" i="1" s="1"/>
  <c r="K257" i="1" s="1"/>
  <c r="I257" i="1" s="1"/>
  <c r="H257" i="1" l="1"/>
  <c r="J257" i="1" l="1"/>
  <c r="R26" i="4"/>
  <c r="F257" i="1"/>
  <c r="B26" i="1" s="1"/>
  <c r="S26" i="4" l="1"/>
  <c r="G257" i="1"/>
  <c r="K258" i="1" s="1"/>
  <c r="I258" i="1" s="1"/>
  <c r="H258" i="1" l="1"/>
  <c r="C27" i="1" s="1"/>
  <c r="J258" i="1" l="1"/>
  <c r="F258" i="1"/>
  <c r="G258" i="1" s="1"/>
  <c r="K259" i="1" s="1"/>
  <c r="H259" i="1" l="1"/>
  <c r="I259" i="1"/>
  <c r="F259" i="1" l="1"/>
  <c r="G259" i="1" s="1"/>
  <c r="K260" i="1" s="1"/>
  <c r="H260" i="1" s="1"/>
  <c r="J259" i="1"/>
  <c r="I260" i="1" l="1"/>
  <c r="F260" i="1" s="1"/>
  <c r="G260" i="1" s="1"/>
  <c r="K261" i="1" s="1"/>
  <c r="H261" i="1" s="1"/>
  <c r="J260" i="1"/>
  <c r="I261" i="1" l="1"/>
  <c r="F261" i="1" s="1"/>
  <c r="G261" i="1" s="1"/>
  <c r="K262" i="1" s="1"/>
  <c r="I262" i="1" s="1"/>
  <c r="J261" i="1"/>
  <c r="H262" i="1" l="1"/>
  <c r="F262" i="1" s="1"/>
  <c r="J262" i="1" l="1"/>
  <c r="G262" i="1"/>
  <c r="K263" i="1" s="1"/>
  <c r="H263" i="1" s="1"/>
  <c r="J263" i="1" l="1"/>
  <c r="I263" i="1"/>
  <c r="F263" i="1" s="1"/>
  <c r="G263" i="1" s="1"/>
  <c r="K264" i="1" s="1"/>
  <c r="I264" i="1" s="1"/>
  <c r="H264" i="1" l="1"/>
  <c r="J264" i="1" s="1"/>
  <c r="F264" i="1" l="1"/>
  <c r="G264" i="1" s="1"/>
  <c r="K265" i="1" s="1"/>
  <c r="H265" i="1" s="1"/>
  <c r="J265" i="1" s="1"/>
  <c r="I265" i="1" l="1"/>
  <c r="F265" i="1" s="1"/>
  <c r="G265" i="1" s="1"/>
  <c r="K266" i="1" s="1"/>
  <c r="H266" i="1" s="1"/>
  <c r="I266" i="1" l="1"/>
  <c r="F266" i="1" s="1"/>
  <c r="G266" i="1" s="1"/>
  <c r="K267" i="1" s="1"/>
  <c r="I267" i="1" s="1"/>
  <c r="J266" i="1"/>
  <c r="H267" i="1" l="1"/>
  <c r="F267" i="1" s="1"/>
  <c r="G267" i="1" s="1"/>
  <c r="K268" i="1" s="1"/>
  <c r="H268" i="1" s="1"/>
  <c r="J267" i="1" l="1"/>
  <c r="J268" i="1" s="1"/>
  <c r="I268" i="1"/>
  <c r="F268" i="1" s="1"/>
  <c r="G268" i="1" s="1"/>
  <c r="K269" i="1" s="1"/>
  <c r="I269" i="1" s="1"/>
  <c r="H269" i="1" l="1"/>
  <c r="J269" i="1" l="1"/>
  <c r="R27" i="4"/>
  <c r="F269" i="1"/>
  <c r="B27" i="1" s="1"/>
  <c r="S27" i="4" l="1"/>
  <c r="G269" i="1"/>
  <c r="K270" i="1" s="1"/>
  <c r="H270" i="1" s="1"/>
  <c r="C28" i="1" s="1"/>
  <c r="J270" i="1" l="1"/>
  <c r="I270" i="1"/>
  <c r="F270" i="1" s="1"/>
  <c r="G270" i="1" s="1"/>
  <c r="K271" i="1" s="1"/>
  <c r="I271" i="1" s="1"/>
  <c r="H271" i="1" l="1"/>
  <c r="J271" i="1" l="1"/>
  <c r="F271" i="1"/>
  <c r="G271" i="1" s="1"/>
  <c r="K272" i="1" s="1"/>
  <c r="I272" i="1" l="1"/>
  <c r="H272" i="1"/>
  <c r="J272" i="1" l="1"/>
  <c r="F272" i="1"/>
  <c r="G272" i="1" l="1"/>
  <c r="K273" i="1" s="1"/>
  <c r="H273" i="1" l="1"/>
  <c r="J273" i="1" s="1"/>
  <c r="I273" i="1"/>
  <c r="F273" i="1" l="1"/>
  <c r="G273" i="1" s="1"/>
  <c r="K274" i="1" s="1"/>
  <c r="I274" i="1" l="1"/>
  <c r="H274" i="1"/>
  <c r="J274" i="1" s="1"/>
  <c r="F274" i="1" l="1"/>
  <c r="G274" i="1" s="1"/>
  <c r="K275" i="1" s="1"/>
  <c r="I275" i="1" l="1"/>
  <c r="H275" i="1"/>
  <c r="J275" i="1" s="1"/>
  <c r="F275" i="1" l="1"/>
  <c r="G275" i="1" s="1"/>
  <c r="K276" i="1" s="1"/>
  <c r="I276" i="1" s="1"/>
  <c r="H276" i="1" l="1"/>
  <c r="J276" i="1" s="1"/>
  <c r="F276" i="1" l="1"/>
  <c r="G276" i="1" s="1"/>
  <c r="K277" i="1" s="1"/>
  <c r="I277" i="1" s="1"/>
  <c r="H277" i="1" l="1"/>
  <c r="J277" i="1" s="1"/>
  <c r="F277" i="1" l="1"/>
  <c r="G277" i="1" s="1"/>
  <c r="K278" i="1" s="1"/>
  <c r="I278" i="1" s="1"/>
  <c r="H278" i="1" l="1"/>
  <c r="J278" i="1" s="1"/>
  <c r="F278" i="1" l="1"/>
  <c r="G278" i="1" s="1"/>
  <c r="K279" i="1" s="1"/>
  <c r="H279" i="1" l="1"/>
  <c r="J279" i="1" s="1"/>
  <c r="I279" i="1"/>
  <c r="F279" i="1" l="1"/>
  <c r="G279" i="1" s="1"/>
  <c r="K280" i="1" s="1"/>
  <c r="I280" i="1" s="1"/>
  <c r="H280" i="1" l="1"/>
  <c r="J280" i="1" l="1"/>
  <c r="F280" i="1"/>
  <c r="G280" i="1" s="1"/>
  <c r="K281" i="1" s="1"/>
  <c r="I281" i="1" s="1"/>
  <c r="H281" i="1" l="1"/>
  <c r="J281" i="1" l="1"/>
  <c r="F281" i="1"/>
  <c r="B28" i="1" s="1"/>
  <c r="R28" i="4" l="1"/>
  <c r="G281" i="1"/>
  <c r="K282" i="1" s="1"/>
  <c r="H282" i="1" s="1"/>
  <c r="C29" i="1" s="1"/>
  <c r="J282" i="1" l="1"/>
  <c r="S28" i="4"/>
  <c r="I282" i="1"/>
  <c r="F282" i="1" s="1"/>
  <c r="G282" i="1" s="1"/>
  <c r="K283" i="1" s="1"/>
  <c r="H283" i="1" s="1"/>
  <c r="J283" i="1" l="1"/>
  <c r="I283" i="1"/>
  <c r="F283" i="1" s="1"/>
  <c r="G283" i="1" s="1"/>
  <c r="K284" i="1" s="1"/>
  <c r="H284" i="1" s="1"/>
  <c r="J284" i="1" s="1"/>
  <c r="I284" i="1" l="1"/>
  <c r="F284" i="1" s="1"/>
  <c r="G284" i="1" s="1"/>
  <c r="K285" i="1" s="1"/>
  <c r="I285" i="1" s="1"/>
  <c r="H285" i="1" l="1"/>
  <c r="J285" i="1" l="1"/>
  <c r="F285" i="1"/>
  <c r="G285" i="1" s="1"/>
  <c r="K286" i="1" s="1"/>
  <c r="H286" i="1" s="1"/>
  <c r="J286" i="1" l="1"/>
  <c r="I286" i="1"/>
  <c r="F286" i="1" s="1"/>
  <c r="G286" i="1" s="1"/>
  <c r="K287" i="1" s="1"/>
  <c r="I287" i="1" l="1"/>
  <c r="H287" i="1"/>
  <c r="F287" i="1" l="1"/>
  <c r="G287" i="1" s="1"/>
  <c r="K288" i="1" s="1"/>
  <c r="I288" i="1" s="1"/>
  <c r="J287" i="1"/>
  <c r="H288" i="1" l="1"/>
  <c r="J288" i="1" s="1"/>
  <c r="F288" i="1" l="1"/>
  <c r="G288" i="1" s="1"/>
  <c r="K289" i="1" s="1"/>
  <c r="H289" i="1" s="1"/>
  <c r="I289" i="1" l="1"/>
  <c r="F289" i="1" s="1"/>
  <c r="G289" i="1" s="1"/>
  <c r="K290" i="1" s="1"/>
  <c r="I290" i="1" s="1"/>
  <c r="J289" i="1"/>
  <c r="H290" i="1" l="1"/>
  <c r="F290" i="1" s="1"/>
  <c r="G290" i="1" s="1"/>
  <c r="K291" i="1" s="1"/>
  <c r="H291" i="1" s="1"/>
  <c r="J290" i="1" l="1"/>
  <c r="J291" i="1" s="1"/>
  <c r="I291" i="1"/>
  <c r="F291" i="1" s="1"/>
  <c r="G291" i="1" s="1"/>
  <c r="K292" i="1" s="1"/>
  <c r="H292" i="1" s="1"/>
  <c r="J292" i="1" l="1"/>
  <c r="I292" i="1"/>
  <c r="F292" i="1" s="1"/>
  <c r="G292" i="1" s="1"/>
  <c r="K293" i="1" s="1"/>
  <c r="H293" i="1" s="1"/>
  <c r="I293" i="1" l="1"/>
  <c r="F293" i="1" s="1"/>
  <c r="B29" i="1" s="1"/>
  <c r="J293" i="1"/>
  <c r="R29" i="4" l="1"/>
  <c r="G293" i="1"/>
  <c r="K294" i="1" s="1"/>
  <c r="S29" i="4" l="1"/>
  <c r="H294" i="1"/>
  <c r="C30" i="1" s="1"/>
  <c r="I294" i="1"/>
  <c r="J294" i="1" l="1"/>
  <c r="F294" i="1"/>
  <c r="G294" i="1" s="1"/>
  <c r="K295" i="1" s="1"/>
  <c r="I295" i="1" s="1"/>
  <c r="H295" i="1" l="1"/>
  <c r="J295" i="1" l="1"/>
  <c r="F295" i="1"/>
  <c r="G295" i="1" s="1"/>
  <c r="K296" i="1" s="1"/>
  <c r="I296" i="1" l="1"/>
  <c r="H296" i="1"/>
  <c r="J296" i="1" l="1"/>
  <c r="F296" i="1"/>
  <c r="G296" i="1" s="1"/>
  <c r="K297" i="1" s="1"/>
  <c r="I297" i="1" l="1"/>
  <c r="H297" i="1"/>
  <c r="J297" i="1" s="1"/>
  <c r="F297" i="1" l="1"/>
  <c r="G297" i="1" s="1"/>
  <c r="K298" i="1" s="1"/>
  <c r="I298" i="1" l="1"/>
  <c r="H298" i="1"/>
  <c r="J298" i="1" s="1"/>
  <c r="F298" i="1" l="1"/>
  <c r="G298" i="1" s="1"/>
  <c r="K299" i="1" s="1"/>
  <c r="I299" i="1" l="1"/>
  <c r="H299" i="1"/>
  <c r="J299" i="1" s="1"/>
  <c r="F299" i="1" l="1"/>
  <c r="G299" i="1" s="1"/>
  <c r="K300" i="1" s="1"/>
  <c r="H300" i="1" s="1"/>
  <c r="J300" i="1" s="1"/>
  <c r="I300" i="1" l="1"/>
  <c r="F300" i="1" s="1"/>
  <c r="G300" i="1" s="1"/>
  <c r="K301" i="1" s="1"/>
  <c r="H301" i="1" l="1"/>
  <c r="J301" i="1" s="1"/>
  <c r="I301" i="1"/>
  <c r="F301" i="1" l="1"/>
  <c r="G301" i="1" s="1"/>
  <c r="K302" i="1" s="1"/>
  <c r="H302" i="1" s="1"/>
  <c r="J302" i="1" s="1"/>
  <c r="I302" i="1" l="1"/>
  <c r="F302" i="1" s="1"/>
  <c r="G302" i="1" s="1"/>
  <c r="K303" i="1" s="1"/>
  <c r="H303" i="1" s="1"/>
  <c r="J303" i="1" l="1"/>
  <c r="I303" i="1"/>
  <c r="F303" i="1" s="1"/>
  <c r="G303" i="1" s="1"/>
  <c r="K304" i="1" s="1"/>
  <c r="I304" i="1" s="1"/>
  <c r="H304" i="1" l="1"/>
  <c r="F304" i="1" l="1"/>
  <c r="G304" i="1" s="1"/>
  <c r="K305" i="1" s="1"/>
  <c r="I305" i="1" s="1"/>
  <c r="J304" i="1"/>
  <c r="H305" i="1" l="1"/>
  <c r="F305" i="1" l="1"/>
  <c r="B30" i="1" s="1"/>
  <c r="J305" i="1"/>
  <c r="R30" i="4"/>
  <c r="G305" i="1" l="1"/>
  <c r="K306" i="1" s="1"/>
  <c r="I306" i="1" s="1"/>
  <c r="S30" i="4"/>
  <c r="H306" i="1" l="1"/>
  <c r="C31" i="1" s="1"/>
  <c r="J306" i="1" l="1"/>
  <c r="F306" i="1"/>
  <c r="G306" i="1" s="1"/>
  <c r="K307" i="1" s="1"/>
  <c r="I307" i="1" s="1"/>
  <c r="H307" i="1" l="1"/>
  <c r="F307" i="1" s="1"/>
  <c r="G307" i="1" s="1"/>
  <c r="K308" i="1" s="1"/>
  <c r="J307" i="1" l="1"/>
  <c r="I308" i="1"/>
  <c r="H308" i="1"/>
  <c r="J308" i="1" l="1"/>
  <c r="F308" i="1"/>
  <c r="G308" i="1" s="1"/>
  <c r="K309" i="1" s="1"/>
  <c r="I309" i="1" l="1"/>
  <c r="H309" i="1"/>
  <c r="J309" i="1" l="1"/>
  <c r="F309" i="1"/>
  <c r="G309" i="1" l="1"/>
  <c r="K310" i="1" s="1"/>
  <c r="I310" i="1" l="1"/>
  <c r="H310" i="1"/>
  <c r="F310" i="1" l="1"/>
  <c r="G310" i="1" s="1"/>
  <c r="K311" i="1" s="1"/>
  <c r="J310" i="1"/>
  <c r="I311" i="1" l="1"/>
  <c r="H311" i="1"/>
  <c r="F311" i="1" l="1"/>
  <c r="G311" i="1" s="1"/>
  <c r="K312" i="1" s="1"/>
  <c r="I312" i="1" s="1"/>
  <c r="J311" i="1"/>
  <c r="H312" i="1" l="1"/>
  <c r="F312" i="1" l="1"/>
  <c r="G312" i="1" s="1"/>
  <c r="K313" i="1" s="1"/>
  <c r="J312" i="1"/>
  <c r="H313" i="1" l="1"/>
  <c r="J313" i="1" s="1"/>
  <c r="I313" i="1"/>
  <c r="F313" i="1" l="1"/>
  <c r="G313" i="1" s="1"/>
  <c r="K314" i="1" s="1"/>
  <c r="H314" i="1" s="1"/>
  <c r="J314" i="1" s="1"/>
  <c r="I314" i="1" l="1"/>
  <c r="F314" i="1" s="1"/>
  <c r="G314" i="1" s="1"/>
  <c r="K315" i="1" s="1"/>
  <c r="H315" i="1" l="1"/>
  <c r="J315" i="1" s="1"/>
  <c r="I315" i="1"/>
  <c r="F315" i="1" l="1"/>
  <c r="G315" i="1" s="1"/>
  <c r="K316" i="1" s="1"/>
  <c r="H316" i="1" s="1"/>
  <c r="J316" i="1" l="1"/>
  <c r="I316" i="1"/>
  <c r="F316" i="1" s="1"/>
  <c r="G316" i="1" s="1"/>
  <c r="K317" i="1" s="1"/>
  <c r="H317" i="1" s="1"/>
  <c r="J317" i="1" l="1"/>
  <c r="I317" i="1"/>
  <c r="F317" i="1" s="1"/>
  <c r="B31" i="1" s="1"/>
  <c r="R31" i="4" l="1"/>
  <c r="G317" i="1"/>
  <c r="K318" i="1" s="1"/>
  <c r="S31" i="4" l="1"/>
  <c r="H318" i="1"/>
  <c r="C32" i="1" s="1"/>
  <c r="I318" i="1"/>
  <c r="J318" i="1" l="1"/>
  <c r="F318" i="1"/>
  <c r="G318" i="1" s="1"/>
  <c r="K319" i="1" s="1"/>
  <c r="I319" i="1" s="1"/>
  <c r="H319" i="1" l="1"/>
  <c r="J319" i="1" l="1"/>
  <c r="F319" i="1"/>
  <c r="G319" i="1" s="1"/>
  <c r="K320" i="1" s="1"/>
  <c r="H320" i="1" s="1"/>
  <c r="J320" i="1" l="1"/>
  <c r="I320" i="1"/>
  <c r="F320" i="1" s="1"/>
  <c r="G320" i="1" s="1"/>
  <c r="K321" i="1" s="1"/>
  <c r="I321" i="1" l="1"/>
  <c r="H321" i="1"/>
  <c r="J321" i="1" s="1"/>
  <c r="F321" i="1" l="1"/>
  <c r="G321" i="1" l="1"/>
  <c r="K322" i="1" s="1"/>
  <c r="I322" i="1" l="1"/>
  <c r="H322" i="1"/>
  <c r="J322" i="1" s="1"/>
  <c r="F322" i="1" l="1"/>
  <c r="G322" i="1" s="1"/>
  <c r="K323" i="1" s="1"/>
  <c r="I323" i="1" l="1"/>
  <c r="H323" i="1"/>
  <c r="J323" i="1" s="1"/>
  <c r="F323" i="1" l="1"/>
  <c r="G323" i="1" s="1"/>
  <c r="K324" i="1" s="1"/>
  <c r="I324" i="1" s="1"/>
  <c r="H324" i="1" l="1"/>
  <c r="J324" i="1" s="1"/>
  <c r="F324" i="1" l="1"/>
  <c r="G324" i="1" s="1"/>
  <c r="K325" i="1" s="1"/>
  <c r="I325" i="1" s="1"/>
  <c r="H325" i="1" l="1"/>
  <c r="J325" i="1" s="1"/>
  <c r="F325" i="1" l="1"/>
  <c r="G325" i="1" s="1"/>
  <c r="K326" i="1" s="1"/>
  <c r="I326" i="1" s="1"/>
  <c r="H326" i="1" l="1"/>
  <c r="J326" i="1" s="1"/>
  <c r="F326" i="1" l="1"/>
  <c r="G326" i="1" s="1"/>
  <c r="K327" i="1" s="1"/>
  <c r="H327" i="1" s="1"/>
  <c r="J327" i="1" l="1"/>
  <c r="I327" i="1"/>
  <c r="F327" i="1" s="1"/>
  <c r="G327" i="1" s="1"/>
  <c r="K328" i="1" s="1"/>
  <c r="I328" i="1" s="1"/>
  <c r="H328" i="1" l="1"/>
  <c r="J328" i="1" l="1"/>
  <c r="F328" i="1"/>
  <c r="G328" i="1" s="1"/>
  <c r="K329" i="1" s="1"/>
  <c r="H329" i="1" s="1"/>
  <c r="J329" i="1" l="1"/>
  <c r="I329" i="1"/>
  <c r="F329" i="1" s="1"/>
  <c r="G329" i="1" s="1"/>
  <c r="K330" i="1" s="1"/>
  <c r="R32" i="4" l="1"/>
  <c r="B32" i="1"/>
  <c r="I330" i="1"/>
  <c r="H330" i="1"/>
  <c r="C33" i="1" s="1"/>
  <c r="S32" i="4" l="1"/>
  <c r="J330" i="1"/>
  <c r="F330" i="1"/>
  <c r="G330" i="1" s="1"/>
  <c r="K331" i="1" s="1"/>
  <c r="H331" i="1" s="1"/>
  <c r="J331" i="1" l="1"/>
  <c r="I331" i="1"/>
  <c r="F331" i="1" s="1"/>
  <c r="G331" i="1" s="1"/>
  <c r="K332" i="1" s="1"/>
  <c r="I332" i="1" s="1"/>
  <c r="H332" i="1" l="1"/>
  <c r="J332" i="1" l="1"/>
  <c r="F332" i="1"/>
  <c r="G332" i="1" s="1"/>
  <c r="K333" i="1" s="1"/>
  <c r="I333" i="1" l="1"/>
  <c r="H333" i="1"/>
  <c r="J333" i="1" s="1"/>
  <c r="F333" i="1" l="1"/>
  <c r="G333" i="1" s="1"/>
  <c r="K334" i="1" s="1"/>
  <c r="I334" i="1" s="1"/>
  <c r="H334" i="1" l="1"/>
  <c r="J334" i="1" s="1"/>
  <c r="F334" i="1" l="1"/>
  <c r="G334" i="1" s="1"/>
  <c r="K335" i="1" s="1"/>
  <c r="I335" i="1" s="1"/>
  <c r="H335" i="1" l="1"/>
  <c r="F335" i="1" s="1"/>
  <c r="G335" i="1" s="1"/>
  <c r="K336" i="1" s="1"/>
  <c r="I336" i="1" s="1"/>
  <c r="J335" i="1" l="1"/>
  <c r="H336" i="1"/>
  <c r="F336" i="1" s="1"/>
  <c r="G336" i="1" s="1"/>
  <c r="K337" i="1" s="1"/>
  <c r="H337" i="1" l="1"/>
  <c r="I337" i="1"/>
  <c r="J336" i="1"/>
  <c r="F337" i="1" l="1"/>
  <c r="G337" i="1" s="1"/>
  <c r="K338" i="1" s="1"/>
  <c r="I338" i="1" s="1"/>
  <c r="J337" i="1"/>
  <c r="H338" i="1" l="1"/>
  <c r="F338" i="1" s="1"/>
  <c r="G338" i="1" s="1"/>
  <c r="K339" i="1" s="1"/>
  <c r="J338" i="1" l="1"/>
  <c r="I339" i="1"/>
  <c r="H339" i="1"/>
  <c r="J339" i="1" l="1"/>
  <c r="F339" i="1"/>
  <c r="G339" i="1" s="1"/>
  <c r="K340" i="1" s="1"/>
  <c r="H340" i="1" s="1"/>
  <c r="I340" i="1" l="1"/>
  <c r="F340" i="1" s="1"/>
  <c r="G340" i="1" s="1"/>
  <c r="K341" i="1" s="1"/>
  <c r="J340" i="1"/>
  <c r="I341" i="1" l="1"/>
  <c r="H341" i="1"/>
  <c r="R33" i="4" l="1"/>
  <c r="F341" i="1"/>
  <c r="B33" i="1" s="1"/>
  <c r="J341" i="1"/>
  <c r="S33" i="4" l="1"/>
  <c r="G341" i="1"/>
  <c r="K342" i="1" s="1"/>
  <c r="I342" i="1" l="1"/>
  <c r="H342" i="1"/>
  <c r="C34" i="1" s="1"/>
  <c r="J342" i="1" l="1"/>
  <c r="F342" i="1"/>
  <c r="G342" i="1" s="1"/>
  <c r="K343" i="1" s="1"/>
  <c r="H343" i="1" s="1"/>
  <c r="J343" i="1" s="1"/>
  <c r="I343" i="1" l="1"/>
  <c r="F343" i="1" s="1"/>
  <c r="G343" i="1" s="1"/>
  <c r="K344" i="1" s="1"/>
  <c r="I344" i="1" l="1"/>
  <c r="H344" i="1"/>
  <c r="J344" i="1" l="1"/>
  <c r="F344" i="1"/>
  <c r="G344" i="1" s="1"/>
  <c r="K345" i="1" s="1"/>
  <c r="H345" i="1" s="1"/>
  <c r="J345" i="1" s="1"/>
  <c r="I345" i="1" l="1"/>
  <c r="F345" i="1" s="1"/>
  <c r="G345" i="1" s="1"/>
  <c r="K346" i="1" s="1"/>
  <c r="I346" i="1" s="1"/>
  <c r="H346" i="1" l="1"/>
  <c r="J346" i="1" s="1"/>
  <c r="F346" i="1" l="1"/>
  <c r="G346" i="1" s="1"/>
  <c r="K347" i="1" s="1"/>
  <c r="I347" i="1" l="1"/>
  <c r="H347" i="1"/>
  <c r="J347" i="1" s="1"/>
  <c r="F347" i="1" l="1"/>
  <c r="G347" i="1" s="1"/>
  <c r="K348" i="1" s="1"/>
  <c r="I348" i="1" s="1"/>
  <c r="H348" i="1" l="1"/>
  <c r="F348" i="1" s="1"/>
  <c r="G348" i="1" s="1"/>
  <c r="K349" i="1" s="1"/>
  <c r="I349" i="1" s="1"/>
  <c r="J348" i="1" l="1"/>
  <c r="H349" i="1"/>
  <c r="F349" i="1" s="1"/>
  <c r="G349" i="1" s="1"/>
  <c r="K350" i="1" s="1"/>
  <c r="I350" i="1" s="1"/>
  <c r="J349" i="1" l="1"/>
  <c r="H350" i="1"/>
  <c r="F350" i="1" s="1"/>
  <c r="G350" i="1" s="1"/>
  <c r="K351" i="1" s="1"/>
  <c r="H351" i="1" s="1"/>
  <c r="J350" i="1" l="1"/>
  <c r="J351" i="1" s="1"/>
  <c r="I351" i="1"/>
  <c r="F351" i="1" s="1"/>
  <c r="G351" i="1" s="1"/>
  <c r="K352" i="1" s="1"/>
  <c r="H352" i="1" s="1"/>
  <c r="J352" i="1" l="1"/>
  <c r="I352" i="1"/>
  <c r="F352" i="1" s="1"/>
  <c r="G352" i="1" s="1"/>
  <c r="K353" i="1" s="1"/>
  <c r="H353" i="1" s="1"/>
  <c r="I353" i="1" l="1"/>
  <c r="F353" i="1" s="1"/>
  <c r="J353" i="1"/>
  <c r="G353" i="1" l="1"/>
  <c r="K354" i="1" s="1"/>
  <c r="B34" i="1"/>
  <c r="R34" i="4" l="1"/>
  <c r="I354" i="1"/>
  <c r="H354" i="1"/>
  <c r="J354" i="1" l="1"/>
  <c r="S34" i="4"/>
  <c r="F354" i="1"/>
  <c r="G354" i="1" s="1"/>
  <c r="K355" i="1" s="1"/>
  <c r="H355" i="1" s="1"/>
  <c r="J355" i="1" l="1"/>
  <c r="I355" i="1"/>
  <c r="F355" i="1" s="1"/>
  <c r="G355" i="1" s="1"/>
  <c r="K356" i="1" s="1"/>
  <c r="I356" i="1" l="1"/>
  <c r="H356" i="1"/>
  <c r="C35" i="1" s="1"/>
  <c r="J356" i="1" l="1"/>
  <c r="F356" i="1"/>
  <c r="G356" i="1" s="1"/>
  <c r="K357" i="1" s="1"/>
  <c r="I357" i="1" l="1"/>
  <c r="H357" i="1"/>
  <c r="J357" i="1" s="1"/>
  <c r="F357" i="1" l="1"/>
  <c r="G357" i="1" l="1"/>
  <c r="K358" i="1" s="1"/>
  <c r="I358" i="1" l="1"/>
  <c r="H358" i="1"/>
  <c r="J358" i="1" s="1"/>
  <c r="F358" i="1" l="1"/>
  <c r="G358" i="1" s="1"/>
  <c r="K359" i="1" s="1"/>
  <c r="I359" i="1" l="1"/>
  <c r="H359" i="1"/>
  <c r="J359" i="1" s="1"/>
  <c r="F359" i="1" l="1"/>
  <c r="G359" i="1" s="1"/>
  <c r="K360" i="1" s="1"/>
  <c r="I360" i="1" s="1"/>
  <c r="H360" i="1" l="1"/>
  <c r="F360" i="1" s="1"/>
  <c r="G360" i="1" s="1"/>
  <c r="K361" i="1" s="1"/>
  <c r="I361" i="1" l="1"/>
  <c r="H361" i="1"/>
  <c r="J360" i="1"/>
  <c r="J361" i="1" l="1"/>
  <c r="F361" i="1"/>
  <c r="G361" i="1" s="1"/>
  <c r="K362" i="1" s="1"/>
  <c r="H362" i="1" l="1"/>
  <c r="J362" i="1" s="1"/>
  <c r="I362" i="1"/>
  <c r="F362" i="1" l="1"/>
  <c r="G362" i="1" s="1"/>
  <c r="K363" i="1" s="1"/>
  <c r="H363" i="1" s="1"/>
  <c r="J363" i="1" s="1"/>
  <c r="I363" i="1" l="1"/>
  <c r="F363" i="1" s="1"/>
  <c r="G363" i="1" s="1"/>
  <c r="K364" i="1" s="1"/>
  <c r="H364" i="1" l="1"/>
  <c r="I364" i="1"/>
  <c r="J364" i="1" l="1"/>
  <c r="F364" i="1"/>
  <c r="B35" i="1" s="1"/>
  <c r="I3" i="1"/>
  <c r="K1" i="1" l="1"/>
  <c r="G364" i="1"/>
  <c r="R35" i="4" l="1"/>
  <c r="S35" i="4" l="1"/>
  <c r="R6" i="4" l="1"/>
  <c r="S6" i="4" l="1"/>
  <c r="R4" i="4" l="1"/>
  <c r="S4" i="4" l="1"/>
  <c r="F20" i="2"/>
  <c r="D43" i="6" s="1"/>
  <c r="F29" i="2"/>
  <c r="D52" i="6"/>
  <c r="F6" i="2"/>
  <c r="D29" i="6" s="1"/>
  <c r="F30" i="2"/>
  <c r="D53" i="6" s="1"/>
  <c r="F16" i="2"/>
  <c r="D39" i="6" s="1"/>
  <c r="F22" i="2"/>
  <c r="D45" i="6" s="1"/>
  <c r="F21" i="2"/>
  <c r="D44" i="6" s="1"/>
  <c r="F17" i="2"/>
  <c r="D40" i="6" s="1"/>
  <c r="F23" i="2"/>
  <c r="D46" i="6" s="1"/>
  <c r="F28" i="2"/>
  <c r="D51" i="6" s="1"/>
  <c r="F4" i="2"/>
  <c r="D27" i="6" s="1"/>
  <c r="F26" i="2"/>
  <c r="D49" i="6" s="1"/>
  <c r="F15" i="2"/>
  <c r="D38" i="6" s="1"/>
  <c r="F14" i="2"/>
  <c r="D37" i="6" s="1"/>
  <c r="F9" i="2"/>
  <c r="D32" i="6" s="1"/>
  <c r="F13" i="2"/>
  <c r="D36" i="6" s="1"/>
  <c r="F19" i="2"/>
  <c r="D42" i="6" s="1"/>
  <c r="F27" i="2"/>
  <c r="D50" i="6" s="1"/>
  <c r="F8" i="2"/>
  <c r="D31" i="6" s="1"/>
  <c r="F25" i="2"/>
  <c r="D48" i="6" s="1"/>
  <c r="F7" i="2"/>
  <c r="D30" i="6" s="1"/>
  <c r="F5" i="2"/>
  <c r="D28" i="6" s="1"/>
  <c r="F3" i="2"/>
  <c r="D26" i="6" s="1"/>
  <c r="F24" i="2"/>
  <c r="D47" i="6" s="1"/>
  <c r="F31" i="2"/>
  <c r="D54" i="6" s="1"/>
  <c r="F18" i="2"/>
  <c r="D41" i="6" s="1"/>
  <c r="F11" i="2"/>
  <c r="D34" i="6" s="1"/>
  <c r="F12" i="2"/>
  <c r="D35" i="6" s="1"/>
  <c r="F10" i="2"/>
  <c r="D33" i="6" s="1"/>
  <c r="E37" i="6" l="1"/>
  <c r="J14" i="2" s="1"/>
  <c r="E48" i="6"/>
  <c r="J25" i="2" s="1"/>
  <c r="I25" i="2" s="1"/>
  <c r="G25" i="2" s="1"/>
  <c r="B48" i="6" s="1"/>
  <c r="C48" i="6" s="1"/>
  <c r="K25" i="2" s="1"/>
  <c r="N25" i="2" s="1"/>
  <c r="E31" i="6"/>
  <c r="J8" i="2" s="1"/>
  <c r="E27" i="6"/>
  <c r="J4" i="2" s="1"/>
  <c r="I4" i="2" s="1"/>
  <c r="G4" i="2" s="1"/>
  <c r="B27" i="6" s="1"/>
  <c r="C27" i="6" s="1"/>
  <c r="K4" i="2" s="1"/>
  <c r="N4" i="2" s="1"/>
  <c r="E35" i="6"/>
  <c r="J12" i="2" s="1"/>
  <c r="I12" i="2" s="1"/>
  <c r="G12" i="2" s="1"/>
  <c r="B35" i="6" s="1"/>
  <c r="C35" i="6" s="1"/>
  <c r="K12" i="2" s="1"/>
  <c r="N12" i="2" s="1"/>
  <c r="E30" i="6"/>
  <c r="J7" i="2" s="1"/>
  <c r="E45" i="6"/>
  <c r="J22" i="2" s="1"/>
  <c r="I22" i="2" s="1"/>
  <c r="G22" i="2" s="1"/>
  <c r="B45" i="6" s="1"/>
  <c r="C45" i="6" s="1"/>
  <c r="K22" i="2" s="1"/>
  <c r="N22" i="2" s="1"/>
  <c r="E38" i="6"/>
  <c r="J15" i="2" s="1"/>
  <c r="I15" i="2" s="1"/>
  <c r="G15" i="2" s="1"/>
  <c r="B38" i="6" s="1"/>
  <c r="C38" i="6" s="1"/>
  <c r="K15" i="2" s="1"/>
  <c r="N15" i="2" s="1"/>
  <c r="E49" i="6"/>
  <c r="J26" i="2" s="1"/>
  <c r="I26" i="2" s="1"/>
  <c r="G26" i="2" s="1"/>
  <c r="B49" i="6" s="1"/>
  <c r="C49" i="6" s="1"/>
  <c r="K26" i="2" s="1"/>
  <c r="N26" i="2" s="1"/>
  <c r="E50" i="6"/>
  <c r="J27" i="2" s="1"/>
  <c r="E47" i="6"/>
  <c r="J24" i="2" s="1"/>
  <c r="E42" i="6"/>
  <c r="J19" i="2" s="1"/>
  <c r="I19" i="2" s="1"/>
  <c r="G19" i="2" s="1"/>
  <c r="B42" i="6" s="1"/>
  <c r="C42" i="6" s="1"/>
  <c r="K19" i="2" s="1"/>
  <c r="N19" i="2" s="1"/>
  <c r="R19" i="2" s="1"/>
  <c r="E51" i="6"/>
  <c r="J28" i="2" s="1"/>
  <c r="I28" i="2" s="1"/>
  <c r="G28" i="2" s="1"/>
  <c r="B51" i="6" s="1"/>
  <c r="C51" i="6" s="1"/>
  <c r="K28" i="2" s="1"/>
  <c r="N28" i="2" s="1"/>
  <c r="E52" i="6"/>
  <c r="J29" i="2" s="1"/>
  <c r="E36" i="6"/>
  <c r="J13" i="2" s="1"/>
  <c r="E46" i="6"/>
  <c r="J23" i="2" s="1"/>
  <c r="I23" i="2" s="1"/>
  <c r="G23" i="2" s="1"/>
  <c r="B46" i="6" s="1"/>
  <c r="C46" i="6" s="1"/>
  <c r="K23" i="2" s="1"/>
  <c r="N23" i="2" s="1"/>
  <c r="E34" i="6"/>
  <c r="J11" i="2" s="1"/>
  <c r="I11" i="2" s="1"/>
  <c r="G11" i="2" s="1"/>
  <c r="B34" i="6" s="1"/>
  <c r="C34" i="6" s="1"/>
  <c r="K11" i="2" s="1"/>
  <c r="N11" i="2" s="1"/>
  <c r="E41" i="6"/>
  <c r="J18" i="2" s="1"/>
  <c r="I18" i="2" s="1"/>
  <c r="G18" i="2" s="1"/>
  <c r="B41" i="6" s="1"/>
  <c r="C41" i="6" s="1"/>
  <c r="K18" i="2" s="1"/>
  <c r="N18" i="2" s="1"/>
  <c r="E54" i="6"/>
  <c r="J31" i="2" s="1"/>
  <c r="I31" i="2" s="1"/>
  <c r="G31" i="2" s="1"/>
  <c r="B54" i="6" s="1"/>
  <c r="C54" i="6" s="1"/>
  <c r="K31" i="2" s="1"/>
  <c r="N31" i="2" s="1"/>
  <c r="E32" i="6"/>
  <c r="J9" i="2" s="1"/>
  <c r="I9" i="2" s="1"/>
  <c r="G9" i="2" s="1"/>
  <c r="B32" i="6" s="1"/>
  <c r="C32" i="6" s="1"/>
  <c r="K9" i="2" s="1"/>
  <c r="N9" i="2" s="1"/>
  <c r="E43" i="6"/>
  <c r="J20" i="2" s="1"/>
  <c r="E39" i="6"/>
  <c r="J16" i="2" s="1"/>
  <c r="I16" i="2" s="1"/>
  <c r="G16" i="2" s="1"/>
  <c r="B39" i="6" s="1"/>
  <c r="C39" i="6" s="1"/>
  <c r="K16" i="2" s="1"/>
  <c r="N16" i="2" s="1"/>
  <c r="E53" i="6"/>
  <c r="J30" i="2" s="1"/>
  <c r="I30" i="2" s="1"/>
  <c r="G30" i="2" s="1"/>
  <c r="B53" i="6" s="1"/>
  <c r="C53" i="6" s="1"/>
  <c r="K30" i="2" s="1"/>
  <c r="N30" i="2" s="1"/>
  <c r="E29" i="6"/>
  <c r="J6" i="2" s="1"/>
  <c r="I6" i="2" s="1"/>
  <c r="G6" i="2" s="1"/>
  <c r="B29" i="6" s="1"/>
  <c r="C29" i="6" s="1"/>
  <c r="K6" i="2" s="1"/>
  <c r="N6" i="2" s="1"/>
  <c r="E26" i="6"/>
  <c r="J3" i="2" s="1"/>
  <c r="E40" i="6"/>
  <c r="J17" i="2" s="1"/>
  <c r="E33" i="6"/>
  <c r="J10" i="2" s="1"/>
  <c r="I10" i="2" s="1"/>
  <c r="G10" i="2" s="1"/>
  <c r="B33" i="6" s="1"/>
  <c r="C33" i="6" s="1"/>
  <c r="K10" i="2" s="1"/>
  <c r="N10" i="2" s="1"/>
  <c r="E28" i="6"/>
  <c r="J5" i="2" s="1"/>
  <c r="I5" i="2" s="1"/>
  <c r="G5" i="2" s="1"/>
  <c r="B28" i="6" s="1"/>
  <c r="C28" i="6" s="1"/>
  <c r="K5" i="2" s="1"/>
  <c r="N5" i="2" s="1"/>
  <c r="R5" i="2" s="1"/>
  <c r="E44" i="6"/>
  <c r="J21" i="2" s="1"/>
  <c r="I17" i="2" l="1"/>
  <c r="G17" i="2" s="1"/>
  <c r="B40" i="6" s="1"/>
  <c r="C40" i="6" s="1"/>
  <c r="K17" i="2" s="1"/>
  <c r="N17" i="2" s="1"/>
  <c r="I24" i="2"/>
  <c r="G24" i="2" s="1"/>
  <c r="B47" i="6" s="1"/>
  <c r="C47" i="6" s="1"/>
  <c r="K24" i="2" s="1"/>
  <c r="N24" i="2" s="1"/>
  <c r="I21" i="2"/>
  <c r="G21" i="2" s="1"/>
  <c r="B44" i="6" s="1"/>
  <c r="C44" i="6" s="1"/>
  <c r="K21" i="2" s="1"/>
  <c r="N21" i="2" s="1"/>
  <c r="I27" i="2"/>
  <c r="G27" i="2" s="1"/>
  <c r="B50" i="6" s="1"/>
  <c r="C50" i="6" s="1"/>
  <c r="K27" i="2" s="1"/>
  <c r="N27" i="2"/>
  <c r="S27" i="2" s="1"/>
  <c r="I8" i="2"/>
  <c r="G8" i="2" s="1"/>
  <c r="B31" i="6" s="1"/>
  <c r="C31" i="6" s="1"/>
  <c r="K8" i="2" s="1"/>
  <c r="N8" i="2" s="1"/>
  <c r="R16" i="2"/>
  <c r="T16" i="2" s="1"/>
  <c r="V16" i="2" s="1"/>
  <c r="O16" i="2"/>
  <c r="S16" i="2"/>
  <c r="I20" i="2"/>
  <c r="G20" i="2" s="1"/>
  <c r="B43" i="6" s="1"/>
  <c r="C43" i="6" s="1"/>
  <c r="K20" i="2" s="1"/>
  <c r="N20" i="2" s="1"/>
  <c r="R20" i="2" s="1"/>
  <c r="I13" i="2"/>
  <c r="G13" i="2" s="1"/>
  <c r="B36" i="6" s="1"/>
  <c r="C36" i="6" s="1"/>
  <c r="K13" i="2" s="1"/>
  <c r="N13" i="2" s="1"/>
  <c r="I3" i="2"/>
  <c r="G3" i="2" s="1"/>
  <c r="B26" i="6" s="1"/>
  <c r="C26" i="6" s="1"/>
  <c r="K3" i="2" s="1"/>
  <c r="N3" i="2" s="1"/>
  <c r="I7" i="2"/>
  <c r="G7" i="2" s="1"/>
  <c r="B30" i="6" s="1"/>
  <c r="C30" i="6" s="1"/>
  <c r="K7" i="2" s="1"/>
  <c r="N7" i="2" s="1"/>
  <c r="S7" i="2" s="1"/>
  <c r="I29" i="2"/>
  <c r="G29" i="2" s="1"/>
  <c r="B52" i="6" s="1"/>
  <c r="C52" i="6" s="1"/>
  <c r="K29" i="2" s="1"/>
  <c r="N29" i="2" s="1"/>
  <c r="I14" i="2"/>
  <c r="G14" i="2" s="1"/>
  <c r="B37" i="6" s="1"/>
  <c r="C37" i="6" s="1"/>
  <c r="K14" i="2" s="1"/>
  <c r="N14" i="2" s="1"/>
  <c r="O5" i="2"/>
  <c r="S19" i="2"/>
  <c r="S5" i="2"/>
  <c r="O19" i="2"/>
  <c r="R15" i="2"/>
  <c r="S15" i="2"/>
  <c r="O15" i="2"/>
  <c r="O22" i="2"/>
  <c r="S22" i="2"/>
  <c r="R22" i="2"/>
  <c r="S18" i="2"/>
  <c r="R18" i="2"/>
  <c r="O18" i="2"/>
  <c r="O12" i="2"/>
  <c r="R12" i="2"/>
  <c r="S12" i="2"/>
  <c r="O25" i="2"/>
  <c r="R25" i="2"/>
  <c r="S25" i="2"/>
  <c r="S26" i="2"/>
  <c r="R26" i="2"/>
  <c r="O26" i="2"/>
  <c r="R10" i="2"/>
  <c r="S10" i="2"/>
  <c r="O10" i="2"/>
  <c r="R11" i="2"/>
  <c r="O11" i="2"/>
  <c r="S11" i="2"/>
  <c r="S23" i="2"/>
  <c r="O23" i="2"/>
  <c r="R23" i="2"/>
  <c r="R30" i="2"/>
  <c r="O30" i="2"/>
  <c r="S30" i="2"/>
  <c r="O31" i="2"/>
  <c r="R31" i="2"/>
  <c r="S31" i="2"/>
  <c r="O28" i="2"/>
  <c r="S28" i="2"/>
  <c r="R28" i="2"/>
  <c r="T19" i="2"/>
  <c r="V19" i="2" s="1"/>
  <c r="T5" i="2"/>
  <c r="V5" i="2" s="1"/>
  <c r="S6" i="2"/>
  <c r="O6" i="2"/>
  <c r="R6" i="2"/>
  <c r="O9" i="2"/>
  <c r="S9" i="2"/>
  <c r="R9" i="2"/>
  <c r="O4" i="2"/>
  <c r="S4" i="2"/>
  <c r="R4" i="2"/>
  <c r="O29" i="2" l="1"/>
  <c r="S29" i="2"/>
  <c r="O8" i="2"/>
  <c r="R8" i="2"/>
  <c r="S8" i="2"/>
  <c r="O21" i="2"/>
  <c r="R21" i="2"/>
  <c r="T21" i="2" s="1"/>
  <c r="V21" i="2" s="1"/>
  <c r="S21" i="2"/>
  <c r="O3" i="2"/>
  <c r="S3" i="2"/>
  <c r="R3" i="2"/>
  <c r="T3" i="2" s="1"/>
  <c r="V3" i="2" s="1"/>
  <c r="S14" i="2"/>
  <c r="O14" i="2"/>
  <c r="R14" i="2"/>
  <c r="T14" i="2" s="1"/>
  <c r="V14" i="2" s="1"/>
  <c r="R24" i="2"/>
  <c r="T24" i="2" s="1"/>
  <c r="V24" i="2" s="1"/>
  <c r="O24" i="2"/>
  <c r="S24" i="2"/>
  <c r="R13" i="2"/>
  <c r="T13" i="2" s="1"/>
  <c r="V13" i="2" s="1"/>
  <c r="S13" i="2"/>
  <c r="O13" i="2"/>
  <c r="S17" i="2"/>
  <c r="O17" i="2"/>
  <c r="R17" i="2"/>
  <c r="T17" i="2" s="1"/>
  <c r="V17" i="2" s="1"/>
  <c r="O20" i="2"/>
  <c r="S20" i="2"/>
  <c r="O27" i="2"/>
  <c r="O7" i="2"/>
  <c r="R27" i="2"/>
  <c r="R29" i="2"/>
  <c r="T29" i="2" s="1"/>
  <c r="V29" i="2" s="1"/>
  <c r="R7" i="2"/>
  <c r="T7" i="2" s="1"/>
  <c r="V7" i="2" s="1"/>
  <c r="U16" i="2"/>
  <c r="U5" i="2"/>
  <c r="U19" i="2"/>
  <c r="T15" i="2"/>
  <c r="V15" i="2" s="1"/>
  <c r="T26" i="2"/>
  <c r="V26" i="2" s="1"/>
  <c r="T12" i="2"/>
  <c r="V12" i="2" s="1"/>
  <c r="T8" i="2"/>
  <c r="V8" i="2" s="1"/>
  <c r="T11" i="2"/>
  <c r="V11" i="2" s="1"/>
  <c r="T25" i="2"/>
  <c r="V25" i="2" s="1"/>
  <c r="T22" i="2"/>
  <c r="V22" i="2" s="1"/>
  <c r="T9" i="2"/>
  <c r="V9" i="2" s="1"/>
  <c r="T10" i="2"/>
  <c r="V10" i="2" s="1"/>
  <c r="T27" i="2"/>
  <c r="V27" i="2" s="1"/>
  <c r="T4" i="2"/>
  <c r="V4" i="2" s="1"/>
  <c r="T6" i="2"/>
  <c r="V6" i="2" s="1"/>
  <c r="T23" i="2"/>
  <c r="V23" i="2" s="1"/>
  <c r="T31" i="2"/>
  <c r="V31" i="2" s="1"/>
  <c r="T18" i="2"/>
  <c r="V18" i="2" s="1"/>
  <c r="T20" i="2"/>
  <c r="V20" i="2" s="1"/>
  <c r="T28" i="2"/>
  <c r="V28" i="2" s="1"/>
  <c r="T30" i="2"/>
  <c r="V30" i="2" s="1"/>
  <c r="U22" i="2" l="1"/>
  <c r="U30" i="2"/>
  <c r="U14" i="2"/>
  <c r="U31" i="2"/>
  <c r="U9" i="2"/>
  <c r="U26" i="2"/>
  <c r="U20" i="2"/>
  <c r="U3" i="2"/>
  <c r="U15" i="2"/>
  <c r="U10" i="2"/>
  <c r="U17" i="2"/>
  <c r="U29" i="2"/>
  <c r="U6" i="2"/>
  <c r="U27" i="2"/>
  <c r="U13" i="2"/>
  <c r="U11" i="2"/>
  <c r="U8" i="2"/>
  <c r="U23" i="2"/>
  <c r="U25" i="2"/>
  <c r="U24" i="2"/>
  <c r="U18" i="2"/>
  <c r="U28" i="2"/>
  <c r="U21" i="2"/>
  <c r="U4" i="2"/>
  <c r="U7" i="2"/>
  <c r="U12" i="2"/>
  <c r="F2" i="2"/>
  <c r="D25" i="6" s="1"/>
  <c r="E25" i="6" l="1"/>
  <c r="J2" i="2" s="1"/>
  <c r="I2" i="2" s="1"/>
  <c r="G2" i="2" s="1"/>
  <c r="B25" i="6" s="1"/>
  <c r="C25" i="6" s="1"/>
  <c r="K2" i="2" s="1"/>
  <c r="N2" i="2" s="1"/>
  <c r="S2" i="2" l="1"/>
  <c r="R2" i="2"/>
  <c r="O2" i="2"/>
  <c r="T2" i="2" l="1"/>
  <c r="V2" i="2" s="1"/>
  <c r="W2" i="2" s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U2" i="2"/>
</calcChain>
</file>

<file path=xl/comments1.xml><?xml version="1.0" encoding="utf-8"?>
<comments xmlns="http://schemas.openxmlformats.org/spreadsheetml/2006/main">
  <authors>
    <author>John Linehan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John Linehan:</t>
        </r>
        <r>
          <rPr>
            <sz val="9"/>
            <color indexed="81"/>
            <rFont val="Tahoma"/>
            <family val="2"/>
          </rPr>
          <t xml:space="preserve">
$15k for furniture</t>
        </r>
      </text>
    </comment>
  </commentList>
</comments>
</file>

<file path=xl/sharedStrings.xml><?xml version="1.0" encoding="utf-8"?>
<sst xmlns="http://schemas.openxmlformats.org/spreadsheetml/2006/main" count="181" uniqueCount="148">
  <si>
    <t>Month</t>
  </si>
  <si>
    <t>Interest</t>
  </si>
  <si>
    <t>Payment</t>
  </si>
  <si>
    <t>Additional Payment</t>
  </si>
  <si>
    <t>Month &amp; Year</t>
  </si>
  <si>
    <t>Loan Amount</t>
  </si>
  <si>
    <t>Interest Rate</t>
  </si>
  <si>
    <t>Loan Balance @ start of month</t>
  </si>
  <si>
    <t>Loan Term</t>
  </si>
  <si>
    <t>Total Interest</t>
  </si>
  <si>
    <t># of Payments</t>
  </si>
  <si>
    <t>Total Monthly payment</t>
  </si>
  <si>
    <t>CA Taxable</t>
  </si>
  <si>
    <t>Fed Taxable</t>
  </si>
  <si>
    <t>CA Taxes</t>
  </si>
  <si>
    <t>Fed Taxes</t>
  </si>
  <si>
    <t>Gross Income</t>
  </si>
  <si>
    <t>Net Income</t>
  </si>
  <si>
    <t>Tax Rate</t>
  </si>
  <si>
    <t>Bonuses</t>
  </si>
  <si>
    <t>Year</t>
  </si>
  <si>
    <t>Total</t>
  </si>
  <si>
    <t>Monthly Gross Income</t>
  </si>
  <si>
    <t>Monthly Net Income</t>
  </si>
  <si>
    <t>Monthly Income After Housing</t>
  </si>
  <si>
    <t>Income Per Paycheck</t>
  </si>
  <si>
    <t>Monthly Savings</t>
  </si>
  <si>
    <t>Savings @ End of Year</t>
  </si>
  <si>
    <t>Total Cost of Loan</t>
  </si>
  <si>
    <t>Property Tax + Insurance</t>
  </si>
  <si>
    <t># Aditional Payments</t>
  </si>
  <si>
    <t>Yearly Payment amount</t>
  </si>
  <si>
    <t>year</t>
  </si>
  <si>
    <t>payment sum</t>
  </si>
  <si>
    <t>Utilities</t>
  </si>
  <si>
    <t>Car Insurance &amp; Reg</t>
  </si>
  <si>
    <t>Cell Phones</t>
  </si>
  <si>
    <t>Internet</t>
  </si>
  <si>
    <t>Petrol</t>
  </si>
  <si>
    <t>Groceries</t>
  </si>
  <si>
    <t>Meals Out</t>
  </si>
  <si>
    <t>House Supplies</t>
  </si>
  <si>
    <t>Vacation</t>
  </si>
  <si>
    <t>Pocket Money</t>
  </si>
  <si>
    <t>Clothing</t>
  </si>
  <si>
    <t>Entertainment</t>
  </si>
  <si>
    <t>Gifts</t>
  </si>
  <si>
    <t>Misc. Housing costs</t>
  </si>
  <si>
    <t>Income</t>
  </si>
  <si>
    <t>Savings</t>
  </si>
  <si>
    <t>Gas</t>
  </si>
  <si>
    <t>Monthly Total</t>
  </si>
  <si>
    <t>Car Repairs &amp; Car Payment</t>
  </si>
  <si>
    <t>Total Yearly Spending</t>
  </si>
  <si>
    <t>Principal</t>
  </si>
  <si>
    <t>SS &amp; Med &amp; CA Dis</t>
  </si>
  <si>
    <t>Name</t>
  </si>
  <si>
    <t>Yearly Raise (%)</t>
  </si>
  <si>
    <t>Savings ($)</t>
  </si>
  <si>
    <t>Savings (% of income)</t>
  </si>
  <si>
    <t>Bonuses ($)</t>
  </si>
  <si>
    <t>Bonuses (% of income)</t>
  </si>
  <si>
    <t>Children</t>
  </si>
  <si>
    <t>Child 2 year born</t>
  </si>
  <si>
    <t>Child 1 year born</t>
  </si>
  <si>
    <t>Child 3 year born</t>
  </si>
  <si>
    <t>Child 4 year born</t>
  </si>
  <si>
    <t>Standard Deduction</t>
  </si>
  <si>
    <t>Federal</t>
  </si>
  <si>
    <t>Personal Exemption</t>
  </si>
  <si>
    <t>Children in year</t>
  </si>
  <si>
    <t>Top of Bracket</t>
  </si>
  <si>
    <t>Bottom of Bracket</t>
  </si>
  <si>
    <t>Taxes paid before bracket</t>
  </si>
  <si>
    <t>$0 - $15,700</t>
  </si>
  <si>
    <t>$15,700 - $37,220</t>
  </si>
  <si>
    <t>$37,220 - $58,744</t>
  </si>
  <si>
    <t>$58,744 - $81,546</t>
  </si>
  <si>
    <t>$81,546 - $103,060</t>
  </si>
  <si>
    <t>$103,060 - $526,444</t>
  </si>
  <si>
    <t>$526,444 - $631,732</t>
  </si>
  <si>
    <t>$631,732 - $1,052,886</t>
  </si>
  <si>
    <t>$1,052,886+</t>
  </si>
  <si>
    <t>For earnings between $0.00 and $15,700.00, you'll pay 1%</t>
  </si>
  <si>
    <t>For earnings between $15,700.00 and $37,220.00, you'll pay 2% plus $157.00</t>
  </si>
  <si>
    <t>For earnings between $37,220.00 and $58,744.00, you'll pay 4% plus $587.40</t>
  </si>
  <si>
    <t>For earnings between $58,744.00 and $81,546.00, you'll pay 6% plus $1,448.36</t>
  </si>
  <si>
    <t>For earnings between $81,546.00 and $103,060.00, you'll pay 8% plus $2,816.48</t>
  </si>
  <si>
    <t>For earnings between $103,060.00 and $526,444.00, you'll pay 9.3% plus $4,537.60</t>
  </si>
  <si>
    <t>For earnings between $526,444.00 and $631,732.00, you'll pay 10.3% plus $43,912.31</t>
  </si>
  <si>
    <t>For earnings between $631,732.00 and $1,000,000.00, you'll pay 11.3% plus $54,756.98</t>
  </si>
  <si>
    <t>For earnings between $1,000,000.00 and $1,052,886.00, you'll pay 12.3% plus $96,371.26</t>
  </si>
  <si>
    <t>For earnings over $1,052,886.00, you'll pay 13.3% plus $102,876.24</t>
  </si>
  <si>
    <t>California</t>
  </si>
  <si>
    <t>Federal Deductions</t>
  </si>
  <si>
    <t>CA Deductions</t>
  </si>
  <si>
    <t>Federal Tax</t>
  </si>
  <si>
    <t>Federal Taxable Income</t>
  </si>
  <si>
    <t>CA Taxable Income</t>
  </si>
  <si>
    <t>CA Tax</t>
  </si>
  <si>
    <t>$0—$18,550</t>
  </si>
  <si>
    <t>$18,551—$75,300</t>
  </si>
  <si>
    <t>$1,855 plus 15% of the amount over $18,550</t>
  </si>
  <si>
    <t>$75,301—$151,900</t>
  </si>
  <si>
    <t>$10,367.50 plus 25% of the amount over $75,300</t>
  </si>
  <si>
    <t>$151,901—$231,450</t>
  </si>
  <si>
    <t>$29,517.50 plus 28% of the amount over $151,900</t>
  </si>
  <si>
    <t>$231,451—$413,350</t>
  </si>
  <si>
    <t>$51,791.50 plus 33% of the amount over $231,450</t>
  </si>
  <si>
    <t>$413,351—$466,950</t>
  </si>
  <si>
    <t>$111,818.50 plus 35% of the amount over $413,350</t>
  </si>
  <si>
    <t>$466,951 or more</t>
  </si>
  <si>
    <t>$130,578.50 plus 39.6% of the amount over $466,950</t>
  </si>
  <si>
    <t>Paychecks per Year</t>
  </si>
  <si>
    <t>Cars</t>
  </si>
  <si>
    <t>Car 1 payment</t>
  </si>
  <si>
    <t>Car 1 payment year end</t>
  </si>
  <si>
    <t>Car 2 payment</t>
  </si>
  <si>
    <t>Car 2 payment year end</t>
  </si>
  <si>
    <t>Monthly Car Payment by year</t>
  </si>
  <si>
    <t>$/gallon</t>
  </si>
  <si>
    <t>miles/gallon</t>
  </si>
  <si>
    <t>milage/year</t>
  </si>
  <si>
    <t>$/year</t>
  </si>
  <si>
    <t>$/month</t>
  </si>
  <si>
    <t>Monthly Costs</t>
  </si>
  <si>
    <t>Mortgage</t>
  </si>
  <si>
    <t>Loan Term (yrs)</t>
  </si>
  <si>
    <t>Calculated Monthly Payment</t>
  </si>
  <si>
    <t>Retirement Savings</t>
  </si>
  <si>
    <t>Years left on mortgage</t>
  </si>
  <si>
    <t>Property Tax per year</t>
  </si>
  <si>
    <t>Home Insurance per year</t>
  </si>
  <si>
    <t>Johnny</t>
  </si>
  <si>
    <t>Ellis</t>
  </si>
  <si>
    <t>approx Interest + property tax</t>
  </si>
  <si>
    <t>Charity</t>
  </si>
  <si>
    <t>Total standard deduction</t>
  </si>
  <si>
    <t>Child Standard Deduction</t>
  </si>
  <si>
    <t>Number</t>
  </si>
  <si>
    <t>Description</t>
  </si>
  <si>
    <t>Fix CA &amp; Fed deductions. Only deduct maximum of standard deduction &amp; itemized deduction</t>
  </si>
  <si>
    <t>Fixed CA tax calculator. Extra term for 4% tax bracket removed</t>
  </si>
  <si>
    <t>Added formula for # of payments on mortgage sheet</t>
  </si>
  <si>
    <t>Added Charity to monthly costs</t>
  </si>
  <si>
    <t>Fixed monthly income after housing to include property tax and insurance after mortgage is paid off</t>
  </si>
  <si>
    <t>Fixed in Rev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</si>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</sst>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&quot;$&quot;#,##0"/>
    <numFmt numFmtId="167" formatCode="0.0%"/>
    <numFmt numFmtId="168" formatCode="&quot;$&quot;#,##0;[Red]&quot;$&quot;#,##0"/>
    <numFmt numFmtId="169" formatCode="_(&quot;$&quot;* #,##0_);_(&quot;$&quot;* \(#,##0\);_(&quot;$&quot;* &quot;-&quot;??_);_(@_)"/>
    <numFmt numFmtId="170" formatCode="&quot;$&quot;#,##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San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2" borderId="0" xfId="0" applyNumberFormat="1" applyFill="1"/>
    <xf numFmtId="1" fontId="0" fillId="2" borderId="0" xfId="0" applyNumberFormat="1" applyFill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" fontId="0" fillId="2" borderId="0" xfId="0" applyNumberFormat="1" applyFill="1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69" fontId="0" fillId="0" borderId="0" xfId="3" applyNumberFormat="1" applyFont="1"/>
    <xf numFmtId="44" fontId="0" fillId="0" borderId="0" xfId="0" applyNumberFormat="1"/>
    <xf numFmtId="165" fontId="1" fillId="0" borderId="0" xfId="0" applyNumberFormat="1" applyFont="1"/>
    <xf numFmtId="170" fontId="0" fillId="0" borderId="0" xfId="0" applyNumberFormat="1"/>
    <xf numFmtId="10" fontId="0" fillId="0" borderId="0" xfId="4" applyNumberFormat="1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9" fontId="0" fillId="0" borderId="0" xfId="3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2" xfId="0" applyNumberFormat="1" applyBorder="1" applyAlignment="1">
      <alignment horizontal="left"/>
    </xf>
    <xf numFmtId="169" fontId="0" fillId="0" borderId="2" xfId="3" applyNumberFormat="1" applyFont="1" applyBorder="1" applyAlignment="1"/>
    <xf numFmtId="9" fontId="0" fillId="0" borderId="2" xfId="4" applyFont="1" applyBorder="1"/>
    <xf numFmtId="167" fontId="0" fillId="0" borderId="2" xfId="4" applyNumberFormat="1" applyFont="1" applyBorder="1"/>
    <xf numFmtId="0" fontId="0" fillId="0" borderId="0" xfId="0" applyFill="1" applyBorder="1" applyAlignment="1">
      <alignment wrapText="1"/>
    </xf>
    <xf numFmtId="44" fontId="0" fillId="0" borderId="2" xfId="3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9" fontId="0" fillId="0" borderId="0" xfId="3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69" fontId="0" fillId="2" borderId="2" xfId="3" applyNumberFormat="1" applyFont="1" applyFill="1" applyBorder="1" applyAlignment="1">
      <alignment horizontal="center"/>
    </xf>
    <xf numFmtId="9" fontId="0" fillId="2" borderId="2" xfId="4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9" fontId="0" fillId="2" borderId="5" xfId="3" applyNumberFormat="1" applyFont="1" applyFill="1" applyBorder="1" applyAlignment="1">
      <alignment horizontal="center"/>
    </xf>
    <xf numFmtId="9" fontId="0" fillId="2" borderId="5" xfId="4" applyFont="1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168" fontId="7" fillId="0" borderId="0" xfId="0" applyNumberFormat="1" applyFont="1" applyAlignment="1"/>
    <xf numFmtId="168" fontId="7" fillId="0" borderId="0" xfId="0" applyNumberFormat="1" applyFont="1" applyAlignment="1">
      <alignment vertical="top"/>
    </xf>
    <xf numFmtId="168" fontId="7" fillId="0" borderId="0" xfId="0" applyNumberFormat="1" applyFont="1"/>
    <xf numFmtId="168" fontId="7" fillId="0" borderId="0" xfId="0" applyNumberFormat="1" applyFont="1" applyBorder="1"/>
    <xf numFmtId="0" fontId="1" fillId="0" borderId="10" xfId="0" applyFont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169" fontId="0" fillId="2" borderId="9" xfId="3" applyNumberFormat="1" applyFont="1" applyFill="1" applyBorder="1"/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9" fontId="0" fillId="2" borderId="7" xfId="3" applyNumberFormat="1" applyFont="1" applyFill="1" applyBorder="1" applyAlignment="1">
      <alignment horizontal="center"/>
    </xf>
    <xf numFmtId="169" fontId="0" fillId="2" borderId="8" xfId="3" applyNumberFormat="1" applyFont="1" applyFill="1" applyBorder="1" applyAlignment="1">
      <alignment horizontal="center"/>
    </xf>
    <xf numFmtId="169" fontId="0" fillId="0" borderId="8" xfId="3" applyNumberFormat="1" applyFont="1" applyBorder="1" applyAlignment="1">
      <alignment horizontal="center"/>
    </xf>
    <xf numFmtId="169" fontId="0" fillId="2" borderId="9" xfId="3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0" fillId="2" borderId="5" xfId="0" applyNumberFormat="1" applyFill="1" applyBorder="1"/>
    <xf numFmtId="0" fontId="1" fillId="0" borderId="6" xfId="0" applyFont="1" applyBorder="1"/>
    <xf numFmtId="10" fontId="0" fillId="2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0" fontId="1" fillId="0" borderId="7" xfId="0" applyFont="1" applyBorder="1" applyAlignment="1">
      <alignment wrapText="1"/>
    </xf>
    <xf numFmtId="0" fontId="0" fillId="2" borderId="9" xfId="0" applyFill="1" applyBorder="1"/>
    <xf numFmtId="0" fontId="1" fillId="0" borderId="6" xfId="0" applyFont="1" applyBorder="1" applyAlignment="1">
      <alignment horizontal="center"/>
    </xf>
    <xf numFmtId="44" fontId="0" fillId="2" borderId="5" xfId="3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44" fontId="0" fillId="2" borderId="9" xfId="3" applyFont="1" applyFill="1" applyBorder="1" applyAlignment="1">
      <alignment horizontal="center"/>
    </xf>
    <xf numFmtId="169" fontId="0" fillId="0" borderId="2" xfId="3" applyNumberFormat="1" applyFont="1" applyFill="1" applyBorder="1" applyAlignment="1">
      <alignment horizontal="center" wrapText="1"/>
    </xf>
    <xf numFmtId="0" fontId="0" fillId="0" borderId="6" xfId="0" applyBorder="1" applyAlignment="1">
      <alignment wrapText="1"/>
    </xf>
    <xf numFmtId="165" fontId="0" fillId="0" borderId="0" xfId="0" applyNumberFormat="1" applyFill="1"/>
    <xf numFmtId="10" fontId="0" fillId="0" borderId="0" xfId="4" applyNumberFormat="1" applyFont="1" applyFill="1"/>
    <xf numFmtId="1" fontId="0" fillId="0" borderId="0" xfId="0" applyNumberFormat="1" applyFill="1"/>
    <xf numFmtId="44" fontId="0" fillId="0" borderId="9" xfId="3" applyNumberFormat="1" applyFont="1" applyFill="1" applyBorder="1"/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169" fontId="0" fillId="0" borderId="11" xfId="3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wrapText="1"/>
    </xf>
  </cellXfs>
  <cellStyles count="5">
    <cellStyle name="Currency" xfId="3" builtinId="4"/>
    <cellStyle name="Normal" xfId="0" builtinId="0"/>
    <cellStyle name="Normal 2" xfId="2"/>
    <cellStyle name="Percent" xfId="4" builtinId="5"/>
    <cellStyle name="TableStyleLight1" xfId="1"/>
  </cellStyles>
  <dxfs count="6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numFmt numFmtId="0" formatCode="General"/>
    </dxf>
    <dxf>
      <numFmt numFmtId="168" formatCode="&quot;$&quot;#,##0;[Red]&quot;$&quot;#,##0"/>
      <alignment horizontal="general" vertical="top" textRotation="0" wrapText="0" relativeIndent="0" justifyLastLine="0" shrinkToFit="0" readingOrder="0"/>
    </dxf>
    <dxf>
      <numFmt numFmtId="168" formatCode="&quot;$&quot;#,##0;[Red]&quot;$&quot;#,##0"/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7" formatCode="0.0%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W31" headerRowCount="0" totalsRowShown="0" headerRowDxfId="67" tableBorderDxfId="66">
  <tableColumns count="23">
    <tableColumn id="1" name="Column1" headerRowDxfId="65"/>
    <tableColumn id="2" name="Column2" headerRowDxfId="64" dataDxfId="63">
      <calculatedColumnFormula>IF('Data Input'!$C$15+'Data Input'!$C$2&gt;Table1[[#This Row],[Column1]],('Data Input'!$C$9)*(1+'Data Input'!$C$14)^(Table1[[#This Row],[Column1]]-'Data Input'!$C$2),0)</calculatedColumnFormula>
    </tableColumn>
    <tableColumn id="3" name="Column3" headerRowDxfId="62" dataDxfId="61">
      <calculatedColumnFormula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calculatedColumnFormula>
    </tableColumn>
    <tableColumn id="4" name="Column4" headerRowDxfId="60" dataDxfId="59">
      <calculatedColumnFormula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calculatedColumnFormula>
    </tableColumn>
    <tableColumn id="5" name="Column5" headerRowDxfId="58" dataDxfId="57">
      <calculatedColumnFormula>IF('Data Input'!$F$15+'Data Input'!$C$2&gt;Table1[[#This Row],[Column1]],('Data Input'!$F$9)*(1+'Data Input'!$F$14)^(Table1[[#This Row],[Column1]]-'Data Input'!$C$2),0)</calculatedColumnFormula>
    </tableColumn>
    <tableColumn id="6" name="Column6" headerRowDxfId="56" dataDxfId="55">
      <calculatedColumnFormula>Table1[[#This Row],[Column2]]+Table1[[#This Row],[Column4]]+Table1[[#This Row],[Column5]]-Table1[[#This Row],[Column3]]-Table1[[#This Row],[Column23]]</calculatedColumnFormula>
    </tableColumn>
    <tableColumn id="7" name="Column7" headerRowDxfId="54" dataDxfId="53">
      <calculatedColumnFormula>Table1[[#This Row],[Column2]]+Table1[[#This Row],[Column4]]+Table1[[#This Row],[Column5]]-Table1[[#This Row],[Column3]]-Table1[[#This Row],[Column8]]</calculatedColumnFormula>
    </tableColumn>
    <tableColumn id="24" name="Column23" headerRowDxfId="52" dataDxfId="51">
      <calculatedColumnFormula>MAX('Tax Information'!$C$15+'Data Input'!C24*'Tax Information'!$C$5,'Mortgage Sheet'!C6+Spending!N3)+'Tax Information'!$C$13*('Data Input'!C24+2)</calculatedColumnFormula>
    </tableColumn>
    <tableColumn id="8" name="Column8" headerRowDxfId="50" dataDxfId="49">
      <calculatedColumnFormula>MAX('Tax Information'!$C$6+'Data Input'!C24*'Tax Information'!$C$5,'Mortgage Sheet'!C6+Table1[[#This Row],[Column9]]+Spending!N3)+'Tax Information'!$C$4*('Data Input'!C24+2)</calculatedColumnFormula>
    </tableColumn>
    <tableColumn id="9" name="Column9" headerRowDxfId="48" dataDxfId="47">
      <calculatedColumnFormula>'Tax Information'!E25</calculatedColumnFormula>
    </tableColumn>
    <tableColumn id="10" name="Column10" headerRowDxfId="46" dataDxfId="45">
      <calculatedColumnFormula>'Tax Information'!C25</calculatedColumnFormula>
    </tableColumn>
    <tableColumn id="11" name="Column11" headerRowDxfId="44" dataDxfId="43">
      <calculatedColumnFormula>(0.01+0.0765)*(Table1[[#This Row],[Column2]]+Table1[[#This Row],[Column4]]+Table1[[#This Row],[Column5]])</calculatedColumnFormula>
    </tableColumn>
    <tableColumn id="12" name="Column12" headerRowDxfId="42" dataDxfId="41">
      <calculatedColumnFormula>(Table1[[#This Row],[Column2]]+Table1[[#This Row],[Column4]]+Table1[[#This Row],[Column5]])</calculatedColumnFormula>
    </tableColumn>
    <tableColumn id="13" name="Column13" headerRowDxfId="40" dataDxfId="39">
      <calculatedColumnFormula>(Table1[[#This Row],[Column2]]+Table1[[#This Row],[Column4]]+Table1[[#This Row],[Column5]])-(Table1[[#This Row],[Column3]]+Table1[[#This Row],[Column9]]+Table1[[#This Row],[Column10]]+Table1[[#This Row],[Column11]])</calculatedColumnFormula>
    </tableColumn>
    <tableColumn id="14" name="Column14" headerRowDxfId="38" dataDxfId="37">
      <calculatedColumnFormula>1-(Table1[[#This Row],[Column13]]/Table1[[#This Row],[Column12]])</calculatedColumnFormula>
    </tableColumn>
    <tableColumn id="15" name="Column15" headerRowDxfId="36" dataDxfId="35">
      <calculatedColumnFormula>0.17*Table1[[#This Row],[Column2]]</calculatedColumnFormula>
    </tableColumn>
    <tableColumn id="17" name="Column16" headerRowDxfId="34" dataDxfId="33">
      <calculatedColumnFormula>Table1[[#This Row],[Column12]]/12</calculatedColumnFormula>
    </tableColumn>
    <tableColumn id="16" name="Column17" headerRowDxfId="32" dataDxfId="31">
      <calculatedColumnFormula>Table1[[#This Row],[Column13]]/12</calculatedColumnFormula>
    </tableColumn>
    <tableColumn id="19" name="Column18" headerRowDxfId="30" dataDxfId="29">
      <calculatedColumnFormula>Table1[[#This Row],[Column13]]/'Data Input'!$C$3</calculatedColumnFormula>
    </tableColumn>
    <tableColumn id="18" name="Column19" headerRowDxfId="28" dataDxfId="27">
      <calculatedColumnFormula>Table1[[#This Row],[Column17]]-IF('Data Input'!$C$2+'Data Input'!$I$10&gt;Table1[[#This Row],[Column1]],'Mortgage Sheet'!B6/12,'Mortgage Sheet'!$K$2)</calculatedColumnFormula>
    </tableColumn>
    <tableColumn id="22" name="Column20" headerRowDxfId="26" dataDxfId="25">
      <calculatedColumnFormula>Spending!R3+12*(Table1[[#This Row],[Column17]]-Table1[[#This Row],[Column19]])</calculatedColumnFormula>
    </tableColumn>
    <tableColumn id="20" name="Column21" headerRowDxfId="24" dataDxfId="23">
      <calculatedColumnFormula>Table1[[#This Row],[Column19]]-3000</calculatedColumnFormula>
    </tableColumn>
    <tableColumn id="21" name="Column22" headerRowDxfId="22" dataDxfId="2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2:S47" totalsRowShown="0" headerRowDxfId="20" dataDxfId="19">
  <autoFilter ref="A2:S47"/>
  <tableColumns count="19">
    <tableColumn id="1" name="year" dataDxfId="18"/>
    <tableColumn id="2" name="Utilities" dataDxfId="17">
      <calculatedColumnFormula>12*'Data Input'!$E$4</calculatedColumnFormula>
    </tableColumn>
    <tableColumn id="3" name="Car Insurance &amp; Reg" dataDxfId="16">
      <calculatedColumnFormula>12*'Data Input'!$F$4</calculatedColumnFormula>
    </tableColumn>
    <tableColumn id="4" name="Car Repairs &amp; Car Payment" dataDxfId="15">
      <calculatedColumnFormula>('Data Input'!F24+100)*12</calculatedColumnFormula>
    </tableColumn>
    <tableColumn id="5" name="Cell Phones" dataDxfId="14">
      <calculatedColumnFormula>12*'Data Input'!$H$4</calculatedColumnFormula>
    </tableColumn>
    <tableColumn id="6" name="Internet" dataDxfId="13">
      <calculatedColumnFormula>12*'Data Input'!$I$4</calculatedColumnFormula>
    </tableColumn>
    <tableColumn id="7" name="Petrol" dataDxfId="12">
      <calculatedColumnFormula>12*'Data Input'!$J$4</calculatedColumnFormula>
    </tableColumn>
    <tableColumn id="8" name="Groceries" dataDxfId="11">
      <calculatedColumnFormula>12*'Data Input'!$K$4</calculatedColumnFormula>
    </tableColumn>
    <tableColumn id="9" name="Meals Out" dataDxfId="10">
      <calculatedColumnFormula>12*'Data Input'!$L$4</calculatedColumnFormula>
    </tableColumn>
    <tableColumn id="10" name="House Supplies" dataDxfId="9">
      <calculatedColumnFormula>12*'Data Input'!$M$4</calculatedColumnFormula>
    </tableColumn>
    <tableColumn id="11" name="Vacation" dataDxfId="8">
      <calculatedColumnFormula>12*'Data Input'!$N$4</calculatedColumnFormula>
    </tableColumn>
    <tableColumn id="12" name="Pocket Money" dataDxfId="7">
      <calculatedColumnFormula>12*'Data Input'!$O$4</calculatedColumnFormula>
    </tableColumn>
    <tableColumn id="14" name="Clothing" dataDxfId="6">
      <calculatedColumnFormula>12*'Data Input'!$P$4</calculatedColumnFormula>
    </tableColumn>
    <tableColumn id="13" name="Charity" dataDxfId="5">
      <calculatedColumnFormula>12*'Data Input'!$Q$4</calculatedColumnFormula>
    </tableColumn>
    <tableColumn id="16" name="Entertainment" dataDxfId="4">
      <calculatedColumnFormula>12*'Data Input'!$R$4</calculatedColumnFormula>
    </tableColumn>
    <tableColumn id="17" name="Gifts" dataDxfId="3">
      <calculatedColumnFormula>12*'Data Input'!$S$4</calculatedColumnFormula>
    </tableColumn>
    <tableColumn id="18" name="Misc. Housing costs" dataDxfId="2">
      <calculatedColumnFormula>12*'Data Input'!$T$4</calculatedColumnFormula>
    </tableColumn>
    <tableColumn id="19" name="Total" dataDxfId="1">
      <calculatedColumnFormula>SUM(Table12[[#This Row],[Utilities]:[Misc. Housing costs]])</calculatedColumnFormula>
    </tableColumn>
    <tableColumn id="20" name="Monthly Total" dataDxfId="0">
      <calculatedColumnFormula>Table12[[#This Row],[Total]]/12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3"/>
  <sheetViews>
    <sheetView zoomScaleNormal="100" workbookViewId="0">
      <selection activeCell="Q5" sqref="Q5"/>
    </sheetView>
  </sheetViews>
  <sheetFormatPr defaultRowHeight="15"/>
  <cols>
    <col min="2" max="2" width="13.28515625" style="9" customWidth="1"/>
    <col min="3" max="3" width="11.140625" customWidth="1"/>
    <col min="4" max="4" width="7.7109375" style="17" customWidth="1"/>
    <col min="5" max="5" width="13.28515625" customWidth="1"/>
    <col min="6" max="6" width="13.7109375" customWidth="1"/>
    <col min="8" max="8" width="16.42578125" customWidth="1"/>
    <col min="9" max="9" width="12" bestFit="1" customWidth="1"/>
    <col min="10" max="10" width="6.85546875" customWidth="1"/>
    <col min="11" max="11" width="9.5703125" customWidth="1"/>
    <col min="12" max="12" width="7.28515625" customWidth="1"/>
    <col min="17" max="17" width="9.140625" style="17"/>
    <col min="18" max="18" width="7.7109375" customWidth="1"/>
    <col min="19" max="19" width="6.7109375" customWidth="1"/>
    <col min="20" max="20" width="7.85546875" customWidth="1"/>
  </cols>
  <sheetData>
    <row r="1" spans="2:20" s="9" customFormat="1" ht="15.75" thickBot="1">
      <c r="R1" s="34"/>
    </row>
    <row r="2" spans="2:20" s="17" customFormat="1" ht="15" customHeight="1">
      <c r="B2" s="68" t="s">
        <v>20</v>
      </c>
      <c r="C2" s="69">
        <v>2016</v>
      </c>
      <c r="E2" s="98" t="s">
        <v>125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100"/>
    </row>
    <row r="3" spans="2:20" s="17" customFormat="1" ht="60">
      <c r="B3" s="53" t="s">
        <v>113</v>
      </c>
      <c r="C3" s="60">
        <v>24</v>
      </c>
      <c r="E3" s="71" t="s">
        <v>34</v>
      </c>
      <c r="F3" s="45" t="s">
        <v>35</v>
      </c>
      <c r="G3" s="45" t="s">
        <v>52</v>
      </c>
      <c r="H3" s="45" t="s">
        <v>36</v>
      </c>
      <c r="I3" s="45" t="s">
        <v>37</v>
      </c>
      <c r="J3" s="45" t="s">
        <v>38</v>
      </c>
      <c r="K3" s="45" t="s">
        <v>39</v>
      </c>
      <c r="L3" s="45" t="s">
        <v>40</v>
      </c>
      <c r="M3" s="45" t="s">
        <v>41</v>
      </c>
      <c r="N3" s="45" t="s">
        <v>42</v>
      </c>
      <c r="O3" s="45" t="s">
        <v>43</v>
      </c>
      <c r="P3" s="45" t="s">
        <v>44</v>
      </c>
      <c r="Q3" s="45" t="s">
        <v>136</v>
      </c>
      <c r="R3" s="45" t="s">
        <v>45</v>
      </c>
      <c r="S3" s="45" t="s">
        <v>46</v>
      </c>
      <c r="T3" s="72" t="s">
        <v>47</v>
      </c>
    </row>
    <row r="4" spans="2:20" s="17" customFormat="1" ht="30.75" thickBot="1">
      <c r="B4" s="51" t="str">
        <f>CONCATENATE("Savings @ Start of ", C2)</f>
        <v>Savings @ Start of 2016</v>
      </c>
      <c r="C4" s="70">
        <v>50000</v>
      </c>
      <c r="E4" s="73">
        <v>300</v>
      </c>
      <c r="F4" s="74">
        <v>250</v>
      </c>
      <c r="G4" s="75">
        <f>12*(100+'Data Input'!F24)</f>
        <v>7800</v>
      </c>
      <c r="H4" s="74">
        <v>100</v>
      </c>
      <c r="I4" s="74">
        <v>60</v>
      </c>
      <c r="J4" s="75">
        <f>I22</f>
        <v>187.5</v>
      </c>
      <c r="K4" s="74">
        <v>400</v>
      </c>
      <c r="L4" s="74">
        <v>100</v>
      </c>
      <c r="M4" s="74">
        <v>100</v>
      </c>
      <c r="N4" s="74">
        <v>200</v>
      </c>
      <c r="O4" s="74">
        <v>200</v>
      </c>
      <c r="P4" s="74">
        <v>100</v>
      </c>
      <c r="Q4" s="74">
        <v>100</v>
      </c>
      <c r="R4" s="74">
        <v>100</v>
      </c>
      <c r="S4" s="74">
        <v>200</v>
      </c>
      <c r="T4" s="76">
        <v>100</v>
      </c>
    </row>
    <row r="5" spans="2:20" s="17" customFormat="1" ht="15.75" thickBot="1">
      <c r="B5" s="35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</row>
    <row r="6" spans="2:20" s="17" customFormat="1">
      <c r="B6" s="96" t="s">
        <v>48</v>
      </c>
      <c r="C6" s="101"/>
      <c r="D6" s="101"/>
      <c r="E6" s="101"/>
      <c r="F6" s="97"/>
      <c r="G6" s="48"/>
      <c r="H6" s="102" t="s">
        <v>126</v>
      </c>
      <c r="I6" s="103"/>
      <c r="J6" s="48"/>
      <c r="K6" s="48"/>
      <c r="L6" s="48"/>
      <c r="M6" s="48"/>
      <c r="N6" s="48"/>
      <c r="O6" s="48"/>
      <c r="P6" s="48"/>
      <c r="Q6" s="48"/>
      <c r="R6" s="48"/>
    </row>
    <row r="7" spans="2:20">
      <c r="B7" s="104" t="str">
        <f>C8</f>
        <v>Johnny</v>
      </c>
      <c r="C7" s="95"/>
      <c r="D7" s="29"/>
      <c r="E7" s="95" t="str">
        <f>F8</f>
        <v>Ellis</v>
      </c>
      <c r="F7" s="105"/>
      <c r="H7" s="77" t="s">
        <v>5</v>
      </c>
      <c r="I7" s="78">
        <v>350000</v>
      </c>
    </row>
    <row r="8" spans="2:20">
      <c r="B8" s="53" t="s">
        <v>56</v>
      </c>
      <c r="C8" s="56" t="s">
        <v>133</v>
      </c>
      <c r="D8" s="29"/>
      <c r="E8" s="46" t="str">
        <f>B8</f>
        <v>Name</v>
      </c>
      <c r="F8" s="60" t="s">
        <v>134</v>
      </c>
      <c r="H8" s="79" t="s">
        <v>6</v>
      </c>
      <c r="I8" s="80">
        <v>0.04</v>
      </c>
    </row>
    <row r="9" spans="2:20">
      <c r="B9" s="53" t="s">
        <v>48</v>
      </c>
      <c r="C9" s="57">
        <v>80000</v>
      </c>
      <c r="D9" s="29"/>
      <c r="E9" s="46" t="str">
        <f t="shared" ref="E9:E12" si="0">B9</f>
        <v>Income</v>
      </c>
      <c r="F9" s="61">
        <v>0</v>
      </c>
      <c r="H9" s="79" t="s">
        <v>127</v>
      </c>
      <c r="I9" s="81">
        <v>15</v>
      </c>
    </row>
    <row r="10" spans="2:20" ht="30">
      <c r="B10" s="53" t="s">
        <v>58</v>
      </c>
      <c r="C10" s="57">
        <v>0</v>
      </c>
      <c r="D10" s="29"/>
      <c r="E10" s="47" t="str">
        <f t="shared" si="0"/>
        <v>Savings ($)</v>
      </c>
      <c r="F10" s="61"/>
      <c r="H10" s="71" t="s">
        <v>130</v>
      </c>
      <c r="I10" s="82">
        <v>15</v>
      </c>
    </row>
    <row r="11" spans="2:20" s="17" customFormat="1" ht="30">
      <c r="B11" s="53" t="s">
        <v>59</v>
      </c>
      <c r="C11" s="58">
        <v>0</v>
      </c>
      <c r="D11" s="29"/>
      <c r="E11" s="47" t="str">
        <f t="shared" si="0"/>
        <v>Savings (% of income)</v>
      </c>
      <c r="F11" s="62"/>
      <c r="H11" s="90" t="s">
        <v>131</v>
      </c>
      <c r="I11" s="78">
        <v>6000</v>
      </c>
    </row>
    <row r="12" spans="2:20" ht="30">
      <c r="B12" s="53" t="s">
        <v>60</v>
      </c>
      <c r="C12" s="57">
        <v>3000</v>
      </c>
      <c r="D12" s="29"/>
      <c r="E12" s="46" t="str">
        <f t="shared" si="0"/>
        <v>Bonuses ($)</v>
      </c>
      <c r="F12" s="61"/>
      <c r="H12" s="90" t="s">
        <v>132</v>
      </c>
      <c r="I12" s="78">
        <v>1200</v>
      </c>
    </row>
    <row r="13" spans="2:20" s="17" customFormat="1" ht="45.75" thickBot="1">
      <c r="B13" s="53" t="s">
        <v>61</v>
      </c>
      <c r="C13" s="58"/>
      <c r="D13" s="29"/>
      <c r="E13" s="47" t="str">
        <f>B13</f>
        <v>Bonuses (% of income)</v>
      </c>
      <c r="F13" s="62"/>
      <c r="H13" s="83" t="s">
        <v>128</v>
      </c>
      <c r="I13" s="94">
        <f>'Mortgage Sheet'!K3</f>
        <v>3188.9077396323951</v>
      </c>
    </row>
    <row r="14" spans="2:20" s="9" customFormat="1" ht="30" customHeight="1">
      <c r="B14" s="53" t="s">
        <v>57</v>
      </c>
      <c r="C14" s="58">
        <v>0.04</v>
      </c>
      <c r="D14" s="32"/>
      <c r="E14" s="47" t="str">
        <f>B14</f>
        <v>Yearly Raise (%)</v>
      </c>
      <c r="F14" s="62">
        <v>0.04</v>
      </c>
    </row>
    <row r="15" spans="2:20" ht="30.75" thickBot="1">
      <c r="B15" s="54" t="str">
        <f>CONCATENATE("Years ",C8, " will work")</f>
        <v>Years Johnny will work</v>
      </c>
      <c r="C15" s="59">
        <v>30</v>
      </c>
      <c r="D15" s="52"/>
      <c r="E15" s="55" t="str">
        <f>CONCATENATE("Years ",F8, " will work")</f>
        <v>Years Ellis will work</v>
      </c>
      <c r="F15" s="63">
        <v>3</v>
      </c>
    </row>
    <row r="16" spans="2:20" ht="15.75" thickBot="1"/>
    <row r="17" spans="2:9">
      <c r="B17" s="96" t="s">
        <v>62</v>
      </c>
      <c r="C17" s="97"/>
      <c r="E17" s="96" t="s">
        <v>114</v>
      </c>
      <c r="F17" s="97"/>
      <c r="H17" s="96" t="s">
        <v>50</v>
      </c>
      <c r="I17" s="97"/>
    </row>
    <row r="18" spans="2:9" ht="30">
      <c r="B18" s="53" t="s">
        <v>64</v>
      </c>
      <c r="C18" s="60">
        <v>0</v>
      </c>
      <c r="E18" s="71" t="s">
        <v>115</v>
      </c>
      <c r="F18" s="61">
        <v>300</v>
      </c>
      <c r="H18" s="85" t="s">
        <v>122</v>
      </c>
      <c r="I18" s="60">
        <v>15000</v>
      </c>
    </row>
    <row r="19" spans="2:9" ht="45">
      <c r="B19" s="53" t="s">
        <v>63</v>
      </c>
      <c r="C19" s="60">
        <v>0</v>
      </c>
      <c r="E19" s="71" t="s">
        <v>116</v>
      </c>
      <c r="F19" s="82">
        <v>2020</v>
      </c>
      <c r="H19" s="85" t="s">
        <v>120</v>
      </c>
      <c r="I19" s="86">
        <v>3</v>
      </c>
    </row>
    <row r="20" spans="2:9" ht="30">
      <c r="B20" s="53" t="s">
        <v>65</v>
      </c>
      <c r="C20" s="60"/>
      <c r="E20" s="71" t="s">
        <v>117</v>
      </c>
      <c r="F20" s="82">
        <v>250</v>
      </c>
      <c r="H20" s="85" t="s">
        <v>121</v>
      </c>
      <c r="I20" s="60">
        <v>20</v>
      </c>
    </row>
    <row r="21" spans="2:9" ht="45.75" thickBot="1">
      <c r="B21" s="54" t="s">
        <v>66</v>
      </c>
      <c r="C21" s="63"/>
      <c r="E21" s="83" t="s">
        <v>118</v>
      </c>
      <c r="F21" s="84">
        <v>2022</v>
      </c>
      <c r="H21" s="85" t="s">
        <v>123</v>
      </c>
      <c r="I21" s="86">
        <f>I19*(I18/I20)</f>
        <v>2250</v>
      </c>
    </row>
    <row r="22" spans="2:9" ht="15.75" thickBot="1">
      <c r="H22" s="87" t="s">
        <v>124</v>
      </c>
      <c r="I22" s="88">
        <f>I21/12</f>
        <v>187.5</v>
      </c>
    </row>
    <row r="23" spans="2:9">
      <c r="B23" s="95" t="s">
        <v>70</v>
      </c>
      <c r="C23" s="95"/>
      <c r="E23" s="95" t="s">
        <v>119</v>
      </c>
      <c r="F23" s="95"/>
    </row>
    <row r="24" spans="2:9">
      <c r="B24" s="32">
        <f>C2</f>
        <v>2016</v>
      </c>
      <c r="C24" s="29">
        <f>IF(AND(B24&gt;=$C$18,$C$18&gt;0),1,0)+IF(AND(B24&gt;=$C$19,$C$19&gt;0),1,0)+IF(AND(B24&gt;=$C$20,$C$20&gt;0),1,0)++IF(AND(B24&gt;=$C$21,$C$21&gt;0),1,0)</f>
        <v>0</v>
      </c>
      <c r="E24" s="29">
        <f>B24</f>
        <v>2016</v>
      </c>
      <c r="F24" s="30">
        <f>IF(AND(E24&lt;=$F$19,$F$19&gt;0),$F$18,0)+IF(AND(E24&lt;=$F$21,$F$21&gt;0),$F$20,0)</f>
        <v>550</v>
      </c>
    </row>
    <row r="25" spans="2:9">
      <c r="B25" s="32">
        <f>B24+1</f>
        <v>2017</v>
      </c>
      <c r="C25" s="29">
        <f t="shared" ref="C25:C53" si="1">IF(AND(B25&gt;=$C$18,$C$18&gt;0),1,0)+IF(AND(B25&gt;=$C$19,$C$19&gt;0),1,0)+IF(AND(B25&gt;=$C$20,$C$20&gt;0),1,0)++IF(AND(B25&gt;=$C$21,$C$21&gt;0),1,0)</f>
        <v>0</v>
      </c>
      <c r="E25" s="29">
        <f t="shared" ref="E25:E53" si="2">B25</f>
        <v>2017</v>
      </c>
      <c r="F25" s="30">
        <f t="shared" ref="F25:F53" si="3">IF(AND(E25&lt;=$F$19,$F$19&gt;0),$F$18,0)+IF(AND(E25&lt;=$F$21,$F$21&gt;0),$F$20,0)</f>
        <v>550</v>
      </c>
    </row>
    <row r="26" spans="2:9">
      <c r="B26" s="32">
        <f t="shared" ref="B26:B53" si="4">B25+1</f>
        <v>2018</v>
      </c>
      <c r="C26" s="29">
        <f t="shared" si="1"/>
        <v>0</v>
      </c>
      <c r="E26" s="29">
        <f t="shared" si="2"/>
        <v>2018</v>
      </c>
      <c r="F26" s="30">
        <f t="shared" si="3"/>
        <v>550</v>
      </c>
    </row>
    <row r="27" spans="2:9">
      <c r="B27" s="32">
        <f t="shared" si="4"/>
        <v>2019</v>
      </c>
      <c r="C27" s="29">
        <f t="shared" si="1"/>
        <v>0</v>
      </c>
      <c r="E27" s="29">
        <f t="shared" si="2"/>
        <v>2019</v>
      </c>
      <c r="F27" s="30">
        <f t="shared" si="3"/>
        <v>550</v>
      </c>
    </row>
    <row r="28" spans="2:9">
      <c r="B28" s="32">
        <f t="shared" si="4"/>
        <v>2020</v>
      </c>
      <c r="C28" s="29">
        <f t="shared" si="1"/>
        <v>0</v>
      </c>
      <c r="E28" s="29">
        <f t="shared" si="2"/>
        <v>2020</v>
      </c>
      <c r="F28" s="30">
        <f t="shared" si="3"/>
        <v>550</v>
      </c>
    </row>
    <row r="29" spans="2:9">
      <c r="B29" s="32">
        <f t="shared" si="4"/>
        <v>2021</v>
      </c>
      <c r="C29" s="29">
        <f t="shared" si="1"/>
        <v>0</v>
      </c>
      <c r="E29" s="29">
        <f t="shared" si="2"/>
        <v>2021</v>
      </c>
      <c r="F29" s="30">
        <f t="shared" si="3"/>
        <v>250</v>
      </c>
    </row>
    <row r="30" spans="2:9">
      <c r="B30" s="32">
        <f t="shared" si="4"/>
        <v>2022</v>
      </c>
      <c r="C30" s="29">
        <f t="shared" si="1"/>
        <v>0</v>
      </c>
      <c r="E30" s="29">
        <f t="shared" si="2"/>
        <v>2022</v>
      </c>
      <c r="F30" s="30">
        <f t="shared" si="3"/>
        <v>250</v>
      </c>
    </row>
    <row r="31" spans="2:9">
      <c r="B31" s="32">
        <f t="shared" si="4"/>
        <v>2023</v>
      </c>
      <c r="C31" s="29">
        <f t="shared" si="1"/>
        <v>0</v>
      </c>
      <c r="E31" s="29">
        <f t="shared" si="2"/>
        <v>2023</v>
      </c>
      <c r="F31" s="30">
        <f t="shared" si="3"/>
        <v>0</v>
      </c>
    </row>
    <row r="32" spans="2:9">
      <c r="B32" s="32">
        <f t="shared" si="4"/>
        <v>2024</v>
      </c>
      <c r="C32" s="29">
        <f t="shared" si="1"/>
        <v>0</v>
      </c>
      <c r="E32" s="29">
        <f t="shared" si="2"/>
        <v>2024</v>
      </c>
      <c r="F32" s="30">
        <f t="shared" si="3"/>
        <v>0</v>
      </c>
    </row>
    <row r="33" spans="2:6">
      <c r="B33" s="32">
        <f t="shared" si="4"/>
        <v>2025</v>
      </c>
      <c r="C33" s="29">
        <f t="shared" si="1"/>
        <v>0</v>
      </c>
      <c r="E33" s="29">
        <f t="shared" si="2"/>
        <v>2025</v>
      </c>
      <c r="F33" s="30">
        <f t="shared" si="3"/>
        <v>0</v>
      </c>
    </row>
    <row r="34" spans="2:6">
      <c r="B34" s="32">
        <f t="shared" si="4"/>
        <v>2026</v>
      </c>
      <c r="C34" s="29">
        <f t="shared" si="1"/>
        <v>0</v>
      </c>
      <c r="E34" s="29">
        <f t="shared" si="2"/>
        <v>2026</v>
      </c>
      <c r="F34" s="30">
        <f t="shared" si="3"/>
        <v>0</v>
      </c>
    </row>
    <row r="35" spans="2:6">
      <c r="B35" s="32">
        <f t="shared" si="4"/>
        <v>2027</v>
      </c>
      <c r="C35" s="29">
        <f t="shared" si="1"/>
        <v>0</v>
      </c>
      <c r="E35" s="29">
        <f t="shared" si="2"/>
        <v>2027</v>
      </c>
      <c r="F35" s="30">
        <f t="shared" si="3"/>
        <v>0</v>
      </c>
    </row>
    <row r="36" spans="2:6">
      <c r="B36" s="32">
        <f t="shared" si="4"/>
        <v>2028</v>
      </c>
      <c r="C36" s="29">
        <f t="shared" si="1"/>
        <v>0</v>
      </c>
      <c r="E36" s="29">
        <f t="shared" si="2"/>
        <v>2028</v>
      </c>
      <c r="F36" s="30">
        <f t="shared" si="3"/>
        <v>0</v>
      </c>
    </row>
    <row r="37" spans="2:6">
      <c r="B37" s="32">
        <f t="shared" si="4"/>
        <v>2029</v>
      </c>
      <c r="C37" s="29">
        <f t="shared" si="1"/>
        <v>0</v>
      </c>
      <c r="E37" s="29">
        <f t="shared" si="2"/>
        <v>2029</v>
      </c>
      <c r="F37" s="30">
        <f t="shared" si="3"/>
        <v>0</v>
      </c>
    </row>
    <row r="38" spans="2:6">
      <c r="B38" s="32">
        <f t="shared" si="4"/>
        <v>2030</v>
      </c>
      <c r="C38" s="29">
        <f t="shared" si="1"/>
        <v>0</v>
      </c>
      <c r="E38" s="29">
        <f t="shared" si="2"/>
        <v>2030</v>
      </c>
      <c r="F38" s="30">
        <f t="shared" si="3"/>
        <v>0</v>
      </c>
    </row>
    <row r="39" spans="2:6">
      <c r="B39" s="32">
        <f t="shared" si="4"/>
        <v>2031</v>
      </c>
      <c r="C39" s="29">
        <f t="shared" si="1"/>
        <v>0</v>
      </c>
      <c r="E39" s="29">
        <f t="shared" si="2"/>
        <v>2031</v>
      </c>
      <c r="F39" s="30">
        <f t="shared" si="3"/>
        <v>0</v>
      </c>
    </row>
    <row r="40" spans="2:6">
      <c r="B40" s="32">
        <f t="shared" si="4"/>
        <v>2032</v>
      </c>
      <c r="C40" s="29">
        <f t="shared" si="1"/>
        <v>0</v>
      </c>
      <c r="E40" s="29">
        <f t="shared" si="2"/>
        <v>2032</v>
      </c>
      <c r="F40" s="30">
        <f t="shared" si="3"/>
        <v>0</v>
      </c>
    </row>
    <row r="41" spans="2:6">
      <c r="B41" s="32">
        <f t="shared" si="4"/>
        <v>2033</v>
      </c>
      <c r="C41" s="29">
        <f t="shared" si="1"/>
        <v>0</v>
      </c>
      <c r="E41" s="29">
        <f t="shared" si="2"/>
        <v>2033</v>
      </c>
      <c r="F41" s="30">
        <f t="shared" si="3"/>
        <v>0</v>
      </c>
    </row>
    <row r="42" spans="2:6">
      <c r="B42" s="32">
        <f t="shared" si="4"/>
        <v>2034</v>
      </c>
      <c r="C42" s="29">
        <f t="shared" si="1"/>
        <v>0</v>
      </c>
      <c r="E42" s="29">
        <f t="shared" si="2"/>
        <v>2034</v>
      </c>
      <c r="F42" s="30">
        <f t="shared" si="3"/>
        <v>0</v>
      </c>
    </row>
    <row r="43" spans="2:6">
      <c r="B43" s="32">
        <f t="shared" si="4"/>
        <v>2035</v>
      </c>
      <c r="C43" s="29">
        <f t="shared" si="1"/>
        <v>0</v>
      </c>
      <c r="E43" s="29">
        <f t="shared" si="2"/>
        <v>2035</v>
      </c>
      <c r="F43" s="30">
        <f t="shared" si="3"/>
        <v>0</v>
      </c>
    </row>
    <row r="44" spans="2:6">
      <c r="B44" s="32">
        <f t="shared" si="4"/>
        <v>2036</v>
      </c>
      <c r="C44" s="29">
        <f t="shared" si="1"/>
        <v>0</v>
      </c>
      <c r="E44" s="29">
        <f t="shared" si="2"/>
        <v>2036</v>
      </c>
      <c r="F44" s="30">
        <f t="shared" si="3"/>
        <v>0</v>
      </c>
    </row>
    <row r="45" spans="2:6">
      <c r="B45" s="32">
        <f t="shared" si="4"/>
        <v>2037</v>
      </c>
      <c r="C45" s="29">
        <f t="shared" si="1"/>
        <v>0</v>
      </c>
      <c r="E45" s="29">
        <f t="shared" si="2"/>
        <v>2037</v>
      </c>
      <c r="F45" s="30">
        <f t="shared" si="3"/>
        <v>0</v>
      </c>
    </row>
    <row r="46" spans="2:6">
      <c r="B46" s="32">
        <f t="shared" si="4"/>
        <v>2038</v>
      </c>
      <c r="C46" s="29">
        <f t="shared" si="1"/>
        <v>0</v>
      </c>
      <c r="E46" s="29">
        <f t="shared" si="2"/>
        <v>2038</v>
      </c>
      <c r="F46" s="30">
        <f t="shared" si="3"/>
        <v>0</v>
      </c>
    </row>
    <row r="47" spans="2:6">
      <c r="B47" s="32">
        <f t="shared" si="4"/>
        <v>2039</v>
      </c>
      <c r="C47" s="29">
        <f t="shared" si="1"/>
        <v>0</v>
      </c>
      <c r="E47" s="29">
        <f t="shared" si="2"/>
        <v>2039</v>
      </c>
      <c r="F47" s="30">
        <f t="shared" si="3"/>
        <v>0</v>
      </c>
    </row>
    <row r="48" spans="2:6">
      <c r="B48" s="32">
        <f t="shared" si="4"/>
        <v>2040</v>
      </c>
      <c r="C48" s="29">
        <f t="shared" si="1"/>
        <v>0</v>
      </c>
      <c r="E48" s="29">
        <f t="shared" si="2"/>
        <v>2040</v>
      </c>
      <c r="F48" s="30">
        <f t="shared" si="3"/>
        <v>0</v>
      </c>
    </row>
    <row r="49" spans="2:6">
      <c r="B49" s="32">
        <f t="shared" si="4"/>
        <v>2041</v>
      </c>
      <c r="C49" s="29">
        <f t="shared" si="1"/>
        <v>0</v>
      </c>
      <c r="E49" s="29">
        <f t="shared" si="2"/>
        <v>2041</v>
      </c>
      <c r="F49" s="30">
        <f t="shared" si="3"/>
        <v>0</v>
      </c>
    </row>
    <row r="50" spans="2:6">
      <c r="B50" s="32">
        <f t="shared" si="4"/>
        <v>2042</v>
      </c>
      <c r="C50" s="29">
        <f t="shared" si="1"/>
        <v>0</v>
      </c>
      <c r="E50" s="29">
        <f t="shared" si="2"/>
        <v>2042</v>
      </c>
      <c r="F50" s="30">
        <f t="shared" si="3"/>
        <v>0</v>
      </c>
    </row>
    <row r="51" spans="2:6">
      <c r="B51" s="32">
        <f t="shared" si="4"/>
        <v>2043</v>
      </c>
      <c r="C51" s="29">
        <f t="shared" si="1"/>
        <v>0</v>
      </c>
      <c r="E51" s="29">
        <f t="shared" si="2"/>
        <v>2043</v>
      </c>
      <c r="F51" s="30">
        <f t="shared" si="3"/>
        <v>0</v>
      </c>
    </row>
    <row r="52" spans="2:6">
      <c r="B52" s="32">
        <f t="shared" si="4"/>
        <v>2044</v>
      </c>
      <c r="C52" s="29">
        <f t="shared" si="1"/>
        <v>0</v>
      </c>
      <c r="E52" s="29">
        <f t="shared" si="2"/>
        <v>2044</v>
      </c>
      <c r="F52" s="30">
        <f t="shared" si="3"/>
        <v>0</v>
      </c>
    </row>
    <row r="53" spans="2:6">
      <c r="B53" s="32">
        <f t="shared" si="4"/>
        <v>2045</v>
      </c>
      <c r="C53" s="29">
        <f t="shared" si="1"/>
        <v>0</v>
      </c>
      <c r="E53" s="29">
        <f t="shared" si="2"/>
        <v>2045</v>
      </c>
      <c r="F53" s="30">
        <f t="shared" si="3"/>
        <v>0</v>
      </c>
    </row>
  </sheetData>
  <mergeCells count="10">
    <mergeCell ref="B23:C23"/>
    <mergeCell ref="E17:F17"/>
    <mergeCell ref="E23:F23"/>
    <mergeCell ref="E2:T2"/>
    <mergeCell ref="B6:F6"/>
    <mergeCell ref="H6:I6"/>
    <mergeCell ref="H17:I17"/>
    <mergeCell ref="B7:C7"/>
    <mergeCell ref="E7:F7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7"/>
  <sheetViews>
    <sheetView tabSelected="1" zoomScaleNormal="100" workbookViewId="0">
      <selection activeCell="I7" sqref="I7"/>
    </sheetView>
  </sheetViews>
  <sheetFormatPr defaultRowHeight="15"/>
  <cols>
    <col min="1" max="1" width="7.140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0" bestFit="1" customWidth="1"/>
    <col min="6" max="7" width="10.7109375" bestFit="1" customWidth="1"/>
    <col min="8" max="8" width="11" style="17" customWidth="1"/>
    <col min="9" max="9" width="10.85546875" customWidth="1"/>
    <col min="10" max="10" width="10.42578125" customWidth="1"/>
    <col min="11" max="11" width="10.7109375" customWidth="1"/>
    <col min="12" max="12" width="12.5703125" bestFit="1" customWidth="1"/>
    <col min="13" max="13" width="10.5703125" bestFit="1" customWidth="1"/>
    <col min="14" max="14" width="12.140625" customWidth="1"/>
    <col min="15" max="15" width="11.7109375" bestFit="1" customWidth="1"/>
    <col min="16" max="16" width="10.7109375" bestFit="1" customWidth="1"/>
    <col min="17" max="18" width="10.5703125" bestFit="1" customWidth="1"/>
    <col min="19" max="19" width="13" bestFit="1" customWidth="1"/>
    <col min="20" max="20" width="11" bestFit="1" customWidth="1"/>
    <col min="21" max="21" width="12.5703125" style="17" bestFit="1" customWidth="1"/>
    <col min="22" max="22" width="10.7109375" bestFit="1" customWidth="1"/>
    <col min="23" max="23" width="14.85546875" bestFit="1" customWidth="1"/>
    <col min="24" max="25" width="10.140625" bestFit="1" customWidth="1"/>
    <col min="26" max="26" width="8.140625" bestFit="1" customWidth="1"/>
    <col min="27" max="27" width="9.7109375" style="23" bestFit="1" customWidth="1"/>
    <col min="28" max="28" width="10.28515625" bestFit="1" customWidth="1"/>
  </cols>
  <sheetData>
    <row r="1" spans="1:28" s="9" customFormat="1" ht="60.75" thickBot="1">
      <c r="A1" s="28" t="str">
        <f>'Data Input'!B2</f>
        <v>Year</v>
      </c>
      <c r="B1" s="28" t="str">
        <f>CONCATENATE('Data Input'!C8, " ", 'Data Input'!B9)</f>
        <v>Johnny Income</v>
      </c>
      <c r="C1" s="28" t="s">
        <v>49</v>
      </c>
      <c r="D1" s="28" t="s">
        <v>19</v>
      </c>
      <c r="E1" s="28" t="str">
        <f>CONCATENATE('Data Input'!F8, " ", 'Data Input'!B9)</f>
        <v>Ellis Income</v>
      </c>
      <c r="F1" s="28" t="s">
        <v>12</v>
      </c>
      <c r="G1" s="28" t="s">
        <v>13</v>
      </c>
      <c r="H1" s="28" t="s">
        <v>95</v>
      </c>
      <c r="I1" s="28" t="s">
        <v>94</v>
      </c>
      <c r="J1" s="28" t="s">
        <v>14</v>
      </c>
      <c r="K1" s="28" t="s">
        <v>15</v>
      </c>
      <c r="L1" s="28" t="s">
        <v>55</v>
      </c>
      <c r="M1" s="28" t="s">
        <v>16</v>
      </c>
      <c r="N1" s="28" t="s">
        <v>17</v>
      </c>
      <c r="O1" s="28" t="s">
        <v>18</v>
      </c>
      <c r="P1" s="28" t="s">
        <v>129</v>
      </c>
      <c r="Q1" s="28" t="s">
        <v>22</v>
      </c>
      <c r="R1" s="28" t="s">
        <v>23</v>
      </c>
      <c r="S1" s="28" t="s">
        <v>25</v>
      </c>
      <c r="T1" s="28" t="s">
        <v>24</v>
      </c>
      <c r="U1" s="28" t="s">
        <v>53</v>
      </c>
      <c r="V1" s="28" t="s">
        <v>26</v>
      </c>
      <c r="W1" s="28" t="s">
        <v>27</v>
      </c>
      <c r="AA1" s="33"/>
    </row>
    <row r="2" spans="1:28">
      <c r="A2" s="9">
        <f>'Data Input'!C2</f>
        <v>2016</v>
      </c>
      <c r="B2" s="12">
        <f>IF('Data Input'!$C$15+'Data Input'!$C$2&gt;Table1[[#This Row],[Column1]],('Data Input'!$C$9)*(1+'Data Input'!$C$14)^(Table1[[#This Row],[Column1]]-'Data Input'!$C$2),0)</f>
        <v>80000</v>
      </c>
      <c r="C2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" s="12">
        <f>IF('Data Input'!$F$15+'Data Input'!$C$2&gt;Table1[[#This Row],[Column1]],('Data Input'!$F$9)*(1+'Data Input'!$F$14)^(Table1[[#This Row],[Column1]]-'Data Input'!$C$2),0)</f>
        <v>0</v>
      </c>
      <c r="F2" s="12">
        <f>Table1[[#This Row],[Column2]]+Table1[[#This Row],[Column4]]+Table1[[#This Row],[Column5]]-Table1[[#This Row],[Column3]]-Table1[[#This Row],[Column23]]</f>
        <v>61638.889642918628</v>
      </c>
      <c r="G2" s="12">
        <f>Table1[[#This Row],[Column2]]+Table1[[#This Row],[Column4]]+Table1[[#This Row],[Column5]]-Table1[[#This Row],[Column3]]-Table1[[#This Row],[Column8]]</f>
        <v>52134.83626434351</v>
      </c>
      <c r="H2" s="12">
        <f>MAX('Tax Information'!$C$15+'Data Input'!C24*'Tax Information'!$C$5,'Mortgage Sheet'!C6+Spending!N3)+'Tax Information'!$C$13*('Data Input'!C24+2)</f>
        <v>21361.110357081372</v>
      </c>
      <c r="I2" s="12">
        <f>MAX('Tax Information'!$C$6+'Data Input'!C24*'Tax Information'!$C$5,'Mortgage Sheet'!C6+Table1[[#This Row],[Column9]]+Spending!N3)+'Tax Information'!$C$4*('Data Input'!C24+2)</f>
        <v>30865.16373565649</v>
      </c>
      <c r="J2" s="12">
        <f>'Tax Information'!E25</f>
        <v>1622.0533785751177</v>
      </c>
      <c r="K2" s="12">
        <f>'Tax Information'!C25</f>
        <v>6892.5754396515267</v>
      </c>
      <c r="L2" s="12">
        <f>(0.01+0.0765)*(Table1[[#This Row],[Column2]]+Table1[[#This Row],[Column4]]+Table1[[#This Row],[Column5]])</f>
        <v>7179.4999999999991</v>
      </c>
      <c r="M2" s="12">
        <f>(Table1[[#This Row],[Column2]]+Table1[[#This Row],[Column4]]+Table1[[#This Row],[Column5]])</f>
        <v>83000</v>
      </c>
      <c r="N2" s="12">
        <f>(Table1[[#This Row],[Column2]]+Table1[[#This Row],[Column4]]+Table1[[#This Row],[Column5]])-(Table1[[#This Row],[Column3]]+Table1[[#This Row],[Column9]]+Table1[[#This Row],[Column10]]+Table1[[#This Row],[Column11]])</f>
        <v>67305.871181773357</v>
      </c>
      <c r="O2" s="13">
        <f>1-(Table1[[#This Row],[Column13]]/Table1[[#This Row],[Column12]])</f>
        <v>0.18908588937622461</v>
      </c>
      <c r="P2" s="12">
        <f>Table1[[#This Row],[Column3]]</f>
        <v>0</v>
      </c>
      <c r="Q2" s="12">
        <f>Table1[[#This Row],[Column12]]/12</f>
        <v>6916.666666666667</v>
      </c>
      <c r="R2" s="12">
        <f>Table1[[#This Row],[Column13]]/12</f>
        <v>5608.8225984811133</v>
      </c>
      <c r="S2" s="20">
        <f>Table1[[#This Row],[Column13]]/'Data Input'!$C$3</f>
        <v>2804.4112992405567</v>
      </c>
      <c r="T2" s="12">
        <f>Table1[[#This Row],[Column17]]-IF('Data Input'!$C$2+'Data Input'!$I$10&gt;Table1[[#This Row],[Column1]],'Mortgage Sheet'!B6/12,'Mortgage Sheet'!$K$2)</f>
        <v>2419.9148588487178</v>
      </c>
      <c r="U2" s="20">
        <f>Spending!R3+12*(Table1[[#This Row],[Column17]]-Table1[[#This Row],[Column19]])</f>
        <v>76036.892875588746</v>
      </c>
      <c r="V2" s="15">
        <f>Table1[[#This Row],[Column19]]-Spending!S3</f>
        <v>-727.58514115128219</v>
      </c>
      <c r="W2" s="12">
        <f>'Data Input'!C4+12*Table1[[#This Row],[Column21]]</f>
        <v>41268.97830618461</v>
      </c>
      <c r="AB2" s="20"/>
    </row>
    <row r="3" spans="1:28">
      <c r="A3">
        <f>A2+1</f>
        <v>2017</v>
      </c>
      <c r="B3" s="12">
        <f>IF('Data Input'!$C$15+'Data Input'!$C$2&gt;Table1[[#This Row],[Column1]],('Data Input'!$C$9)*(1+'Data Input'!$C$14)^(Table1[[#This Row],[Column1]]-'Data Input'!$C$2),0)</f>
        <v>83200</v>
      </c>
      <c r="C3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3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3" s="12">
        <f>IF('Data Input'!$F$15+'Data Input'!$C$2&gt;Table1[[#This Row],[Column1]],('Data Input'!$F$9)*(1+'Data Input'!$F$14)^(Table1[[#This Row],[Column1]]-'Data Input'!$C$2),0)</f>
        <v>0</v>
      </c>
      <c r="F3" s="12">
        <f>Table1[[#This Row],[Column2]]+Table1[[#This Row],[Column4]]+Table1[[#This Row],[Column5]]-Table1[[#This Row],[Column3]]-Table1[[#This Row],[Column23]]</f>
        <v>65536.538963345534</v>
      </c>
      <c r="G3" s="12">
        <f>Table1[[#This Row],[Column2]]+Table1[[#This Row],[Column4]]+Table1[[#This Row],[Column5]]-Table1[[#This Row],[Column3]]-Table1[[#This Row],[Column8]]</f>
        <v>55798.626625544806</v>
      </c>
      <c r="H3" s="12">
        <f>MAX('Tax Information'!$C$15+'Data Input'!C25*'Tax Information'!$C$5,'Mortgage Sheet'!C7+Spending!N4)+'Tax Information'!$C$13*('Data Input'!C25+2)</f>
        <v>20663.461036654462</v>
      </c>
      <c r="I3" s="12">
        <f>MAX('Tax Information'!$C$6+'Data Input'!C25*'Tax Information'!$C$5,'Mortgage Sheet'!C7+Table1[[#This Row],[Column9]]+Spending!N4)+'Tax Information'!$C$4*('Data Input'!C25+2)</f>
        <v>30401.373374455194</v>
      </c>
      <c r="J3" s="20">
        <f>'Tax Information'!E26</f>
        <v>1855.9123378007321</v>
      </c>
      <c r="K3" s="7">
        <f>'Tax Information'!C26</f>
        <v>7442.1439938317208</v>
      </c>
      <c r="L3" s="20">
        <f>(0.01+0.0765)*(Table1[[#This Row],[Column2]]+Table1[[#This Row],[Column4]]+Table1[[#This Row],[Column5]])</f>
        <v>7456.2999999999993</v>
      </c>
      <c r="M3" s="7">
        <f>(Table1[[#This Row],[Column2]]+Table1[[#This Row],[Column4]]+Table1[[#This Row],[Column5]])</f>
        <v>86200</v>
      </c>
      <c r="N3" s="7">
        <f>(Table1[[#This Row],[Column2]]+Table1[[#This Row],[Column4]]+Table1[[#This Row],[Column5]])-(Table1[[#This Row],[Column3]]+Table1[[#This Row],[Column9]]+Table1[[#This Row],[Column10]]+Table1[[#This Row],[Column11]])</f>
        <v>69445.643668367557</v>
      </c>
      <c r="O3" s="8">
        <f>1-(Table1[[#This Row],[Column13]]/Table1[[#This Row],[Column12]])</f>
        <v>0.19436608273355505</v>
      </c>
      <c r="P3" s="12">
        <f>P2+Table1[[#This Row],[Column3]]</f>
        <v>0</v>
      </c>
      <c r="Q3" s="7">
        <f>Table1[[#This Row],[Column12]]/12</f>
        <v>7183.333333333333</v>
      </c>
      <c r="R3" s="7">
        <f>Table1[[#This Row],[Column13]]/12</f>
        <v>5787.1369723639627</v>
      </c>
      <c r="S3" s="20">
        <f>Table1[[#This Row],[Column13]]/'Data Input'!$C$3</f>
        <v>2893.5684861819814</v>
      </c>
      <c r="T3" s="12">
        <f>Table1[[#This Row],[Column17]]-IF('Data Input'!$C$2+'Data Input'!$I$10&gt;Table1[[#This Row],[Column1]],'Mortgage Sheet'!B7/12,'Mortgage Sheet'!$K$2)</f>
        <v>2598.2292327315672</v>
      </c>
      <c r="U3" s="20">
        <f>Spending!R4+12*(Table1[[#This Row],[Column17]]-Table1[[#This Row],[Column19]])</f>
        <v>76036.892875588746</v>
      </c>
      <c r="V3" s="15">
        <f>Table1[[#This Row],[Column19]]-Spending!S4</f>
        <v>-549.27076726843279</v>
      </c>
      <c r="W3" s="7">
        <f>W2+12*Table1[[#This Row],[Column21]]</f>
        <v>34677.72909896342</v>
      </c>
      <c r="X3" s="20"/>
      <c r="Y3" s="20"/>
      <c r="AB3" s="20"/>
    </row>
    <row r="4" spans="1:28" s="17" customFormat="1">
      <c r="A4" s="17">
        <f t="shared" ref="A4:A31" si="0">A3+1</f>
        <v>2018</v>
      </c>
      <c r="B4" s="12">
        <f>IF('Data Input'!$C$15+'Data Input'!$C$2&gt;Table1[[#This Row],[Column1]],('Data Input'!$C$9)*(1+'Data Input'!$C$14)^(Table1[[#This Row],[Column1]]-'Data Input'!$C$2),0)</f>
        <v>86528.000000000015</v>
      </c>
      <c r="C4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4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4" s="12">
        <f>IF('Data Input'!$F$15+'Data Input'!$C$2&gt;Table1[[#This Row],[Column1]],('Data Input'!$F$9)*(1+'Data Input'!$F$14)^(Table1[[#This Row],[Column1]]-'Data Input'!$C$2),0)</f>
        <v>0</v>
      </c>
      <c r="F4" s="12">
        <f>Table1[[#This Row],[Column2]]+Table1[[#This Row],[Column4]]+Table1[[#This Row],[Column5]]-Table1[[#This Row],[Column3]]-Table1[[#This Row],[Column23]]</f>
        <v>69590.611593503592</v>
      </c>
      <c r="G4" s="12">
        <f>Table1[[#This Row],[Column2]]+Table1[[#This Row],[Column4]]+Table1[[#This Row],[Column5]]-Table1[[#This Row],[Column3]]-Table1[[#This Row],[Column8]]</f>
        <v>59609.454897893389</v>
      </c>
      <c r="H4" s="12">
        <f>MAX('Tax Information'!$C$15+'Data Input'!C26*'Tax Information'!$C$5,'Mortgage Sheet'!C8+Spending!N5)+'Tax Information'!$C$13*('Data Input'!C26+2)</f>
        <v>19937.388406496415</v>
      </c>
      <c r="I4" s="12">
        <f>MAX('Tax Information'!$C$6+'Data Input'!C26*'Tax Information'!$C$5,'Mortgage Sheet'!C8+Table1[[#This Row],[Column9]]+Spending!N5)+'Tax Information'!$C$4*('Data Input'!C26+2)</f>
        <v>29918.545102106629</v>
      </c>
      <c r="J4" s="7">
        <f>'Tax Information'!E27</f>
        <v>2099.1566956102151</v>
      </c>
      <c r="K4" s="7">
        <f>'Tax Information'!C27</f>
        <v>8013.7682346840083</v>
      </c>
      <c r="L4" s="20">
        <f>(0.01+0.0765)*(Table1[[#This Row],[Column2]]+Table1[[#This Row],[Column4]]+Table1[[#This Row],[Column5]])</f>
        <v>7744.1720000000005</v>
      </c>
      <c r="M4" s="7">
        <f>(Table1[[#This Row],[Column2]]+Table1[[#This Row],[Column4]]+Table1[[#This Row],[Column5]])</f>
        <v>89528.000000000015</v>
      </c>
      <c r="N4" s="20">
        <f>(Table1[[#This Row],[Column2]]+Table1[[#This Row],[Column4]]+Table1[[#This Row],[Column5]])-(Table1[[#This Row],[Column3]]+Table1[[#This Row],[Column9]]+Table1[[#This Row],[Column10]]+Table1[[#This Row],[Column11]])</f>
        <v>71670.90306970579</v>
      </c>
      <c r="O4" s="8">
        <f>1-(Table1[[#This Row],[Column13]]/Table1[[#This Row],[Column12]])</f>
        <v>0.19945823575076205</v>
      </c>
      <c r="P4" s="12">
        <f>P3+Table1[[#This Row],[Column3]]</f>
        <v>0</v>
      </c>
      <c r="Q4" s="7">
        <f>Table1[[#This Row],[Column12]]/12</f>
        <v>7460.6666666666679</v>
      </c>
      <c r="R4" s="7">
        <f>Table1[[#This Row],[Column13]]/12</f>
        <v>5972.5752558088161</v>
      </c>
      <c r="S4" s="20">
        <f>Table1[[#This Row],[Column13]]/'Data Input'!$C$3</f>
        <v>2986.2876279044081</v>
      </c>
      <c r="T4" s="12">
        <f>Table1[[#This Row],[Column17]]-IF('Data Input'!$C$2+'Data Input'!$I$10&gt;Table1[[#This Row],[Column1]],'Mortgage Sheet'!B8/12,'Mortgage Sheet'!$K$2)</f>
        <v>2783.6675161764206</v>
      </c>
      <c r="U4" s="20">
        <f>Spending!R5+12*(Table1[[#This Row],[Column17]]-Table1[[#This Row],[Column19]])</f>
        <v>76036.892875588746</v>
      </c>
      <c r="V4" s="14">
        <f>Table1[[#This Row],[Column19]]-Spending!S5</f>
        <v>-363.83248382357942</v>
      </c>
      <c r="W4" s="20">
        <f>W3+12*Table1[[#This Row],[Column21]]</f>
        <v>30311.739293080467</v>
      </c>
      <c r="X4" s="20"/>
      <c r="Y4" s="20"/>
      <c r="AA4" s="23"/>
      <c r="AB4" s="20"/>
    </row>
    <row r="5" spans="1:28">
      <c r="A5" s="17">
        <f t="shared" si="0"/>
        <v>2019</v>
      </c>
      <c r="B5" s="12">
        <f>IF('Data Input'!$C$15+'Data Input'!$C$2&gt;Table1[[#This Row],[Column1]],('Data Input'!$C$9)*(1+'Data Input'!$C$14)^(Table1[[#This Row],[Column1]]-'Data Input'!$C$2),0)</f>
        <v>89989.12000000001</v>
      </c>
      <c r="C5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5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5" s="12">
        <f>IF('Data Input'!$F$15+'Data Input'!$C$2&gt;Table1[[#This Row],[Column1]],('Data Input'!$F$9)*(1+'Data Input'!$F$14)^(Table1[[#This Row],[Column1]]-'Data Input'!$C$2),0)</f>
        <v>0</v>
      </c>
      <c r="F5" s="12">
        <f>Table1[[#This Row],[Column2]]+Table1[[#This Row],[Column4]]+Table1[[#This Row],[Column5]]-Table1[[#This Row],[Column3]]-Table1[[#This Row],[Column23]]</f>
        <v>73807.385542886113</v>
      </c>
      <c r="G5" s="12">
        <f>Table1[[#This Row],[Column2]]+Table1[[#This Row],[Column4]]+Table1[[#This Row],[Column5]]-Table1[[#This Row],[Column3]]-Table1[[#This Row],[Column8]]</f>
        <v>63573.222410312941</v>
      </c>
      <c r="H5" s="12">
        <f>MAX('Tax Information'!$C$15+'Data Input'!C27*'Tax Information'!$C$5,'Mortgage Sheet'!C9+Spending!N6)+'Tax Information'!$C$13*('Data Input'!C27+2)</f>
        <v>19181.7344571139</v>
      </c>
      <c r="I5" s="12">
        <f>MAX('Tax Information'!$C$6+'Data Input'!C27*'Tax Information'!$C$5,'Mortgage Sheet'!C9+Table1[[#This Row],[Column9]]+Spending!N6)+'Tax Information'!$C$4*('Data Input'!C27+2)</f>
        <v>29415.897589687069</v>
      </c>
      <c r="J5" s="20">
        <f>'Tax Information'!E28</f>
        <v>2352.1631325731669</v>
      </c>
      <c r="K5" s="20">
        <f>'Tax Information'!C28</f>
        <v>8608.3333615469419</v>
      </c>
      <c r="L5" s="20">
        <f>(0.01+0.0765)*(Table1[[#This Row],[Column2]]+Table1[[#This Row],[Column4]]+Table1[[#This Row],[Column5]])</f>
        <v>8043.5588800000005</v>
      </c>
      <c r="M5" s="20">
        <f>(Table1[[#This Row],[Column2]]+Table1[[#This Row],[Column4]]+Table1[[#This Row],[Column5]])</f>
        <v>92989.12000000001</v>
      </c>
      <c r="N5" s="20">
        <f>(Table1[[#This Row],[Column2]]+Table1[[#This Row],[Column4]]+Table1[[#This Row],[Column5]])-(Table1[[#This Row],[Column3]]+Table1[[#This Row],[Column9]]+Table1[[#This Row],[Column10]]+Table1[[#This Row],[Column11]])</f>
        <v>73985.064625879895</v>
      </c>
      <c r="O5" s="8">
        <f>1-(Table1[[#This Row],[Column13]]/Table1[[#This Row],[Column12]])</f>
        <v>0.20436859036971333</v>
      </c>
      <c r="P5" s="12">
        <f>P4+Table1[[#This Row],[Column3]]</f>
        <v>0</v>
      </c>
      <c r="Q5" s="20">
        <f>Table1[[#This Row],[Column12]]/12</f>
        <v>7749.0933333333342</v>
      </c>
      <c r="R5" s="20">
        <f>Table1[[#This Row],[Column13]]/12</f>
        <v>6165.4220521566576</v>
      </c>
      <c r="S5" s="20">
        <f>Table1[[#This Row],[Column13]]/'Data Input'!$C$3</f>
        <v>3082.7110260783288</v>
      </c>
      <c r="T5" s="12">
        <f>Table1[[#This Row],[Column17]]-IF('Data Input'!$C$2+'Data Input'!$I$10&gt;Table1[[#This Row],[Column1]],'Mortgage Sheet'!B9/12,'Mortgage Sheet'!$K$2)</f>
        <v>2976.5143125242621</v>
      </c>
      <c r="U5" s="20">
        <f>Spending!R6+12*(Table1[[#This Row],[Column17]]-Table1[[#This Row],[Column19]])</f>
        <v>76036.892875588746</v>
      </c>
      <c r="V5" s="15">
        <f>Table1[[#This Row],[Column19]]-Spending!S6</f>
        <v>-170.9856874757379</v>
      </c>
      <c r="W5" s="20">
        <f>W4+12*Table1[[#This Row],[Column21]]</f>
        <v>28259.911043371612</v>
      </c>
      <c r="X5" s="20"/>
      <c r="Y5" s="20"/>
      <c r="AB5" s="20"/>
    </row>
    <row r="6" spans="1:28">
      <c r="A6" s="17">
        <f t="shared" si="0"/>
        <v>2020</v>
      </c>
      <c r="B6" s="12">
        <f>IF('Data Input'!$C$15+'Data Input'!$C$2&gt;Table1[[#This Row],[Column1]],('Data Input'!$C$9)*(1+'Data Input'!$C$14)^(Table1[[#This Row],[Column1]]-'Data Input'!$C$2),0)</f>
        <v>93588.684800000017</v>
      </c>
      <c r="C6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6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6" s="12">
        <f>IF('Data Input'!$F$15+'Data Input'!$C$2&gt;Table1[[#This Row],[Column1]],('Data Input'!$F$9)*(1+'Data Input'!$F$14)^(Table1[[#This Row],[Column1]]-'Data Input'!$C$2),0)</f>
        <v>0</v>
      </c>
      <c r="F6" s="12">
        <f>Table1[[#This Row],[Column2]]+Table1[[#This Row],[Column4]]+Table1[[#This Row],[Column5]]-Table1[[#This Row],[Column3]]-Table1[[#This Row],[Column23]]</f>
        <v>78193.390800079913</v>
      </c>
      <c r="G6" s="12">
        <f>Table1[[#This Row],[Column2]]+Table1[[#This Row],[Column4]]+Table1[[#This Row],[Column5]]-Table1[[#This Row],[Column3]]-Table1[[#This Row],[Column8]]</f>
        <v>67696.067352075115</v>
      </c>
      <c r="H6" s="12">
        <f>MAX('Tax Information'!$C$15+'Data Input'!C28*'Tax Information'!$C$5,'Mortgage Sheet'!C10+Spending!N7)+'Tax Information'!$C$13*('Data Input'!C28+2)</f>
        <v>18395.293999920112</v>
      </c>
      <c r="I6" s="12">
        <f>MAX('Tax Information'!$C$6+'Data Input'!C28*'Tax Information'!$C$5,'Mortgage Sheet'!C10+Table1[[#This Row],[Column9]]+Spending!N7)+'Tax Information'!$C$4*('Data Input'!C28+2)</f>
        <v>28892.617447924906</v>
      </c>
      <c r="J6" s="7">
        <f>'Tax Information'!E29</f>
        <v>2615.323448004795</v>
      </c>
      <c r="K6" s="7">
        <f>'Tax Information'!C29</f>
        <v>9226.7601028112658</v>
      </c>
      <c r="L6" s="20">
        <f>(0.01+0.0765)*(Table1[[#This Row],[Column2]]+Table1[[#This Row],[Column4]]+Table1[[#This Row],[Column5]])</f>
        <v>8354.9212352000013</v>
      </c>
      <c r="M6" s="7">
        <f>(Table1[[#This Row],[Column2]]+Table1[[#This Row],[Column4]]+Table1[[#This Row],[Column5]])</f>
        <v>96588.684800000017</v>
      </c>
      <c r="N6" s="20">
        <f>(Table1[[#This Row],[Column2]]+Table1[[#This Row],[Column4]]+Table1[[#This Row],[Column5]])-(Table1[[#This Row],[Column3]]+Table1[[#This Row],[Column9]]+Table1[[#This Row],[Column10]]+Table1[[#This Row],[Column11]])</f>
        <v>76391.680013983947</v>
      </c>
      <c r="O6" s="8">
        <f>1-(Table1[[#This Row],[Column13]]/Table1[[#This Row],[Column12]])</f>
        <v>0.20910321770957652</v>
      </c>
      <c r="P6" s="12">
        <f>P5+Table1[[#This Row],[Column3]]</f>
        <v>0</v>
      </c>
      <c r="Q6" s="7">
        <f>Table1[[#This Row],[Column12]]/12</f>
        <v>8049.0570666666681</v>
      </c>
      <c r="R6" s="7">
        <f>Table1[[#This Row],[Column13]]/12</f>
        <v>6365.9733344986626</v>
      </c>
      <c r="S6" s="20">
        <f>Table1[[#This Row],[Column13]]/'Data Input'!$C$3</f>
        <v>3182.9866672493313</v>
      </c>
      <c r="T6" s="12">
        <f>Table1[[#This Row],[Column17]]-IF('Data Input'!$C$2+'Data Input'!$I$10&gt;Table1[[#This Row],[Column1]],'Mortgage Sheet'!B10/12,'Mortgage Sheet'!$K$2)</f>
        <v>3177.065594866267</v>
      </c>
      <c r="U6" s="20">
        <f>Spending!R7+12*(Table1[[#This Row],[Column17]]-Table1[[#This Row],[Column19]])</f>
        <v>76036.892875588746</v>
      </c>
      <c r="V6" s="14">
        <f>Table1[[#This Row],[Column19]]-Spending!S7</f>
        <v>29.56559486626702</v>
      </c>
      <c r="W6" s="20">
        <f>W5+12*Table1[[#This Row],[Column21]]</f>
        <v>28614.698181766817</v>
      </c>
    </row>
    <row r="7" spans="1:28">
      <c r="A7" s="17">
        <f t="shared" si="0"/>
        <v>2021</v>
      </c>
      <c r="B7" s="12">
        <f>IF('Data Input'!$C$15+'Data Input'!$C$2&gt;Table1[[#This Row],[Column1]],('Data Input'!$C$9)*(1+'Data Input'!$C$14)^(Table1[[#This Row],[Column1]]-'Data Input'!$C$2),0)</f>
        <v>97332.232192000025</v>
      </c>
      <c r="C7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7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7" s="12">
        <f>IF('Data Input'!$F$15+'Data Input'!$C$2&gt;Table1[[#This Row],[Column1]],('Data Input'!$F$9)*(1+'Data Input'!$F$14)^(Table1[[#This Row],[Column1]]-'Data Input'!$C$2),0)</f>
        <v>0</v>
      </c>
      <c r="F7" s="12">
        <f>Table1[[#This Row],[Column2]]+Table1[[#This Row],[Column4]]+Table1[[#This Row],[Column5]]-Table1[[#This Row],[Column3]]-Table1[[#This Row],[Column23]]</f>
        <v>82755.419446914326</v>
      </c>
      <c r="G7" s="12">
        <f>Table1[[#This Row],[Column2]]+Table1[[#This Row],[Column4]]+Table1[[#This Row],[Column5]]-Table1[[#This Row],[Column3]]-Table1[[#This Row],[Column8]]</f>
        <v>71960.185891161178</v>
      </c>
      <c r="H7" s="12">
        <f>MAX('Tax Information'!$C$15+'Data Input'!C29*'Tax Information'!$C$5,'Mortgage Sheet'!C11+Spending!N8)+'Tax Information'!$C$13*('Data Input'!C29+2)</f>
        <v>17576.812745085699</v>
      </c>
      <c r="I7" s="12">
        <f>MAX('Tax Information'!$C$6+'Data Input'!C29*'Tax Information'!$C$5,'Mortgage Sheet'!C11+Table1[[#This Row],[Column9]]+Spending!N8)+'Tax Information'!$C$4*('Data Input'!C29+2)</f>
        <v>28372.046300838843</v>
      </c>
      <c r="J7" s="7">
        <f>'Tax Information'!E30</f>
        <v>2913.233555753146</v>
      </c>
      <c r="K7" s="7">
        <f>'Tax Information'!C30</f>
        <v>9866.3778836741767</v>
      </c>
      <c r="L7" s="20">
        <f>(0.01+0.0765)*(Table1[[#This Row],[Column2]]+Table1[[#This Row],[Column4]]+Table1[[#This Row],[Column5]])</f>
        <v>8678.7380846080014</v>
      </c>
      <c r="M7" s="7">
        <f>(Table1[[#This Row],[Column2]]+Table1[[#This Row],[Column4]]+Table1[[#This Row],[Column5]])</f>
        <v>100332.23219200002</v>
      </c>
      <c r="N7" s="20">
        <f>(Table1[[#This Row],[Column2]]+Table1[[#This Row],[Column4]]+Table1[[#This Row],[Column5]])-(Table1[[#This Row],[Column3]]+Table1[[#This Row],[Column9]]+Table1[[#This Row],[Column10]]+Table1[[#This Row],[Column11]])</f>
        <v>78873.882667964703</v>
      </c>
      <c r="O7" s="8">
        <f>1-(Table1[[#This Row],[Column13]]/Table1[[#This Row],[Column12]])</f>
        <v>0.2138729404820946</v>
      </c>
      <c r="P7" s="12">
        <f>P6+Table1[[#This Row],[Column3]]</f>
        <v>0</v>
      </c>
      <c r="Q7" s="7">
        <f>Table1[[#This Row],[Column12]]/12</f>
        <v>8361.0193493333354</v>
      </c>
      <c r="R7" s="7">
        <f>Table1[[#This Row],[Column13]]/12</f>
        <v>6572.8235556637255</v>
      </c>
      <c r="S7" s="20">
        <f>Table1[[#This Row],[Column13]]/'Data Input'!$C$3</f>
        <v>3286.4117778318628</v>
      </c>
      <c r="T7" s="12">
        <f>Table1[[#This Row],[Column17]]-IF('Data Input'!$C$2+'Data Input'!$I$10&gt;Table1[[#This Row],[Column1]],'Mortgage Sheet'!B11/12,'Mortgage Sheet'!$K$2)</f>
        <v>3383.91581603133</v>
      </c>
      <c r="U7" s="20">
        <f>Spending!R8+12*(Table1[[#This Row],[Column17]]-Table1[[#This Row],[Column19]])</f>
        <v>72436.892875588746</v>
      </c>
      <c r="V7" s="15">
        <f>Table1[[#This Row],[Column19]]-Spending!S8</f>
        <v>536.41581603133</v>
      </c>
      <c r="W7" s="20">
        <f>W6+12*Table1[[#This Row],[Column21]]</f>
        <v>35051.687974142777</v>
      </c>
      <c r="AA7" s="27"/>
    </row>
    <row r="8" spans="1:28">
      <c r="A8" s="17">
        <f t="shared" si="0"/>
        <v>2022</v>
      </c>
      <c r="B8" s="12">
        <f>IF('Data Input'!$C$15+'Data Input'!$C$2&gt;Table1[[#This Row],[Column1]],('Data Input'!$C$9)*(1+'Data Input'!$C$14)^(Table1[[#This Row],[Column1]]-'Data Input'!$C$2),0)</f>
        <v>101225.52147968003</v>
      </c>
      <c r="C8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8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8" s="12">
        <f>IF('Data Input'!$F$15+'Data Input'!$C$2&gt;Table1[[#This Row],[Column1]],('Data Input'!$F$9)*(1+'Data Input'!$F$14)^(Table1[[#This Row],[Column1]]-'Data Input'!$C$2),0)</f>
        <v>0</v>
      </c>
      <c r="F8" s="12">
        <f>Table1[[#This Row],[Column2]]+Table1[[#This Row],[Column4]]+Table1[[#This Row],[Column5]]-Table1[[#This Row],[Column3]]-Table1[[#This Row],[Column23]]</f>
        <v>87500.536178601615</v>
      </c>
      <c r="G8" s="12">
        <f>Table1[[#This Row],[Column2]]+Table1[[#This Row],[Column4]]+Table1[[#This Row],[Column5]]-Table1[[#This Row],[Column3]]-Table1[[#This Row],[Column8]]</f>
        <v>76325.693284313485</v>
      </c>
      <c r="H8" s="12">
        <f>MAX('Tax Information'!$C$15+'Data Input'!C30*'Tax Information'!$C$5,'Mortgage Sheet'!C12+Spending!N9)+'Tax Information'!$C$13*('Data Input'!C30+2)</f>
        <v>16724.98530107841</v>
      </c>
      <c r="I8" s="12">
        <f>MAX('Tax Information'!$C$6+'Data Input'!C30*'Tax Information'!$C$5,'Mortgage Sheet'!C12+Table1[[#This Row],[Column9]]+Spending!N9)+'Tax Information'!$C$4*('Data Input'!C30+2)</f>
        <v>27899.828195366539</v>
      </c>
      <c r="J8" s="7">
        <f>'Tax Information'!E31</f>
        <v>3292.8428942881292</v>
      </c>
      <c r="K8" s="7">
        <f>'Tax Information'!C31</f>
        <v>10623.673321078371</v>
      </c>
      <c r="L8" s="20">
        <f>(0.01+0.0765)*(Table1[[#This Row],[Column2]]+Table1[[#This Row],[Column4]]+Table1[[#This Row],[Column5]])</f>
        <v>9015.5076079923219</v>
      </c>
      <c r="M8" s="7">
        <f>(Table1[[#This Row],[Column2]]+Table1[[#This Row],[Column4]]+Table1[[#This Row],[Column5]])</f>
        <v>104225.52147968003</v>
      </c>
      <c r="N8" s="20">
        <f>(Table1[[#This Row],[Column2]]+Table1[[#This Row],[Column4]]+Table1[[#This Row],[Column5]])-(Table1[[#This Row],[Column3]]+Table1[[#This Row],[Column9]]+Table1[[#This Row],[Column10]]+Table1[[#This Row],[Column11]])</f>
        <v>81293.497656321211</v>
      </c>
      <c r="O8" s="8">
        <f>1-(Table1[[#This Row],[Column13]]/Table1[[#This Row],[Column12]])</f>
        <v>0.22002311427944909</v>
      </c>
      <c r="P8" s="12">
        <f>P7+Table1[[#This Row],[Column3]]</f>
        <v>0</v>
      </c>
      <c r="Q8" s="7">
        <f>Table1[[#This Row],[Column12]]/12</f>
        <v>8685.4601233066696</v>
      </c>
      <c r="R8" s="7">
        <f>Table1[[#This Row],[Column13]]/12</f>
        <v>6774.4581380267673</v>
      </c>
      <c r="S8" s="20">
        <f>Table1[[#This Row],[Column13]]/'Data Input'!$C$3</f>
        <v>3387.2290690133837</v>
      </c>
      <c r="T8" s="12">
        <f>Table1[[#This Row],[Column17]]-IF('Data Input'!$C$2+'Data Input'!$I$10&gt;Table1[[#This Row],[Column1]],'Mortgage Sheet'!B12/12,'Mortgage Sheet'!$K$2)</f>
        <v>3585.5503983943718</v>
      </c>
      <c r="U8" s="20">
        <f>Spending!R9+12*(Table1[[#This Row],[Column17]]-Table1[[#This Row],[Column19]])</f>
        <v>72436.892875588746</v>
      </c>
      <c r="V8" s="14">
        <f>Table1[[#This Row],[Column19]]-Spending!S9</f>
        <v>738.05039839437177</v>
      </c>
      <c r="W8" s="20">
        <f>W7+12*Table1[[#This Row],[Column21]]</f>
        <v>43908.292754875234</v>
      </c>
      <c r="Y8" s="26"/>
      <c r="AA8" s="27"/>
      <c r="AB8" s="20"/>
    </row>
    <row r="9" spans="1:28">
      <c r="A9" s="17">
        <f t="shared" si="0"/>
        <v>2023</v>
      </c>
      <c r="B9" s="12">
        <f>IF('Data Input'!$C$15+'Data Input'!$C$2&gt;Table1[[#This Row],[Column1]],('Data Input'!$C$9)*(1+'Data Input'!$C$14)^(Table1[[#This Row],[Column1]]-'Data Input'!$C$2),0)</f>
        <v>105274.54233886722</v>
      </c>
      <c r="C9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9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9" s="12">
        <f>IF('Data Input'!$F$15+'Data Input'!$C$2&gt;Table1[[#This Row],[Column1]],('Data Input'!$F$9)*(1+'Data Input'!$F$14)^(Table1[[#This Row],[Column1]]-'Data Input'!$C$2),0)</f>
        <v>0</v>
      </c>
      <c r="F9" s="12">
        <f>Table1[[#This Row],[Column2]]+Table1[[#This Row],[Column4]]+Table1[[#This Row],[Column5]]-Table1[[#This Row],[Column3]]-Table1[[#This Row],[Column23]]</f>
        <v>92436.089246166375</v>
      </c>
      <c r="G9" s="12">
        <f>Table1[[#This Row],[Column2]]+Table1[[#This Row],[Column4]]+Table1[[#This Row],[Column5]]-Table1[[#This Row],[Column3]]-Table1[[#This Row],[Column8]]</f>
        <v>80866.402106473077</v>
      </c>
      <c r="H9" s="12">
        <f>MAX('Tax Information'!$C$15+'Data Input'!C31*'Tax Information'!$C$5,'Mortgage Sheet'!C13+Spending!N10)+'Tax Information'!$C$13*('Data Input'!C31+2)</f>
        <v>15838.453092700842</v>
      </c>
      <c r="I9" s="12">
        <f>MAX('Tax Information'!$C$6+'Data Input'!C31*'Tax Information'!$C$5,'Mortgage Sheet'!C13+Table1[[#This Row],[Column9]]+Spending!N10)+'Tax Information'!$C$4*('Data Input'!C31+2)</f>
        <v>27408.140232394151</v>
      </c>
      <c r="J9" s="7">
        <f>'Tax Information'!E32</f>
        <v>3687.6871396933102</v>
      </c>
      <c r="K9" s="7">
        <f>'Tax Information'!C32</f>
        <v>11758.850526618269</v>
      </c>
      <c r="L9" s="20">
        <f>(0.01+0.0765)*(Table1[[#This Row],[Column2]]+Table1[[#This Row],[Column4]]+Table1[[#This Row],[Column5]])</f>
        <v>9365.7479123120138</v>
      </c>
      <c r="M9" s="7">
        <f>(Table1[[#This Row],[Column2]]+Table1[[#This Row],[Column4]]+Table1[[#This Row],[Column5]])</f>
        <v>108274.54233886722</v>
      </c>
      <c r="N9" s="20">
        <f>(Table1[[#This Row],[Column2]]+Table1[[#This Row],[Column4]]+Table1[[#This Row],[Column5]])-(Table1[[#This Row],[Column3]]+Table1[[#This Row],[Column9]]+Table1[[#This Row],[Column10]]+Table1[[#This Row],[Column11]])</f>
        <v>83462.256760243632</v>
      </c>
      <c r="O9" s="8">
        <f>1-(Table1[[#This Row],[Column13]]/Table1[[#This Row],[Column12]])</f>
        <v>0.22916084466991782</v>
      </c>
      <c r="P9" s="12">
        <f>P8+Table1[[#This Row],[Column3]]</f>
        <v>0</v>
      </c>
      <c r="Q9" s="7">
        <f>Table1[[#This Row],[Column12]]/12</f>
        <v>9022.8785282389345</v>
      </c>
      <c r="R9" s="7">
        <f>Table1[[#This Row],[Column13]]/12</f>
        <v>6955.1880633536357</v>
      </c>
      <c r="S9" s="20">
        <f>Table1[[#This Row],[Column13]]/'Data Input'!$C$3</f>
        <v>3477.5940316768178</v>
      </c>
      <c r="T9" s="12">
        <f>Table1[[#This Row],[Column17]]-IF('Data Input'!$C$2+'Data Input'!$I$10&gt;Table1[[#This Row],[Column1]],'Mortgage Sheet'!B13/12,'Mortgage Sheet'!$K$2)</f>
        <v>3766.2803237212402</v>
      </c>
      <c r="U9" s="20">
        <f>Spending!R10+12*(Table1[[#This Row],[Column17]]-Table1[[#This Row],[Column19]])</f>
        <v>69436.892875588746</v>
      </c>
      <c r="V9" s="15">
        <f>Table1[[#This Row],[Column19]]-Spending!S10</f>
        <v>1168.7803237212402</v>
      </c>
      <c r="W9" s="20">
        <f>W8+12*Table1[[#This Row],[Column21]]</f>
        <v>57933.65663953012</v>
      </c>
    </row>
    <row r="10" spans="1:28">
      <c r="A10" s="17">
        <f t="shared" si="0"/>
        <v>2024</v>
      </c>
      <c r="B10" s="12">
        <f>IF('Data Input'!$C$15+'Data Input'!$C$2&gt;Table1[[#This Row],[Column1]],('Data Input'!$C$9)*(1+'Data Input'!$C$14)^(Table1[[#This Row],[Column1]]-'Data Input'!$C$2),0)</f>
        <v>109485.52403242193</v>
      </c>
      <c r="C10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0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0" s="12">
        <f>IF('Data Input'!$F$15+'Data Input'!$C$2&gt;Table1[[#This Row],[Column1]],('Data Input'!$F$9)*(1+'Data Input'!$F$14)^(Table1[[#This Row],[Column1]]-'Data Input'!$C$2),0)</f>
        <v>0</v>
      </c>
      <c r="F10" s="12">
        <f>Table1[[#This Row],[Column2]]+Table1[[#This Row],[Column4]]+Table1[[#This Row],[Column5]]-Table1[[#This Row],[Column3]]-Table1[[#This Row],[Column23]]</f>
        <v>97569.721838116049</v>
      </c>
      <c r="G10" s="12">
        <f>Table1[[#This Row],[Column2]]+Table1[[#This Row],[Column4]]+Table1[[#This Row],[Column5]]-Table1[[#This Row],[Column3]]-Table1[[#This Row],[Column8]]</f>
        <v>85589.34409106677</v>
      </c>
      <c r="H10" s="12">
        <f>MAX('Tax Information'!$C$15+'Data Input'!C32*'Tax Information'!$C$5,'Mortgage Sheet'!C14+Spending!N11)+'Tax Information'!$C$13*('Data Input'!C32+2)</f>
        <v>14915.802194305885</v>
      </c>
      <c r="I10" s="12">
        <f>MAX('Tax Information'!$C$6+'Data Input'!C32*'Tax Information'!$C$5,'Mortgage Sheet'!C14+Table1[[#This Row],[Column9]]+Spending!N11)+'Tax Information'!$C$4*('Data Input'!C32+2)</f>
        <v>26896.179941355171</v>
      </c>
      <c r="J10" s="7">
        <f>'Tax Information'!E33</f>
        <v>4098.3777470492842</v>
      </c>
      <c r="K10" s="7">
        <f>'Tax Information'!C33</f>
        <v>12939.586022766693</v>
      </c>
      <c r="L10" s="20">
        <f>(0.01+0.0765)*(Table1[[#This Row],[Column2]]+Table1[[#This Row],[Column4]]+Table1[[#This Row],[Column5]])</f>
        <v>9729.9978288044967</v>
      </c>
      <c r="M10" s="7">
        <f>(Table1[[#This Row],[Column2]]+Table1[[#This Row],[Column4]]+Table1[[#This Row],[Column5]])</f>
        <v>112485.52403242193</v>
      </c>
      <c r="N10" s="20">
        <f>(Table1[[#This Row],[Column2]]+Table1[[#This Row],[Column4]]+Table1[[#This Row],[Column5]])-(Table1[[#This Row],[Column3]]+Table1[[#This Row],[Column9]]+Table1[[#This Row],[Column10]]+Table1[[#This Row],[Column11]])</f>
        <v>85717.56243380146</v>
      </c>
      <c r="O10" s="8">
        <f>1-(Table1[[#This Row],[Column13]]/Table1[[#This Row],[Column12]])</f>
        <v>0.23796805703554436</v>
      </c>
      <c r="P10" s="12">
        <f>P9+Table1[[#This Row],[Column3]]</f>
        <v>0</v>
      </c>
      <c r="Q10" s="7">
        <f>Table1[[#This Row],[Column12]]/12</f>
        <v>9373.7936693684951</v>
      </c>
      <c r="R10" s="7">
        <f>Table1[[#This Row],[Column13]]/12</f>
        <v>7143.1302028167884</v>
      </c>
      <c r="S10" s="20">
        <f>Table1[[#This Row],[Column13]]/'Data Input'!$C$3</f>
        <v>3571.5651014083942</v>
      </c>
      <c r="T10" s="12">
        <f>Table1[[#This Row],[Column17]]-IF('Data Input'!$C$2+'Data Input'!$I$10&gt;Table1[[#This Row],[Column1]],'Mortgage Sheet'!B14/12,'Mortgage Sheet'!$K$2)</f>
        <v>3954.2224631843928</v>
      </c>
      <c r="U10" s="20">
        <f>Spending!R11+12*(Table1[[#This Row],[Column17]]-Table1[[#This Row],[Column19]])</f>
        <v>69436.892875588746</v>
      </c>
      <c r="V10" s="14">
        <f>Table1[[#This Row],[Column19]]-Spending!S11</f>
        <v>1356.7224631843928</v>
      </c>
      <c r="W10" s="20">
        <f>W9+12*Table1[[#This Row],[Column21]]</f>
        <v>74214.326197742834</v>
      </c>
      <c r="Y10" s="17"/>
      <c r="Z10" s="17"/>
      <c r="AB10" s="17"/>
    </row>
    <row r="11" spans="1:28">
      <c r="A11" s="17">
        <f t="shared" si="0"/>
        <v>2025</v>
      </c>
      <c r="B11" s="12">
        <f>IF('Data Input'!$C$15+'Data Input'!$C$2&gt;Table1[[#This Row],[Column1]],('Data Input'!$C$9)*(1+'Data Input'!$C$14)^(Table1[[#This Row],[Column1]]-'Data Input'!$C$2),0)</f>
        <v>113864.94499371882</v>
      </c>
      <c r="C11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1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1" s="12">
        <f>IF('Data Input'!$F$15+'Data Input'!$C$2&gt;Table1[[#This Row],[Column1]],('Data Input'!$F$9)*(1+'Data Input'!$F$14)^(Table1[[#This Row],[Column1]]-'Data Input'!$C$2),0)</f>
        <v>0</v>
      </c>
      <c r="F11" s="12">
        <f>Table1[[#This Row],[Column2]]+Table1[[#This Row],[Column4]]+Table1[[#This Row],[Column5]]-Table1[[#This Row],[Column3]]-Table1[[#This Row],[Column23]]</f>
        <v>102909.38391898484</v>
      </c>
      <c r="G11" s="12">
        <f>Table1[[#This Row],[Column2]]+Table1[[#This Row],[Column4]]+Table1[[#This Row],[Column5]]-Table1[[#This Row],[Column3]]-Table1[[#This Row],[Column8]]</f>
        <v>90501.833205466042</v>
      </c>
      <c r="H11" s="12">
        <f>MAX('Tax Information'!$C$15+'Data Input'!C33*'Tax Information'!$C$5,'Mortgage Sheet'!C15+Spending!N12)+'Tax Information'!$C$13*('Data Input'!C33+2)</f>
        <v>13955.561074733985</v>
      </c>
      <c r="I11" s="12">
        <f>MAX('Tax Information'!$C$6+'Data Input'!C33*'Tax Information'!$C$5,'Mortgage Sheet'!C15+Table1[[#This Row],[Column9]]+Spending!N12)+'Tax Information'!$C$4*('Data Input'!C33+2)</f>
        <v>26363.111788252772</v>
      </c>
      <c r="J11" s="7">
        <f>'Tax Information'!E34</f>
        <v>4525.5507135187872</v>
      </c>
      <c r="K11" s="7">
        <f>'Tax Information'!C34</f>
        <v>14167.708301366511</v>
      </c>
      <c r="L11" s="20">
        <f>(0.01+0.0765)*(Table1[[#This Row],[Column2]]+Table1[[#This Row],[Column4]]+Table1[[#This Row],[Column5]])</f>
        <v>10108.817741956676</v>
      </c>
      <c r="M11" s="7">
        <f>(Table1[[#This Row],[Column2]]+Table1[[#This Row],[Column4]]+Table1[[#This Row],[Column5]])</f>
        <v>116864.94499371882</v>
      </c>
      <c r="N11" s="20">
        <f>(Table1[[#This Row],[Column2]]+Table1[[#This Row],[Column4]]+Table1[[#This Row],[Column5]])-(Table1[[#This Row],[Column3]]+Table1[[#This Row],[Column9]]+Table1[[#This Row],[Column10]]+Table1[[#This Row],[Column11]])</f>
        <v>88062.86823687685</v>
      </c>
      <c r="O11" s="8">
        <f>1-(Table1[[#This Row],[Column13]]/Table1[[#This Row],[Column12]])</f>
        <v>0.2464560844861563</v>
      </c>
      <c r="P11" s="12">
        <f>P10+Table1[[#This Row],[Column3]]</f>
        <v>0</v>
      </c>
      <c r="Q11" s="7">
        <f>Table1[[#This Row],[Column12]]/12</f>
        <v>9738.7454161432343</v>
      </c>
      <c r="R11" s="7">
        <f>Table1[[#This Row],[Column13]]/12</f>
        <v>7338.5723530730711</v>
      </c>
      <c r="S11" s="20">
        <f>Table1[[#This Row],[Column13]]/'Data Input'!$C$3</f>
        <v>3669.2861765365355</v>
      </c>
      <c r="T11" s="12">
        <f>Table1[[#This Row],[Column17]]-IF('Data Input'!$C$2+'Data Input'!$I$10&gt;Table1[[#This Row],[Column1]],'Mortgage Sheet'!B15/12,'Mortgage Sheet'!$K$2)</f>
        <v>4149.6646134406756</v>
      </c>
      <c r="U11" s="20">
        <f>Spending!R12+12*(Table1[[#This Row],[Column17]]-Table1[[#This Row],[Column19]])</f>
        <v>69436.892875588746</v>
      </c>
      <c r="V11" s="15">
        <f>Table1[[#This Row],[Column19]]-Spending!S12</f>
        <v>1552.1646134406756</v>
      </c>
      <c r="W11" s="20">
        <f>W10+12*Table1[[#This Row],[Column21]]</f>
        <v>92840.301559030937</v>
      </c>
      <c r="Y11" s="18"/>
    </row>
    <row r="12" spans="1:28">
      <c r="A12" s="17">
        <f t="shared" si="0"/>
        <v>2026</v>
      </c>
      <c r="B12" s="12">
        <f>IF('Data Input'!$C$15+'Data Input'!$C$2&gt;Table1[[#This Row],[Column1]],('Data Input'!$C$9)*(1+'Data Input'!$C$14)^(Table1[[#This Row],[Column1]]-'Data Input'!$C$2),0)</f>
        <v>118419.54279346757</v>
      </c>
      <c r="C12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2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2" s="12">
        <f>IF('Data Input'!$F$15+'Data Input'!$C$2&gt;Table1[[#This Row],[Column1]],('Data Input'!$F$9)*(1+'Data Input'!$F$14)^(Table1[[#This Row],[Column1]]-'Data Input'!$C$2),0)</f>
        <v>0</v>
      </c>
      <c r="F12" s="12">
        <f>Table1[[#This Row],[Column2]]+Table1[[#This Row],[Column4]]+Table1[[#This Row],[Column5]]-Table1[[#This Row],[Column3]]-Table1[[#This Row],[Column23]]</f>
        <v>108463.34454309187</v>
      </c>
      <c r="G12" s="12">
        <f>Table1[[#This Row],[Column2]]+Table1[[#This Row],[Column4]]+Table1[[#This Row],[Column5]]-Table1[[#This Row],[Column3]]-Table1[[#This Row],[Column8]]</f>
        <v>95541.23350058432</v>
      </c>
      <c r="H12" s="12">
        <f>MAX('Tax Information'!$C$15+'Data Input'!C34*'Tax Information'!$C$5,'Mortgage Sheet'!C16+Spending!N13)+'Tax Information'!$C$13*('Data Input'!C34+2)</f>
        <v>12956.198250375699</v>
      </c>
      <c r="I12" s="12">
        <f>MAX('Tax Information'!$C$6+'Data Input'!C34*'Tax Information'!$C$5,'Mortgage Sheet'!C16+Table1[[#This Row],[Column9]]+Spending!N13)+'Tax Information'!$C$4*('Data Input'!C34+2)</f>
        <v>25878.309292883241</v>
      </c>
      <c r="J12" s="7">
        <f>'Tax Information'!E35</f>
        <v>5040.111042507544</v>
      </c>
      <c r="K12" s="7">
        <f>'Tax Information'!C35</f>
        <v>15427.55837514608</v>
      </c>
      <c r="L12" s="20">
        <f>(0.01+0.0765)*(Table1[[#This Row],[Column2]]+Table1[[#This Row],[Column4]]+Table1[[#This Row],[Column5]])</f>
        <v>10502.790451634944</v>
      </c>
      <c r="M12" s="7">
        <f>(Table1[[#This Row],[Column2]]+Table1[[#This Row],[Column4]]+Table1[[#This Row],[Column5]])</f>
        <v>121419.54279346757</v>
      </c>
      <c r="N12" s="20">
        <f>(Table1[[#This Row],[Column2]]+Table1[[#This Row],[Column4]]+Table1[[#This Row],[Column5]])-(Table1[[#This Row],[Column3]]+Table1[[#This Row],[Column9]]+Table1[[#This Row],[Column10]]+Table1[[#This Row],[Column11]])</f>
        <v>90449.082924179005</v>
      </c>
      <c r="O12" s="8">
        <f>1-(Table1[[#This Row],[Column13]]/Table1[[#This Row],[Column12]])</f>
        <v>0.25506981130680706</v>
      </c>
      <c r="P12" s="12">
        <f>P11+Table1[[#This Row],[Column3]]</f>
        <v>0</v>
      </c>
      <c r="Q12" s="7">
        <f>Table1[[#This Row],[Column12]]/12</f>
        <v>10118.295232788963</v>
      </c>
      <c r="R12" s="7">
        <f>Table1[[#This Row],[Column13]]/12</f>
        <v>7537.4235770149171</v>
      </c>
      <c r="S12" s="20">
        <f>Table1[[#This Row],[Column13]]/'Data Input'!$C$3</f>
        <v>3768.7117885074586</v>
      </c>
      <c r="T12" s="12">
        <f>Table1[[#This Row],[Column17]]-IF('Data Input'!$C$2+'Data Input'!$I$10&gt;Table1[[#This Row],[Column1]],'Mortgage Sheet'!B16/12,'Mortgage Sheet'!$K$2)</f>
        <v>4348.5158373825216</v>
      </c>
      <c r="U12" s="20">
        <f>Spending!R13+12*(Table1[[#This Row],[Column17]]-Table1[[#This Row],[Column19]])</f>
        <v>69436.892875588746</v>
      </c>
      <c r="V12" s="14">
        <f>Table1[[#This Row],[Column19]]-Spending!S13</f>
        <v>1751.0158373825216</v>
      </c>
      <c r="W12" s="20">
        <f>W11+12*Table1[[#This Row],[Column21]]</f>
        <v>113852.4916076212</v>
      </c>
      <c r="Z12" s="20"/>
      <c r="AB12" s="17"/>
    </row>
    <row r="13" spans="1:28">
      <c r="A13" s="17">
        <f t="shared" si="0"/>
        <v>2027</v>
      </c>
      <c r="B13" s="12">
        <f>IF('Data Input'!$C$15+'Data Input'!$C$2&gt;Table1[[#This Row],[Column1]],('Data Input'!$C$9)*(1+'Data Input'!$C$14)^(Table1[[#This Row],[Column1]]-'Data Input'!$C$2),0)</f>
        <v>123156.32450520626</v>
      </c>
      <c r="C13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3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3" s="12">
        <f>IF('Data Input'!$F$15+'Data Input'!$C$2&gt;Table1[[#This Row],[Column1]],('Data Input'!$F$9)*(1+'Data Input'!$F$14)^(Table1[[#This Row],[Column1]]-'Data Input'!$C$2),0)</f>
        <v>0</v>
      </c>
      <c r="F13" s="12">
        <f>Table1[[#This Row],[Column2]]+Table1[[#This Row],[Column4]]+Table1[[#This Row],[Column5]]-Table1[[#This Row],[Column3]]-Table1[[#This Row],[Column23]]</f>
        <v>114240.20466258988</v>
      </c>
      <c r="G13" s="12">
        <f>Table1[[#This Row],[Column2]]+Table1[[#This Row],[Column4]]+Table1[[#This Row],[Column5]]-Table1[[#This Row],[Column3]]-Table1[[#This Row],[Column8]]</f>
        <v>100780.84562896902</v>
      </c>
      <c r="H13" s="12">
        <f>MAX('Tax Information'!$C$15+'Data Input'!C35*'Tax Information'!$C$5,'Mortgage Sheet'!C17+Spending!N14)+'Tax Information'!$C$13*('Data Input'!C35+2)</f>
        <v>11916.119842616379</v>
      </c>
      <c r="I13" s="12">
        <f>MAX('Tax Information'!$C$6+'Data Input'!C35*'Tax Information'!$C$5,'Mortgage Sheet'!C17+Table1[[#This Row],[Column9]]+Spending!N14)+'Tax Information'!$C$4*('Data Input'!C35+2)</f>
        <v>25375.478876237237</v>
      </c>
      <c r="J13" s="7">
        <f>'Tax Information'!E36</f>
        <v>5577.359033620859</v>
      </c>
      <c r="K13" s="7">
        <f>'Tax Information'!C36</f>
        <v>16737.461407242256</v>
      </c>
      <c r="L13" s="20">
        <f>(0.01+0.0765)*(Table1[[#This Row],[Column2]]+Table1[[#This Row],[Column4]]+Table1[[#This Row],[Column5]])</f>
        <v>10912.522069700341</v>
      </c>
      <c r="M13" s="7">
        <f>(Table1[[#This Row],[Column2]]+Table1[[#This Row],[Column4]]+Table1[[#This Row],[Column5]])</f>
        <v>126156.32450520626</v>
      </c>
      <c r="N13" s="20">
        <f>(Table1[[#This Row],[Column2]]+Table1[[#This Row],[Column4]]+Table1[[#This Row],[Column5]])-(Table1[[#This Row],[Column3]]+Table1[[#This Row],[Column9]]+Table1[[#This Row],[Column10]]+Table1[[#This Row],[Column11]])</f>
        <v>92928.981994642803</v>
      </c>
      <c r="O13" s="8">
        <f>1-(Table1[[#This Row],[Column13]]/Table1[[#This Row],[Column12]])</f>
        <v>0.26338229685180958</v>
      </c>
      <c r="P13" s="12">
        <f>P12+Table1[[#This Row],[Column3]]</f>
        <v>0</v>
      </c>
      <c r="Q13" s="7">
        <f>Table1[[#This Row],[Column12]]/12</f>
        <v>10513.027042100521</v>
      </c>
      <c r="R13" s="7">
        <f>Table1[[#This Row],[Column13]]/12</f>
        <v>7744.0818328869</v>
      </c>
      <c r="S13" s="20">
        <f>Table1[[#This Row],[Column13]]/'Data Input'!$C$3</f>
        <v>3872.04091644345</v>
      </c>
      <c r="T13" s="12">
        <f>Table1[[#This Row],[Column17]]-IF('Data Input'!$C$2+'Data Input'!$I$10&gt;Table1[[#This Row],[Column1]],'Mortgage Sheet'!B17/12,'Mortgage Sheet'!$K$2)</f>
        <v>4555.1740932545044</v>
      </c>
      <c r="U13" s="20">
        <f>Spending!R14+12*(Table1[[#This Row],[Column17]]-Table1[[#This Row],[Column19]])</f>
        <v>69436.892875588746</v>
      </c>
      <c r="V13" s="15">
        <f>Table1[[#This Row],[Column19]]-Spending!S14</f>
        <v>1957.6740932545044</v>
      </c>
      <c r="W13" s="20">
        <f>W12+12*Table1[[#This Row],[Column21]]</f>
        <v>137344.58072667525</v>
      </c>
    </row>
    <row r="14" spans="1:28">
      <c r="A14" s="17">
        <f t="shared" si="0"/>
        <v>2028</v>
      </c>
      <c r="B14" s="12">
        <f>IF('Data Input'!$C$15+'Data Input'!$C$2&gt;Table1[[#This Row],[Column1]],('Data Input'!$C$9)*(1+'Data Input'!$C$14)^(Table1[[#This Row],[Column1]]-'Data Input'!$C$2),0)</f>
        <v>128082.57748541454</v>
      </c>
      <c r="C14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4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4" s="12">
        <f>IF('Data Input'!$F$15+'Data Input'!$C$2&gt;Table1[[#This Row],[Column1]],('Data Input'!$F$9)*(1+'Data Input'!$F$14)^(Table1[[#This Row],[Column1]]-'Data Input'!$C$2),0)</f>
        <v>0</v>
      </c>
      <c r="F14" s="12">
        <f>Table1[[#This Row],[Column2]]+Table1[[#This Row],[Column4]]+Table1[[#This Row],[Column5]]-Table1[[#This Row],[Column3]]-Table1[[#This Row],[Column23]]</f>
        <v>120248.91044964716</v>
      </c>
      <c r="G14" s="12">
        <f>Table1[[#This Row],[Column2]]+Table1[[#This Row],[Column4]]+Table1[[#This Row],[Column5]]-Table1[[#This Row],[Column3]]-Table1[[#This Row],[Column8]]</f>
        <v>106230.74177782997</v>
      </c>
      <c r="H14" s="12">
        <f>MAX('Tax Information'!$C$15+'Data Input'!C36*'Tax Information'!$C$5,'Mortgage Sheet'!C18+Spending!N15)+'Tax Information'!$C$13*('Data Input'!C36+2)</f>
        <v>10833.667035767387</v>
      </c>
      <c r="I14" s="12">
        <f>MAX('Tax Information'!$C$6+'Data Input'!C36*'Tax Information'!$C$5,'Mortgage Sheet'!C18+Table1[[#This Row],[Column9]]+Spending!N15)+'Tax Information'!$C$4*('Data Input'!C36+2)</f>
        <v>24851.835707584571</v>
      </c>
      <c r="J14" s="7">
        <f>'Tax Information'!E37</f>
        <v>6136.1686718171859</v>
      </c>
      <c r="K14" s="7">
        <f>'Tax Information'!C37</f>
        <v>18099.935444457493</v>
      </c>
      <c r="L14" s="20">
        <f>(0.01+0.0765)*(Table1[[#This Row],[Column2]]+Table1[[#This Row],[Column4]]+Table1[[#This Row],[Column5]])</f>
        <v>11338.642952488357</v>
      </c>
      <c r="M14" s="7">
        <f>(Table1[[#This Row],[Column2]]+Table1[[#This Row],[Column4]]+Table1[[#This Row],[Column5]])</f>
        <v>131082.57748541454</v>
      </c>
      <c r="N14" s="20">
        <f>(Table1[[#This Row],[Column2]]+Table1[[#This Row],[Column4]]+Table1[[#This Row],[Column5]])-(Table1[[#This Row],[Column3]]+Table1[[#This Row],[Column9]]+Table1[[#This Row],[Column10]]+Table1[[#This Row],[Column11]])</f>
        <v>95507.830416651501</v>
      </c>
      <c r="O14" s="8">
        <f>1-(Table1[[#This Row],[Column13]]/Table1[[#This Row],[Column12]])</f>
        <v>0.27139187946408372</v>
      </c>
      <c r="P14" s="12">
        <f>P13+Table1[[#This Row],[Column3]]</f>
        <v>0</v>
      </c>
      <c r="Q14" s="7">
        <f>Table1[[#This Row],[Column12]]/12</f>
        <v>10923.548123784545</v>
      </c>
      <c r="R14" s="7">
        <f>Table1[[#This Row],[Column13]]/12</f>
        <v>7958.985868054292</v>
      </c>
      <c r="S14" s="20">
        <f>Table1[[#This Row],[Column13]]/'Data Input'!$C$3</f>
        <v>3979.492934027146</v>
      </c>
      <c r="T14" s="12">
        <f>Table1[[#This Row],[Column17]]-IF('Data Input'!$C$2+'Data Input'!$I$10&gt;Table1[[#This Row],[Column1]],'Mortgage Sheet'!B18/12,'Mortgage Sheet'!$K$2)</f>
        <v>4770.0781284218965</v>
      </c>
      <c r="U14" s="20">
        <f>Spending!R15+12*(Table1[[#This Row],[Column17]]-Table1[[#This Row],[Column19]])</f>
        <v>69436.892875588746</v>
      </c>
      <c r="V14" s="14">
        <f>Table1[[#This Row],[Column19]]-Spending!S15</f>
        <v>2172.5781284218965</v>
      </c>
      <c r="W14" s="20">
        <f>W13+12*Table1[[#This Row],[Column21]]</f>
        <v>163415.51826773802</v>
      </c>
      <c r="Y14" s="17"/>
      <c r="Z14" s="17"/>
    </row>
    <row r="15" spans="1:28">
      <c r="A15" s="17">
        <f t="shared" si="0"/>
        <v>2029</v>
      </c>
      <c r="B15" s="12">
        <f>IF('Data Input'!$C$15+'Data Input'!$C$2&gt;Table1[[#This Row],[Column1]],('Data Input'!$C$9)*(1+'Data Input'!$C$14)^(Table1[[#This Row],[Column1]]-'Data Input'!$C$2),0)</f>
        <v>133205.88058483112</v>
      </c>
      <c r="C15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5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5" s="12">
        <f>IF('Data Input'!$F$15+'Data Input'!$C$2&gt;Table1[[#This Row],[Column1]],('Data Input'!$F$9)*(1+'Data Input'!$F$14)^(Table1[[#This Row],[Column1]]-'Data Input'!$C$2),0)</f>
        <v>0</v>
      </c>
      <c r="F15" s="12">
        <f>Table1[[#This Row],[Column2]]+Table1[[#This Row],[Column4]]+Table1[[#This Row],[Column5]]-Table1[[#This Row],[Column3]]-Table1[[#This Row],[Column23]]</f>
        <v>126498.76715340161</v>
      </c>
      <c r="G15" s="12">
        <f>Table1[[#This Row],[Column2]]+Table1[[#This Row],[Column4]]+Table1[[#This Row],[Column5]]-Table1[[#This Row],[Column3]]-Table1[[#This Row],[Column8]]</f>
        <v>111899.36180813526</v>
      </c>
      <c r="H15" s="12">
        <f>MAX('Tax Information'!$C$15+'Data Input'!C37*'Tax Information'!$C$5,'Mortgage Sheet'!C19+Spending!N16)+'Tax Information'!$C$13*('Data Input'!C37+2)</f>
        <v>9707.1134314295086</v>
      </c>
      <c r="I15" s="12">
        <f>MAX('Tax Information'!$C$6+'Data Input'!C37*'Tax Information'!$C$5,'Mortgage Sheet'!C19+Table1[[#This Row],[Column9]]+Spending!N16)+'Tax Information'!$C$4*('Data Input'!C37+2)</f>
        <v>24306.518776695859</v>
      </c>
      <c r="J15" s="7">
        <f>'Tax Information'!E38</f>
        <v>6717.4053452663502</v>
      </c>
      <c r="K15" s="7">
        <f>'Tax Information'!C38</f>
        <v>19517.090452033815</v>
      </c>
      <c r="L15" s="20">
        <f>(0.01+0.0765)*(Table1[[#This Row],[Column2]]+Table1[[#This Row],[Column4]]+Table1[[#This Row],[Column5]])</f>
        <v>11781.80867058789</v>
      </c>
      <c r="M15" s="7">
        <f>(Table1[[#This Row],[Column2]]+Table1[[#This Row],[Column4]]+Table1[[#This Row],[Column5]])</f>
        <v>136205.88058483112</v>
      </c>
      <c r="N15" s="20">
        <f>(Table1[[#This Row],[Column2]]+Table1[[#This Row],[Column4]]+Table1[[#This Row],[Column5]])-(Table1[[#This Row],[Column3]]+Table1[[#This Row],[Column9]]+Table1[[#This Row],[Column10]]+Table1[[#This Row],[Column11]])</f>
        <v>98189.576116943063</v>
      </c>
      <c r="O15" s="8">
        <f>1-(Table1[[#This Row],[Column13]]/Table1[[#This Row],[Column12]])</f>
        <v>0.27910912733471094</v>
      </c>
      <c r="P15" s="12">
        <f>P14+Table1[[#This Row],[Column3]]</f>
        <v>0</v>
      </c>
      <c r="Q15" s="7">
        <f>Table1[[#This Row],[Column12]]/12</f>
        <v>11350.490048735926</v>
      </c>
      <c r="R15" s="7">
        <f>Table1[[#This Row],[Column13]]/12</f>
        <v>8182.4646764119216</v>
      </c>
      <c r="S15" s="20">
        <f>Table1[[#This Row],[Column13]]/'Data Input'!$C$3</f>
        <v>4091.2323382059608</v>
      </c>
      <c r="T15" s="12">
        <f>Table1[[#This Row],[Column17]]-IF('Data Input'!$C$2+'Data Input'!$I$10&gt;Table1[[#This Row],[Column1]],'Mortgage Sheet'!B19/12,'Mortgage Sheet'!$K$2)</f>
        <v>4993.556936779526</v>
      </c>
      <c r="U15" s="20">
        <f>Spending!R16+12*(Table1[[#This Row],[Column17]]-Table1[[#This Row],[Column19]])</f>
        <v>69436.892875588746</v>
      </c>
      <c r="V15" s="15">
        <f>Table1[[#This Row],[Column19]]-Spending!S16</f>
        <v>2396.056936779526</v>
      </c>
      <c r="W15" s="20">
        <f>W14+12*Table1[[#This Row],[Column21]]</f>
        <v>192168.20150909232</v>
      </c>
      <c r="Z15" s="17"/>
    </row>
    <row r="16" spans="1:28">
      <c r="A16" s="17">
        <f t="shared" si="0"/>
        <v>2030</v>
      </c>
      <c r="B16" s="12">
        <f>IF('Data Input'!$C$15+'Data Input'!$C$2&gt;Table1[[#This Row],[Column1]],('Data Input'!$C$9)*(1+'Data Input'!$C$14)^(Table1[[#This Row],[Column1]]-'Data Input'!$C$2),0)</f>
        <v>138534.11580822436</v>
      </c>
      <c r="C16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6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6" s="12">
        <f>IF('Data Input'!$F$15+'Data Input'!$C$2&gt;Table1[[#This Row],[Column1]],('Data Input'!$F$9)*(1+'Data Input'!$F$14)^(Table1[[#This Row],[Column1]]-'Data Input'!$C$2),0)</f>
        <v>0</v>
      </c>
      <c r="F16" s="12">
        <f>Table1[[#This Row],[Column2]]+Table1[[#This Row],[Column4]]+Table1[[#This Row],[Column5]]-Table1[[#This Row],[Column3]]-Table1[[#This Row],[Column23]]</f>
        <v>132999.45351315531</v>
      </c>
      <c r="G16" s="12">
        <f>Table1[[#This Row],[Column2]]+Table1[[#This Row],[Column4]]+Table1[[#This Row],[Column5]]-Table1[[#This Row],[Column3]]-Table1[[#This Row],[Column8]]</f>
        <v>117795.48433643187</v>
      </c>
      <c r="H16" s="12">
        <f>MAX('Tax Information'!$C$15+'Data Input'!C38*'Tax Information'!$C$5,'Mortgage Sheet'!C20+Spending!N17)+'Tax Information'!$C$13*('Data Input'!C38+2)</f>
        <v>8534.6622950690544</v>
      </c>
      <c r="I16" s="12">
        <f>MAX('Tax Information'!$C$6+'Data Input'!C38*'Tax Information'!$C$5,'Mortgage Sheet'!C20+Table1[[#This Row],[Column9]]+Spending!N17)+'Tax Information'!$C$4*('Data Input'!C38+2)</f>
        <v>23738.631471792498</v>
      </c>
      <c r="J16" s="7">
        <f>'Tax Information'!E39</f>
        <v>7321.9691767234444</v>
      </c>
      <c r="K16" s="7">
        <f>'Tax Information'!C39</f>
        <v>20991.121084107966</v>
      </c>
      <c r="L16" s="20">
        <f>(0.01+0.0765)*(Table1[[#This Row],[Column2]]+Table1[[#This Row],[Column4]]+Table1[[#This Row],[Column5]])</f>
        <v>12242.701017411406</v>
      </c>
      <c r="M16" s="7">
        <f>(Table1[[#This Row],[Column2]]+Table1[[#This Row],[Column4]]+Table1[[#This Row],[Column5]])</f>
        <v>141534.11580822436</v>
      </c>
      <c r="N16" s="20">
        <f>(Table1[[#This Row],[Column2]]+Table1[[#This Row],[Column4]]+Table1[[#This Row],[Column5]])-(Table1[[#This Row],[Column3]]+Table1[[#This Row],[Column9]]+Table1[[#This Row],[Column10]]+Table1[[#This Row],[Column11]])</f>
        <v>100978.32452998155</v>
      </c>
      <c r="O16" s="8">
        <f>1-(Table1[[#This Row],[Column13]]/Table1[[#This Row],[Column12]])</f>
        <v>0.28654427977771113</v>
      </c>
      <c r="P16" s="12">
        <f>P15+Table1[[#This Row],[Column3]]</f>
        <v>0</v>
      </c>
      <c r="Q16" s="7">
        <f>Table1[[#This Row],[Column12]]/12</f>
        <v>11794.509650685364</v>
      </c>
      <c r="R16" s="7">
        <f>Table1[[#This Row],[Column13]]/12</f>
        <v>8414.8603774984622</v>
      </c>
      <c r="S16" s="20">
        <f>Table1[[#This Row],[Column13]]/'Data Input'!$C$3</f>
        <v>4207.4301887492311</v>
      </c>
      <c r="T16" s="12">
        <f>Table1[[#This Row],[Column17]]-IF('Data Input'!$C$2+'Data Input'!$I$10&gt;Table1[[#This Row],[Column1]],'Mortgage Sheet'!B20/12,'Mortgage Sheet'!$K$2)</f>
        <v>5225.9526378660667</v>
      </c>
      <c r="U16" s="20">
        <f>Spending!R17+12*(Table1[[#This Row],[Column17]]-Table1[[#This Row],[Column19]])</f>
        <v>69436.892875588746</v>
      </c>
      <c r="V16" s="14">
        <f>Table1[[#This Row],[Column19]]-Spending!S17</f>
        <v>2628.4526378660667</v>
      </c>
      <c r="W16" s="20">
        <f>W15+12*Table1[[#This Row],[Column21]]</f>
        <v>223709.63316348512</v>
      </c>
    </row>
    <row r="17" spans="1:31">
      <c r="A17" s="17">
        <f t="shared" si="0"/>
        <v>2031</v>
      </c>
      <c r="B17" s="12">
        <f>IF('Data Input'!$C$15+'Data Input'!$C$2&gt;Table1[[#This Row],[Column1]],('Data Input'!$C$9)*(1+'Data Input'!$C$14)^(Table1[[#This Row],[Column1]]-'Data Input'!$C$2),0)</f>
        <v>144075.48044055334</v>
      </c>
      <c r="C17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7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7" s="12">
        <f>IF('Data Input'!$F$15+'Data Input'!$C$2&gt;Table1[[#This Row],[Column1]],('Data Input'!$F$9)*(1+'Data Input'!$F$14)^(Table1[[#This Row],[Column1]]-'Data Input'!$C$2),0)</f>
        <v>0</v>
      </c>
      <c r="F17" s="12">
        <f>Table1[[#This Row],[Column2]]+Table1[[#This Row],[Column4]]+Table1[[#This Row],[Column5]]-Table1[[#This Row],[Column3]]-Table1[[#This Row],[Column23]]</f>
        <v>138769.48044055334</v>
      </c>
      <c r="G17" s="12">
        <f>Table1[[#This Row],[Column2]]+Table1[[#This Row],[Column4]]+Table1[[#This Row],[Column5]]-Table1[[#This Row],[Column3]]-Table1[[#This Row],[Column8]]</f>
        <v>123916.89875958188</v>
      </c>
      <c r="H17" s="12">
        <f>MAX('Tax Information'!$C$15+'Data Input'!C39*'Tax Information'!$C$5,'Mortgage Sheet'!C21+Spending!N18)+'Tax Information'!$C$13*('Data Input'!C39+2)</f>
        <v>8306</v>
      </c>
      <c r="I17" s="12">
        <f>MAX('Tax Information'!$C$6+'Data Input'!C39*'Tax Information'!$C$5,'Mortgage Sheet'!C21+Table1[[#This Row],[Column9]]+Spending!N18)+'Tax Information'!$C$4*('Data Input'!C39+2)</f>
        <v>23158.58168097146</v>
      </c>
      <c r="J17" s="7">
        <f>'Tax Information'!E40</f>
        <v>7858.5816809714606</v>
      </c>
      <c r="K17" s="7">
        <f>'Tax Information'!C40</f>
        <v>22521.474689895469</v>
      </c>
      <c r="L17" s="20">
        <f>(0.01+0.0765)*(Table1[[#This Row],[Column2]]+Table1[[#This Row],[Column4]]+Table1[[#This Row],[Column5]])</f>
        <v>12722.029058107863</v>
      </c>
      <c r="M17" s="7">
        <f>(Table1[[#This Row],[Column2]]+Table1[[#This Row],[Column4]]+Table1[[#This Row],[Column5]])</f>
        <v>147075.48044055334</v>
      </c>
      <c r="N17" s="20">
        <f>(Table1[[#This Row],[Column2]]+Table1[[#This Row],[Column4]]+Table1[[#This Row],[Column5]])-(Table1[[#This Row],[Column3]]+Table1[[#This Row],[Column9]]+Table1[[#This Row],[Column10]]+Table1[[#This Row],[Column11]])</f>
        <v>103973.39501157854</v>
      </c>
      <c r="O17" s="8">
        <f>1-(Table1[[#This Row],[Column13]]/Table1[[#This Row],[Column12]])</f>
        <v>0.29306098677948089</v>
      </c>
      <c r="P17" s="12">
        <f>P16+Table1[[#This Row],[Column3]]</f>
        <v>0</v>
      </c>
      <c r="Q17" s="7">
        <f>Table1[[#This Row],[Column12]]/12</f>
        <v>12256.290036712779</v>
      </c>
      <c r="R17" s="7">
        <f>Table1[[#This Row],[Column13]]/12</f>
        <v>8664.4495842982124</v>
      </c>
      <c r="S17" s="20">
        <f>Table1[[#This Row],[Column13]]/'Data Input'!$C$3</f>
        <v>4332.2247921491062</v>
      </c>
      <c r="T17" s="12">
        <f>Table1[[#This Row],[Column17]]-IF('Data Input'!$C$2+'Data Input'!$I$10&gt;Table1[[#This Row],[Column1]],'Mortgage Sheet'!B21/12,'Mortgage Sheet'!$K$2)</f>
        <v>8064.4495842982124</v>
      </c>
      <c r="U17" s="20">
        <f>Spending!R18+12*(Table1[[#This Row],[Column17]]-Table1[[#This Row],[Column19]])</f>
        <v>38370</v>
      </c>
      <c r="V17" s="15">
        <f>Table1[[#This Row],[Column19]]-Spending!S18</f>
        <v>5466.9495842982124</v>
      </c>
      <c r="W17" s="20">
        <f>W16+12*Table1[[#This Row],[Column21]]</f>
        <v>289313.02817506366</v>
      </c>
    </row>
    <row r="18" spans="1:31">
      <c r="A18" s="17">
        <f t="shared" si="0"/>
        <v>2032</v>
      </c>
      <c r="B18" s="12">
        <f>IF('Data Input'!$C$15+'Data Input'!$C$2&gt;Table1[[#This Row],[Column1]],('Data Input'!$C$9)*(1+'Data Input'!$C$14)^(Table1[[#This Row],[Column1]]-'Data Input'!$C$2),0)</f>
        <v>149838.49965817551</v>
      </c>
      <c r="C18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8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8" s="12">
        <f>IF('Data Input'!$F$15+'Data Input'!$C$2&gt;Table1[[#This Row],[Column1]],('Data Input'!$F$9)*(1+'Data Input'!$F$14)^(Table1[[#This Row],[Column1]]-'Data Input'!$C$2),0)</f>
        <v>0</v>
      </c>
      <c r="F18" s="12">
        <f>Table1[[#This Row],[Column2]]+Table1[[#This Row],[Column4]]+Table1[[#This Row],[Column5]]-Table1[[#This Row],[Column3]]-Table1[[#This Row],[Column23]]</f>
        <v>144532.49965817551</v>
      </c>
      <c r="G18" s="12">
        <f>Table1[[#This Row],[Column2]]+Table1[[#This Row],[Column4]]+Table1[[#This Row],[Column5]]-Table1[[#This Row],[Column3]]-Table1[[#This Row],[Column8]]</f>
        <v>129143.95718996519</v>
      </c>
      <c r="H18" s="12">
        <f>MAX('Tax Information'!$C$15+'Data Input'!C40*'Tax Information'!$C$5,'Mortgage Sheet'!C22+Spending!N19)+'Tax Information'!$C$13*('Data Input'!C40+2)</f>
        <v>8306</v>
      </c>
      <c r="I18" s="12">
        <f>MAX('Tax Information'!$C$6+'Data Input'!C40*'Tax Information'!$C$5,'Mortgage Sheet'!C22+Table1[[#This Row],[Column9]]+Spending!N19)+'Tax Information'!$C$4*('Data Input'!C40+2)</f>
        <v>23694.542468210322</v>
      </c>
      <c r="J18" s="7">
        <f>'Tax Information'!E41</f>
        <v>8394.5424682103221</v>
      </c>
      <c r="K18" s="7">
        <f>'Tax Information'!C41</f>
        <v>23828.239297491298</v>
      </c>
      <c r="L18" s="20">
        <f>(0.01+0.0765)*(Table1[[#This Row],[Column2]]+Table1[[#This Row],[Column4]]+Table1[[#This Row],[Column5]])</f>
        <v>13220.530220432182</v>
      </c>
      <c r="M18" s="7">
        <f>(Table1[[#This Row],[Column2]]+Table1[[#This Row],[Column4]]+Table1[[#This Row],[Column5]])</f>
        <v>152838.49965817551</v>
      </c>
      <c r="N18" s="20">
        <f>(Table1[[#This Row],[Column2]]+Table1[[#This Row],[Column4]]+Table1[[#This Row],[Column5]])-(Table1[[#This Row],[Column3]]+Table1[[#This Row],[Column9]]+Table1[[#This Row],[Column10]]+Table1[[#This Row],[Column11]])</f>
        <v>107395.18767204171</v>
      </c>
      <c r="O18" s="8">
        <f>1-(Table1[[#This Row],[Column13]]/Table1[[#This Row],[Column12]])</f>
        <v>0.29732895891917366</v>
      </c>
      <c r="P18" s="12">
        <f>P17+Table1[[#This Row],[Column3]]</f>
        <v>0</v>
      </c>
      <c r="Q18" s="7">
        <f>Table1[[#This Row],[Column12]]/12</f>
        <v>12736.541638181292</v>
      </c>
      <c r="R18" s="7">
        <f>Table1[[#This Row],[Column13]]/12</f>
        <v>8949.5989726701428</v>
      </c>
      <c r="S18" s="20">
        <f>Table1[[#This Row],[Column13]]/'Data Input'!$C$3</f>
        <v>4474.7994863350714</v>
      </c>
      <c r="T18" s="12">
        <f>Table1[[#This Row],[Column17]]-IF('Data Input'!$C$2+'Data Input'!$I$10&gt;Table1[[#This Row],[Column1]],'Mortgage Sheet'!B22/12,'Mortgage Sheet'!$K$2)</f>
        <v>8349.5989726701428</v>
      </c>
      <c r="U18" s="20">
        <f>Spending!R19+12*(Table1[[#This Row],[Column17]]-Table1[[#This Row],[Column19]])</f>
        <v>38370</v>
      </c>
      <c r="V18" s="14">
        <f>Table1[[#This Row],[Column19]]-Spending!S19</f>
        <v>5752.0989726701428</v>
      </c>
      <c r="W18" s="20">
        <f>W17+12*Table1[[#This Row],[Column21]]</f>
        <v>358338.21584710537</v>
      </c>
    </row>
    <row r="19" spans="1:31">
      <c r="A19" s="17">
        <f t="shared" si="0"/>
        <v>2033</v>
      </c>
      <c r="B19" s="12">
        <f>IF('Data Input'!$C$15+'Data Input'!$C$2&gt;Table1[[#This Row],[Column1]],('Data Input'!$C$9)*(1+'Data Input'!$C$14)^(Table1[[#This Row],[Column1]]-'Data Input'!$C$2),0)</f>
        <v>155832.03964450251</v>
      </c>
      <c r="C19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19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19" s="12">
        <f>IF('Data Input'!$F$15+'Data Input'!$C$2&gt;Table1[[#This Row],[Column1]],('Data Input'!$F$9)*(1+'Data Input'!$F$14)^(Table1[[#This Row],[Column1]]-'Data Input'!$C$2),0)</f>
        <v>0</v>
      </c>
      <c r="F19" s="12">
        <f>Table1[[#This Row],[Column2]]+Table1[[#This Row],[Column4]]+Table1[[#This Row],[Column5]]-Table1[[#This Row],[Column3]]-Table1[[#This Row],[Column23]]</f>
        <v>150526.03964450251</v>
      </c>
      <c r="G19" s="12">
        <f>Table1[[#This Row],[Column2]]+Table1[[#This Row],[Column4]]+Table1[[#This Row],[Column5]]-Table1[[#This Row],[Column3]]-Table1[[#This Row],[Column8]]</f>
        <v>134580.09795756376</v>
      </c>
      <c r="H19" s="12">
        <f>MAX('Tax Information'!$C$15+'Data Input'!C41*'Tax Information'!$C$5,'Mortgage Sheet'!C23+Spending!N20)+'Tax Information'!$C$13*('Data Input'!C41+2)</f>
        <v>8306</v>
      </c>
      <c r="I19" s="12">
        <f>MAX('Tax Information'!$C$6+'Data Input'!C41*'Tax Information'!$C$5,'Mortgage Sheet'!C23+Table1[[#This Row],[Column9]]+Spending!N20)+'Tax Information'!$C$4*('Data Input'!C41+2)</f>
        <v>24251.941686938735</v>
      </c>
      <c r="J19" s="7">
        <f>'Tax Information'!E42</f>
        <v>8951.9416869387351</v>
      </c>
      <c r="K19" s="7">
        <f>'Tax Information'!C42</f>
        <v>25187.27448939094</v>
      </c>
      <c r="L19" s="20">
        <f>(0.01+0.0765)*(Table1[[#This Row],[Column2]]+Table1[[#This Row],[Column4]]+Table1[[#This Row],[Column5]])</f>
        <v>13738.971429249466</v>
      </c>
      <c r="M19" s="7">
        <f>(Table1[[#This Row],[Column2]]+Table1[[#This Row],[Column4]]+Table1[[#This Row],[Column5]])</f>
        <v>158832.03964450251</v>
      </c>
      <c r="N19" s="20">
        <f>(Table1[[#This Row],[Column2]]+Table1[[#This Row],[Column4]]+Table1[[#This Row],[Column5]])-(Table1[[#This Row],[Column3]]+Table1[[#This Row],[Column9]]+Table1[[#This Row],[Column10]]+Table1[[#This Row],[Column11]])</f>
        <v>110953.85203892336</v>
      </c>
      <c r="O19" s="8">
        <f>1-(Table1[[#This Row],[Column13]]/Table1[[#This Row],[Column12]])</f>
        <v>0.30143910329893131</v>
      </c>
      <c r="P19" s="12">
        <f>P18+Table1[[#This Row],[Column3]]</f>
        <v>0</v>
      </c>
      <c r="Q19" s="7">
        <f>Table1[[#This Row],[Column12]]/12</f>
        <v>13236.003303708543</v>
      </c>
      <c r="R19" s="7">
        <f>Table1[[#This Row],[Column13]]/12</f>
        <v>9246.1543365769467</v>
      </c>
      <c r="S19" s="20">
        <f>Table1[[#This Row],[Column13]]/'Data Input'!$C$3</f>
        <v>4623.0771682884733</v>
      </c>
      <c r="T19" s="12">
        <f>Table1[[#This Row],[Column17]]-IF('Data Input'!$C$2+'Data Input'!$I$10&gt;Table1[[#This Row],[Column1]],'Mortgage Sheet'!B23/12,'Mortgage Sheet'!$K$2)</f>
        <v>8646.1543365769467</v>
      </c>
      <c r="U19" s="20">
        <f>Spending!R20+12*(Table1[[#This Row],[Column17]]-Table1[[#This Row],[Column19]])</f>
        <v>38370</v>
      </c>
      <c r="V19" s="15">
        <f>Table1[[#This Row],[Column19]]-Spending!S20</f>
        <v>6048.6543365769467</v>
      </c>
      <c r="W19" s="20">
        <f>W18+12*Table1[[#This Row],[Column21]]</f>
        <v>430922.06788602873</v>
      </c>
      <c r="AB19" s="18"/>
      <c r="AE19" s="20"/>
    </row>
    <row r="20" spans="1:31">
      <c r="A20" s="17">
        <f t="shared" si="0"/>
        <v>2034</v>
      </c>
      <c r="B20" s="12">
        <f>IF('Data Input'!$C$15+'Data Input'!$C$2&gt;Table1[[#This Row],[Column1]],('Data Input'!$C$9)*(1+'Data Input'!$C$14)^(Table1[[#This Row],[Column1]]-'Data Input'!$C$2),0)</f>
        <v>162065.32123028263</v>
      </c>
      <c r="C20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0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0" s="12">
        <f>IF('Data Input'!$F$15+'Data Input'!$C$2&gt;Table1[[#This Row],[Column1]],('Data Input'!$F$9)*(1+'Data Input'!$F$14)^(Table1[[#This Row],[Column1]]-'Data Input'!$C$2),0)</f>
        <v>0</v>
      </c>
      <c r="F20" s="12">
        <f>Table1[[#This Row],[Column2]]+Table1[[#This Row],[Column4]]+Table1[[#This Row],[Column5]]-Table1[[#This Row],[Column3]]-Table1[[#This Row],[Column23]]</f>
        <v>156759.32123028263</v>
      </c>
      <c r="G20" s="12">
        <f>Table1[[#This Row],[Column2]]+Table1[[#This Row],[Column4]]+Table1[[#This Row],[Column5]]-Table1[[#This Row],[Column3]]-Table1[[#This Row],[Column8]]</f>
        <v>140233.68435586634</v>
      </c>
      <c r="H20" s="12">
        <f>MAX('Tax Information'!$C$15+'Data Input'!C42*'Tax Information'!$C$5,'Mortgage Sheet'!C24+Spending!N21)+'Tax Information'!$C$13*('Data Input'!C42+2)</f>
        <v>8306</v>
      </c>
      <c r="I20" s="12">
        <f>MAX('Tax Information'!$C$6+'Data Input'!C42*'Tax Information'!$C$5,'Mortgage Sheet'!C24+Table1[[#This Row],[Column9]]+Spending!N21)+'Tax Information'!$C$4*('Data Input'!C42+2)</f>
        <v>24831.636874416283</v>
      </c>
      <c r="J20" s="7">
        <f>'Tax Information'!E43</f>
        <v>9531.6368744162846</v>
      </c>
      <c r="K20" s="7">
        <f>'Tax Information'!C43</f>
        <v>26600.671088966585</v>
      </c>
      <c r="L20" s="20">
        <f>(0.01+0.0765)*(Table1[[#This Row],[Column2]]+Table1[[#This Row],[Column4]]+Table1[[#This Row],[Column5]])</f>
        <v>14278.150286419446</v>
      </c>
      <c r="M20" s="7">
        <f>(Table1[[#This Row],[Column2]]+Table1[[#This Row],[Column4]]+Table1[[#This Row],[Column5]])</f>
        <v>165065.32123028263</v>
      </c>
      <c r="N20" s="20">
        <f>(Table1[[#This Row],[Column2]]+Table1[[#This Row],[Column4]]+Table1[[#This Row],[Column5]])-(Table1[[#This Row],[Column3]]+Table1[[#This Row],[Column9]]+Table1[[#This Row],[Column10]]+Table1[[#This Row],[Column11]])</f>
        <v>114654.86298048031</v>
      </c>
      <c r="O20" s="8">
        <f>1-(Table1[[#This Row],[Column13]]/Table1[[#This Row],[Column12]])</f>
        <v>0.30539702630496623</v>
      </c>
      <c r="P20" s="12">
        <f>P19+Table1[[#This Row],[Column3]]</f>
        <v>0</v>
      </c>
      <c r="Q20" s="7">
        <f>Table1[[#This Row],[Column12]]/12</f>
        <v>13755.443435856885</v>
      </c>
      <c r="R20" s="7">
        <f>Table1[[#This Row],[Column13]]/12</f>
        <v>9554.5719150400255</v>
      </c>
      <c r="S20" s="20">
        <f>Table1[[#This Row],[Column13]]/'Data Input'!$C$3</f>
        <v>4777.2859575200127</v>
      </c>
      <c r="T20" s="12">
        <f>Table1[[#This Row],[Column17]]-IF('Data Input'!$C$2+'Data Input'!$I$10&gt;Table1[[#This Row],[Column1]],'Mortgage Sheet'!B24/12,'Mortgage Sheet'!$K$2)</f>
        <v>8954.5719150400255</v>
      </c>
      <c r="U20" s="20">
        <f>Spending!R21+12*(Table1[[#This Row],[Column17]]-Table1[[#This Row],[Column19]])</f>
        <v>38370</v>
      </c>
      <c r="V20" s="14">
        <f>Table1[[#This Row],[Column19]]-Spending!S21</f>
        <v>6357.0719150400255</v>
      </c>
      <c r="W20" s="20">
        <f>W19+12*Table1[[#This Row],[Column21]]</f>
        <v>507206.93086650904</v>
      </c>
    </row>
    <row r="21" spans="1:31">
      <c r="A21" s="17">
        <f t="shared" si="0"/>
        <v>2035</v>
      </c>
      <c r="B21" s="12">
        <f>IF('Data Input'!$C$15+'Data Input'!$C$2&gt;Table1[[#This Row],[Column1]],('Data Input'!$C$9)*(1+'Data Input'!$C$14)^(Table1[[#This Row],[Column1]]-'Data Input'!$C$2),0)</f>
        <v>168547.93407949395</v>
      </c>
      <c r="C21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1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1" s="12">
        <f>IF('Data Input'!$F$15+'Data Input'!$C$2&gt;Table1[[#This Row],[Column1]],('Data Input'!$F$9)*(1+'Data Input'!$F$14)^(Table1[[#This Row],[Column1]]-'Data Input'!$C$2),0)</f>
        <v>0</v>
      </c>
      <c r="F21" s="12">
        <f>Table1[[#This Row],[Column2]]+Table1[[#This Row],[Column4]]+Table1[[#This Row],[Column5]]-Table1[[#This Row],[Column3]]-Table1[[#This Row],[Column23]]</f>
        <v>163241.93407949395</v>
      </c>
      <c r="G21" s="12">
        <f>Table1[[#This Row],[Column2]]+Table1[[#This Row],[Column4]]+Table1[[#This Row],[Column5]]-Table1[[#This Row],[Column3]]-Table1[[#This Row],[Column8]]</f>
        <v>146113.41421010101</v>
      </c>
      <c r="H21" s="12">
        <f>MAX('Tax Information'!$C$15+'Data Input'!C43*'Tax Information'!$C$5,'Mortgage Sheet'!C25+Spending!N22)+'Tax Information'!$C$13*('Data Input'!C43+2)</f>
        <v>8306</v>
      </c>
      <c r="I21" s="12">
        <f>MAX('Tax Information'!$C$6+'Data Input'!C43*'Tax Information'!$C$5,'Mortgage Sheet'!C25+Table1[[#This Row],[Column9]]+Spending!N22)+'Tax Information'!$C$4*('Data Input'!C43+2)</f>
        <v>25434.519869392938</v>
      </c>
      <c r="J21" s="7">
        <f>'Tax Information'!E44</f>
        <v>10134.519869392938</v>
      </c>
      <c r="K21" s="7">
        <f>'Tax Information'!C44</f>
        <v>28070.603552525252</v>
      </c>
      <c r="L21" s="20">
        <f>(0.01+0.0765)*(Table1[[#This Row],[Column2]]+Table1[[#This Row],[Column4]]+Table1[[#This Row],[Column5]])</f>
        <v>14838.896297876225</v>
      </c>
      <c r="M21" s="7">
        <f>(Table1[[#This Row],[Column2]]+Table1[[#This Row],[Column4]]+Table1[[#This Row],[Column5]])</f>
        <v>171547.93407949395</v>
      </c>
      <c r="N21" s="20">
        <f>(Table1[[#This Row],[Column2]]+Table1[[#This Row],[Column4]]+Table1[[#This Row],[Column5]])-(Table1[[#This Row],[Column3]]+Table1[[#This Row],[Column9]]+Table1[[#This Row],[Column10]]+Table1[[#This Row],[Column11]])</f>
        <v>118503.91435969953</v>
      </c>
      <c r="O21" s="8">
        <f>1-(Table1[[#This Row],[Column13]]/Table1[[#This Row],[Column12]])</f>
        <v>0.30920815225448439</v>
      </c>
      <c r="P21" s="12">
        <f>P20+Table1[[#This Row],[Column3]]</f>
        <v>0</v>
      </c>
      <c r="Q21" s="7">
        <f>Table1[[#This Row],[Column12]]/12</f>
        <v>14295.661173291162</v>
      </c>
      <c r="R21" s="7">
        <f>Table1[[#This Row],[Column13]]/12</f>
        <v>9875.3261966416267</v>
      </c>
      <c r="S21" s="20">
        <f>Table1[[#This Row],[Column13]]/'Data Input'!$C$3</f>
        <v>4937.6630983208133</v>
      </c>
      <c r="T21" s="12">
        <f>Table1[[#This Row],[Column17]]-IF('Data Input'!$C$2+'Data Input'!$I$10&gt;Table1[[#This Row],[Column1]],'Mortgage Sheet'!B25/12,'Mortgage Sheet'!$K$2)</f>
        <v>9275.3261966416267</v>
      </c>
      <c r="U21" s="20">
        <f>Spending!R22+12*(Table1[[#This Row],[Column17]]-Table1[[#This Row],[Column19]])</f>
        <v>38370</v>
      </c>
      <c r="V21" s="15">
        <f>Table1[[#This Row],[Column19]]-Spending!S22</f>
        <v>6677.8261966416267</v>
      </c>
      <c r="W21" s="20">
        <f>W20+12*Table1[[#This Row],[Column21]]</f>
        <v>587340.84522620856</v>
      </c>
    </row>
    <row r="22" spans="1:31">
      <c r="A22" s="17">
        <f t="shared" si="0"/>
        <v>2036</v>
      </c>
      <c r="B22" s="12">
        <f>IF('Data Input'!$C$15+'Data Input'!$C$2&gt;Table1[[#This Row],[Column1]],('Data Input'!$C$9)*(1+'Data Input'!$C$14)^(Table1[[#This Row],[Column1]]-'Data Input'!$C$2),0)</f>
        <v>175289.85144267371</v>
      </c>
      <c r="C22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2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2" s="12">
        <f>IF('Data Input'!$F$15+'Data Input'!$C$2&gt;Table1[[#This Row],[Column1]],('Data Input'!$F$9)*(1+'Data Input'!$F$14)^(Table1[[#This Row],[Column1]]-'Data Input'!$C$2),0)</f>
        <v>0</v>
      </c>
      <c r="F22" s="12">
        <f>Table1[[#This Row],[Column2]]+Table1[[#This Row],[Column4]]+Table1[[#This Row],[Column5]]-Table1[[#This Row],[Column3]]-Table1[[#This Row],[Column23]]</f>
        <v>169983.85144267371</v>
      </c>
      <c r="G22" s="12">
        <f>Table1[[#This Row],[Column2]]+Table1[[#This Row],[Column4]]+Table1[[#This Row],[Column5]]-Table1[[#This Row],[Column3]]-Table1[[#This Row],[Column8]]</f>
        <v>152228.33325850504</v>
      </c>
      <c r="H22" s="12">
        <f>MAX('Tax Information'!$C$15+'Data Input'!C44*'Tax Information'!$C$5,'Mortgage Sheet'!C26+Spending!N23)+'Tax Information'!$C$13*('Data Input'!C44+2)</f>
        <v>8306</v>
      </c>
      <c r="I22" s="12">
        <f>MAX('Tax Information'!$C$6+'Data Input'!C44*'Tax Information'!$C$5,'Mortgage Sheet'!C26+Table1[[#This Row],[Column9]]+Spending!N23)+'Tax Information'!$C$4*('Data Input'!C44+2)</f>
        <v>26061.518184168657</v>
      </c>
      <c r="J22" s="7">
        <f>'Tax Information'!E45</f>
        <v>10761.518184168655</v>
      </c>
      <c r="K22" s="7">
        <f>'Tax Information'!C45</f>
        <v>29609.153312381412</v>
      </c>
      <c r="L22" s="20">
        <f>(0.01+0.0765)*(Table1[[#This Row],[Column2]]+Table1[[#This Row],[Column4]]+Table1[[#This Row],[Column5]])</f>
        <v>15422.072149791275</v>
      </c>
      <c r="M22" s="7">
        <f>(Table1[[#This Row],[Column2]]+Table1[[#This Row],[Column4]]+Table1[[#This Row],[Column5]])</f>
        <v>178289.85144267371</v>
      </c>
      <c r="N22" s="20">
        <f>(Table1[[#This Row],[Column2]]+Table1[[#This Row],[Column4]]+Table1[[#This Row],[Column5]])-(Table1[[#This Row],[Column3]]+Table1[[#This Row],[Column9]]+Table1[[#This Row],[Column10]]+Table1[[#This Row],[Column11]])</f>
        <v>122497.10779633236</v>
      </c>
      <c r="O22" s="8">
        <f>1-(Table1[[#This Row],[Column13]]/Table1[[#This Row],[Column12]])</f>
        <v>0.31293280685850267</v>
      </c>
      <c r="P22" s="12">
        <f>P21+Table1[[#This Row],[Column3]]</f>
        <v>0</v>
      </c>
      <c r="Q22" s="7">
        <f>Table1[[#This Row],[Column12]]/12</f>
        <v>14857.48762022281</v>
      </c>
      <c r="R22" s="7">
        <f>Table1[[#This Row],[Column13]]/12</f>
        <v>10208.09231636103</v>
      </c>
      <c r="S22" s="20">
        <f>Table1[[#This Row],[Column13]]/'Data Input'!$C$3</f>
        <v>5104.0461581805148</v>
      </c>
      <c r="T22" s="12">
        <f>Table1[[#This Row],[Column17]]-IF('Data Input'!$C$2+'Data Input'!$I$10&gt;Table1[[#This Row],[Column1]],'Mortgage Sheet'!B26/12,'Mortgage Sheet'!$K$2)</f>
        <v>9608.0923163610296</v>
      </c>
      <c r="U22" s="20">
        <f>Spending!R23+12*(Table1[[#This Row],[Column17]]-Table1[[#This Row],[Column19]])</f>
        <v>38370</v>
      </c>
      <c r="V22" s="14">
        <f>Table1[[#This Row],[Column19]]-Spending!S23</f>
        <v>7010.5923163610296</v>
      </c>
      <c r="W22" s="20">
        <f>W21+12*Table1[[#This Row],[Column21]]</f>
        <v>671467.9530225409</v>
      </c>
    </row>
    <row r="23" spans="1:31">
      <c r="A23" s="17">
        <f t="shared" si="0"/>
        <v>2037</v>
      </c>
      <c r="B23" s="12">
        <f>IF('Data Input'!$C$15+'Data Input'!$C$2&gt;Table1[[#This Row],[Column1]],('Data Input'!$C$9)*(1+'Data Input'!$C$14)^(Table1[[#This Row],[Column1]]-'Data Input'!$C$2),0)</f>
        <v>182301.44550038071</v>
      </c>
      <c r="C23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3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3" s="12">
        <f>IF('Data Input'!$F$15+'Data Input'!$C$2&gt;Table1[[#This Row],[Column1]],('Data Input'!$F$9)*(1+'Data Input'!$F$14)^(Table1[[#This Row],[Column1]]-'Data Input'!$C$2),0)</f>
        <v>0</v>
      </c>
      <c r="F23" s="12">
        <f>Table1[[#This Row],[Column2]]+Table1[[#This Row],[Column4]]+Table1[[#This Row],[Column5]]-Table1[[#This Row],[Column3]]-Table1[[#This Row],[Column23]]</f>
        <v>176995.44550038071</v>
      </c>
      <c r="G23" s="12">
        <f>Table1[[#This Row],[Column2]]+Table1[[#This Row],[Column4]]+Table1[[#This Row],[Column5]]-Table1[[#This Row],[Column3]]-Table1[[#This Row],[Column8]]</f>
        <v>158587.8490688453</v>
      </c>
      <c r="H23" s="12">
        <f>MAX('Tax Information'!$C$15+'Data Input'!C45*'Tax Information'!$C$5,'Mortgage Sheet'!C27+Spending!N24)+'Tax Information'!$C$13*('Data Input'!C45+2)</f>
        <v>8306</v>
      </c>
      <c r="I23" s="12">
        <f>MAX('Tax Information'!$C$6+'Data Input'!C45*'Tax Information'!$C$5,'Mortgage Sheet'!C27+Table1[[#This Row],[Column9]]+Spending!N24)+'Tax Information'!$C$4*('Data Input'!C45+2)</f>
        <v>26713.596431535407</v>
      </c>
      <c r="J23" s="7">
        <f>'Tax Information'!E46</f>
        <v>11413.596431535407</v>
      </c>
      <c r="K23" s="7">
        <f>'Tax Information'!C46</f>
        <v>31389.817739276685</v>
      </c>
      <c r="L23" s="20">
        <f>(0.01+0.0765)*(Table1[[#This Row],[Column2]]+Table1[[#This Row],[Column4]]+Table1[[#This Row],[Column5]])</f>
        <v>16028.575035782929</v>
      </c>
      <c r="M23" s="7">
        <f>(Table1[[#This Row],[Column2]]+Table1[[#This Row],[Column4]]+Table1[[#This Row],[Column5]])</f>
        <v>185301.44550038071</v>
      </c>
      <c r="N23" s="20">
        <f>(Table1[[#This Row],[Column2]]+Table1[[#This Row],[Column4]]+Table1[[#This Row],[Column5]])-(Table1[[#This Row],[Column3]]+Table1[[#This Row],[Column9]]+Table1[[#This Row],[Column10]]+Table1[[#This Row],[Column11]])</f>
        <v>126469.45629378568</v>
      </c>
      <c r="O23" s="8">
        <f>1-(Table1[[#This Row],[Column13]]/Table1[[#This Row],[Column12]])</f>
        <v>0.31749341753771776</v>
      </c>
      <c r="P23" s="12">
        <f>P22+Table1[[#This Row],[Column3]]</f>
        <v>0</v>
      </c>
      <c r="Q23" s="7">
        <f>Table1[[#This Row],[Column12]]/12</f>
        <v>15441.787125031726</v>
      </c>
      <c r="R23" s="7">
        <f>Table1[[#This Row],[Column13]]/12</f>
        <v>10539.121357815473</v>
      </c>
      <c r="S23" s="20">
        <f>Table1[[#This Row],[Column13]]/'Data Input'!$C$3</f>
        <v>5269.5606789077365</v>
      </c>
      <c r="T23" s="12">
        <f>Table1[[#This Row],[Column17]]-IF('Data Input'!$C$2+'Data Input'!$I$10&gt;Table1[[#This Row],[Column1]],'Mortgage Sheet'!B27/12,'Mortgage Sheet'!$K$2)</f>
        <v>9939.1213578154729</v>
      </c>
      <c r="U23" s="20">
        <f>Spending!R24+12*(Table1[[#This Row],[Column17]]-Table1[[#This Row],[Column19]])</f>
        <v>38370</v>
      </c>
      <c r="V23" s="15">
        <f>Table1[[#This Row],[Column19]]-Spending!S24</f>
        <v>7341.6213578154729</v>
      </c>
      <c r="W23" s="20">
        <f>W22+12*Table1[[#This Row],[Column21]]</f>
        <v>759567.40931632661</v>
      </c>
    </row>
    <row r="24" spans="1:31">
      <c r="A24" s="17">
        <f t="shared" si="0"/>
        <v>2038</v>
      </c>
      <c r="B24" s="12">
        <f>IF('Data Input'!$C$15+'Data Input'!$C$2&gt;Table1[[#This Row],[Column1]],('Data Input'!$C$9)*(1+'Data Input'!$C$14)^(Table1[[#This Row],[Column1]]-'Data Input'!$C$2),0)</f>
        <v>189593.50332039592</v>
      </c>
      <c r="C24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4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4" s="12">
        <f>IF('Data Input'!$F$15+'Data Input'!$C$2&gt;Table1[[#This Row],[Column1]],('Data Input'!$F$9)*(1+'Data Input'!$F$14)^(Table1[[#This Row],[Column1]]-'Data Input'!$C$2),0)</f>
        <v>0</v>
      </c>
      <c r="F24" s="12">
        <f>Table1[[#This Row],[Column2]]+Table1[[#This Row],[Column4]]+Table1[[#This Row],[Column5]]-Table1[[#This Row],[Column3]]-Table1[[#This Row],[Column23]]</f>
        <v>184287.50332039592</v>
      </c>
      <c r="G24" s="12">
        <f>Table1[[#This Row],[Column2]]+Table1[[#This Row],[Column4]]+Table1[[#This Row],[Column5]]-Table1[[#This Row],[Column3]]-Table1[[#This Row],[Column8]]</f>
        <v>165201.74551159909</v>
      </c>
      <c r="H24" s="12">
        <f>MAX('Tax Information'!$C$15+'Data Input'!C46*'Tax Information'!$C$5,'Mortgage Sheet'!C28+Spending!N25)+'Tax Information'!$C$13*('Data Input'!C46+2)</f>
        <v>8306</v>
      </c>
      <c r="I24" s="12">
        <f>MAX('Tax Information'!$C$6+'Data Input'!C46*'Tax Information'!$C$5,'Mortgage Sheet'!C28+Table1[[#This Row],[Column9]]+Spending!N25)+'Tax Information'!$C$4*('Data Input'!C46+2)</f>
        <v>27391.757808796821</v>
      </c>
      <c r="J24" s="7">
        <f>'Tax Information'!E47</f>
        <v>12091.757808796821</v>
      </c>
      <c r="K24" s="7">
        <f>'Tax Information'!C47</f>
        <v>33241.708743247742</v>
      </c>
      <c r="L24" s="20">
        <f>(0.01+0.0765)*(Table1[[#This Row],[Column2]]+Table1[[#This Row],[Column4]]+Table1[[#This Row],[Column5]])</f>
        <v>16659.338037214246</v>
      </c>
      <c r="M24" s="7">
        <f>(Table1[[#This Row],[Column2]]+Table1[[#This Row],[Column4]]+Table1[[#This Row],[Column5]])</f>
        <v>192593.50332039592</v>
      </c>
      <c r="N24" s="20">
        <f>(Table1[[#This Row],[Column2]]+Table1[[#This Row],[Column4]]+Table1[[#This Row],[Column5]])-(Table1[[#This Row],[Column3]]+Table1[[#This Row],[Column9]]+Table1[[#This Row],[Column10]]+Table1[[#This Row],[Column11]])</f>
        <v>130600.6987311371</v>
      </c>
      <c r="O24" s="8">
        <f>1-(Table1[[#This Row],[Column13]]/Table1[[#This Row],[Column12]])</f>
        <v>0.32188419401732582</v>
      </c>
      <c r="P24" s="12">
        <f>P23+Table1[[#This Row],[Column3]]</f>
        <v>0</v>
      </c>
      <c r="Q24" s="7">
        <f>Table1[[#This Row],[Column12]]/12</f>
        <v>16049.458610032993</v>
      </c>
      <c r="R24" s="7">
        <f>Table1[[#This Row],[Column13]]/12</f>
        <v>10883.391560928092</v>
      </c>
      <c r="S24" s="20">
        <f>Table1[[#This Row],[Column13]]/'Data Input'!$C$3</f>
        <v>5441.695780464046</v>
      </c>
      <c r="T24" s="12">
        <f>Table1[[#This Row],[Column17]]-IF('Data Input'!$C$2+'Data Input'!$I$10&gt;Table1[[#This Row],[Column1]],'Mortgage Sheet'!B28/12,'Mortgage Sheet'!$K$2)</f>
        <v>10283.391560928092</v>
      </c>
      <c r="U24" s="20">
        <f>Spending!R25+12*(Table1[[#This Row],[Column17]]-Table1[[#This Row],[Column19]])</f>
        <v>38370</v>
      </c>
      <c r="V24" s="14">
        <f>Table1[[#This Row],[Column19]]-Spending!S25</f>
        <v>7685.8915609280921</v>
      </c>
      <c r="W24" s="20">
        <f>W23+12*Table1[[#This Row],[Column21]]</f>
        <v>851798.1080474637</v>
      </c>
    </row>
    <row r="25" spans="1:31">
      <c r="A25" s="17">
        <f t="shared" si="0"/>
        <v>2039</v>
      </c>
      <c r="B25" s="12">
        <f>IF('Data Input'!$C$15+'Data Input'!$C$2&gt;Table1[[#This Row],[Column1]],('Data Input'!$C$9)*(1+'Data Input'!$C$14)^(Table1[[#This Row],[Column1]]-'Data Input'!$C$2),0)</f>
        <v>197177.24345321173</v>
      </c>
      <c r="C25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5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5" s="12">
        <f>IF('Data Input'!$F$15+'Data Input'!$C$2&gt;Table1[[#This Row],[Column1]],('Data Input'!$F$9)*(1+'Data Input'!$F$14)^(Table1[[#This Row],[Column1]]-'Data Input'!$C$2),0)</f>
        <v>0</v>
      </c>
      <c r="F25" s="12">
        <f>Table1[[#This Row],[Column2]]+Table1[[#This Row],[Column4]]+Table1[[#This Row],[Column5]]-Table1[[#This Row],[Column3]]-Table1[[#This Row],[Column23]]</f>
        <v>191871.24345321173</v>
      </c>
      <c r="G25" s="12">
        <f>Table1[[#This Row],[Column2]]+Table1[[#This Row],[Column4]]+Table1[[#This Row],[Column5]]-Table1[[#This Row],[Column3]]-Table1[[#This Row],[Column8]]</f>
        <v>172080.19781206304</v>
      </c>
      <c r="H25" s="12">
        <f>MAX('Tax Information'!$C$15+'Data Input'!C47*'Tax Information'!$C$5,'Mortgage Sheet'!C29+Spending!N26)+'Tax Information'!$C$13*('Data Input'!C47+2)</f>
        <v>8306</v>
      </c>
      <c r="I25" s="12">
        <f>MAX('Tax Information'!$C$6+'Data Input'!C47*'Tax Information'!$C$5,'Mortgage Sheet'!C29+Table1[[#This Row],[Column9]]+Spending!N26)+'Tax Information'!$C$4*('Data Input'!C47+2)</f>
        <v>28097.045641148692</v>
      </c>
      <c r="J25" s="7">
        <f>'Tax Information'!E48</f>
        <v>12797.045641148692</v>
      </c>
      <c r="K25" s="7">
        <f>'Tax Information'!C48</f>
        <v>35167.675387377647</v>
      </c>
      <c r="L25" s="20">
        <f>(0.01+0.0765)*(Table1[[#This Row],[Column2]]+Table1[[#This Row],[Column4]]+Table1[[#This Row],[Column5]])</f>
        <v>17315.331558702812</v>
      </c>
      <c r="M25" s="7">
        <f>(Table1[[#This Row],[Column2]]+Table1[[#This Row],[Column4]]+Table1[[#This Row],[Column5]])</f>
        <v>200177.24345321173</v>
      </c>
      <c r="N25" s="20">
        <f>(Table1[[#This Row],[Column2]]+Table1[[#This Row],[Column4]]+Table1[[#This Row],[Column5]])-(Table1[[#This Row],[Column3]]+Table1[[#This Row],[Column9]]+Table1[[#This Row],[Column10]]+Table1[[#This Row],[Column11]])</f>
        <v>134897.19086598259</v>
      </c>
      <c r="O25" s="8">
        <f>1-(Table1[[#This Row],[Column13]]/Table1[[#This Row],[Column12]])</f>
        <v>0.3261112575090851</v>
      </c>
      <c r="P25" s="12">
        <f>P24+Table1[[#This Row],[Column3]]</f>
        <v>0</v>
      </c>
      <c r="Q25" s="7">
        <f>Table1[[#This Row],[Column12]]/12</f>
        <v>16681.43695443431</v>
      </c>
      <c r="R25" s="7">
        <f>Table1[[#This Row],[Column13]]/12</f>
        <v>11241.432572165215</v>
      </c>
      <c r="S25" s="20">
        <f>Table1[[#This Row],[Column13]]/'Data Input'!$C$3</f>
        <v>5620.7162860826074</v>
      </c>
      <c r="T25" s="12">
        <f>Table1[[#This Row],[Column17]]-IF('Data Input'!$C$2+'Data Input'!$I$10&gt;Table1[[#This Row],[Column1]],'Mortgage Sheet'!B29/12,'Mortgage Sheet'!$K$2)</f>
        <v>10641.432572165215</v>
      </c>
      <c r="U25" s="20">
        <f>Spending!R26+12*(Table1[[#This Row],[Column17]]-Table1[[#This Row],[Column19]])</f>
        <v>38370</v>
      </c>
      <c r="V25" s="15">
        <f>Table1[[#This Row],[Column19]]-Spending!S26</f>
        <v>8043.9325721652149</v>
      </c>
      <c r="W25" s="20">
        <f>W24+12*Table1[[#This Row],[Column21]]</f>
        <v>948325.29891344626</v>
      </c>
    </row>
    <row r="26" spans="1:31">
      <c r="A26" s="17">
        <f t="shared" si="0"/>
        <v>2040</v>
      </c>
      <c r="B26" s="12">
        <f>IF('Data Input'!$C$15+'Data Input'!$C$2&gt;Table1[[#This Row],[Column1]],('Data Input'!$C$9)*(1+'Data Input'!$C$14)^(Table1[[#This Row],[Column1]]-'Data Input'!$C$2),0)</f>
        <v>205064.33319134021</v>
      </c>
      <c r="C26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6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6" s="12">
        <f>IF('Data Input'!$F$15+'Data Input'!$C$2&gt;Table1[[#This Row],[Column1]],('Data Input'!$F$9)*(1+'Data Input'!$F$14)^(Table1[[#This Row],[Column1]]-'Data Input'!$C$2),0)</f>
        <v>0</v>
      </c>
      <c r="F26" s="12">
        <f>Table1[[#This Row],[Column2]]+Table1[[#This Row],[Column4]]+Table1[[#This Row],[Column5]]-Table1[[#This Row],[Column3]]-Table1[[#This Row],[Column23]]</f>
        <v>199758.33319134021</v>
      </c>
      <c r="G26" s="12">
        <f>Table1[[#This Row],[Column2]]+Table1[[#This Row],[Column4]]+Table1[[#This Row],[Column5]]-Table1[[#This Row],[Column3]]-Table1[[#This Row],[Column8]]</f>
        <v>179233.78820454556</v>
      </c>
      <c r="H26" s="12">
        <f>MAX('Tax Information'!$C$15+'Data Input'!C48*'Tax Information'!$C$5,'Mortgage Sheet'!C30+Spending!N27)+'Tax Information'!$C$13*('Data Input'!C48+2)</f>
        <v>8306</v>
      </c>
      <c r="I26" s="12">
        <f>MAX('Tax Information'!$C$6+'Data Input'!C48*'Tax Information'!$C$5,'Mortgage Sheet'!C30+Table1[[#This Row],[Column9]]+Spending!N27)+'Tax Information'!$C$4*('Data Input'!C48+2)</f>
        <v>28830.544986794637</v>
      </c>
      <c r="J26" s="7">
        <f>'Tax Information'!E49</f>
        <v>13530.544986794639</v>
      </c>
      <c r="K26" s="7">
        <f>'Tax Information'!C49</f>
        <v>37170.680697272757</v>
      </c>
      <c r="L26" s="20">
        <f>(0.01+0.0765)*(Table1[[#This Row],[Column2]]+Table1[[#This Row],[Column4]]+Table1[[#This Row],[Column5]])</f>
        <v>17997.564821050928</v>
      </c>
      <c r="M26" s="7">
        <f>(Table1[[#This Row],[Column2]]+Table1[[#This Row],[Column4]]+Table1[[#This Row],[Column5]])</f>
        <v>208064.33319134021</v>
      </c>
      <c r="N26" s="20">
        <f>(Table1[[#This Row],[Column2]]+Table1[[#This Row],[Column4]]+Table1[[#This Row],[Column5]])-(Table1[[#This Row],[Column3]]+Table1[[#This Row],[Column9]]+Table1[[#This Row],[Column10]]+Table1[[#This Row],[Column11]])</f>
        <v>139365.54268622189</v>
      </c>
      <c r="O26" s="8">
        <f>1-(Table1[[#This Row],[Column13]]/Table1[[#This Row],[Column12]])</f>
        <v>0.33018052374186357</v>
      </c>
      <c r="P26" s="12">
        <f>P25+Table1[[#This Row],[Column3]]</f>
        <v>0</v>
      </c>
      <c r="Q26" s="7">
        <f>Table1[[#This Row],[Column12]]/12</f>
        <v>17338.694432611683</v>
      </c>
      <c r="R26" s="7">
        <f>Table1[[#This Row],[Column13]]/12</f>
        <v>11613.795223851825</v>
      </c>
      <c r="S26" s="20">
        <f>Table1[[#This Row],[Column13]]/'Data Input'!$C$3</f>
        <v>5806.8976119259123</v>
      </c>
      <c r="T26" s="12">
        <f>Table1[[#This Row],[Column17]]-IF('Data Input'!$C$2+'Data Input'!$I$10&gt;Table1[[#This Row],[Column1]],'Mortgage Sheet'!B30/12,'Mortgage Sheet'!$K$2)</f>
        <v>11013.795223851825</v>
      </c>
      <c r="U26" s="20">
        <f>Spending!R27+12*(Table1[[#This Row],[Column17]]-Table1[[#This Row],[Column19]])</f>
        <v>38370</v>
      </c>
      <c r="V26" s="14">
        <f>Table1[[#This Row],[Column19]]-Spending!S27</f>
        <v>8416.2952238518246</v>
      </c>
      <c r="W26" s="20">
        <f>W25+12*Table1[[#This Row],[Column21]]</f>
        <v>1049320.8415996681</v>
      </c>
    </row>
    <row r="27" spans="1:31">
      <c r="A27" s="17">
        <f t="shared" si="0"/>
        <v>2041</v>
      </c>
      <c r="B27" s="12">
        <f>IF('Data Input'!$C$15+'Data Input'!$C$2&gt;Table1[[#This Row],[Column1]],('Data Input'!$C$9)*(1+'Data Input'!$C$14)^(Table1[[#This Row],[Column1]]-'Data Input'!$C$2),0)</f>
        <v>213266.90651899387</v>
      </c>
      <c r="C27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7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7" s="12">
        <f>IF('Data Input'!$F$15+'Data Input'!$C$2&gt;Table1[[#This Row],[Column1]],('Data Input'!$F$9)*(1+'Data Input'!$F$14)^(Table1[[#This Row],[Column1]]-'Data Input'!$C$2),0)</f>
        <v>0</v>
      </c>
      <c r="F27" s="12">
        <f>Table1[[#This Row],[Column2]]+Table1[[#This Row],[Column4]]+Table1[[#This Row],[Column5]]-Table1[[#This Row],[Column3]]-Table1[[#This Row],[Column23]]</f>
        <v>207960.90651899387</v>
      </c>
      <c r="G27" s="12">
        <f>Table1[[#This Row],[Column2]]+Table1[[#This Row],[Column4]]+Table1[[#This Row],[Column5]]-Table1[[#This Row],[Column3]]-Table1[[#This Row],[Column8]]</f>
        <v>186673.52221272743</v>
      </c>
      <c r="H27" s="12">
        <f>MAX('Tax Information'!$C$15+'Data Input'!C49*'Tax Information'!$C$5,'Mortgage Sheet'!C31+Spending!N28)+'Tax Information'!$C$13*('Data Input'!C49+2)</f>
        <v>8306</v>
      </c>
      <c r="I27" s="12">
        <f>MAX('Tax Information'!$C$6+'Data Input'!C49*'Tax Information'!$C$5,'Mortgage Sheet'!C31+Table1[[#This Row],[Column9]]+Spending!N28)+'Tax Information'!$C$4*('Data Input'!C49+2)</f>
        <v>29593.384306266431</v>
      </c>
      <c r="J27" s="7">
        <f>'Tax Information'!E50</f>
        <v>14293.384306266431</v>
      </c>
      <c r="K27" s="7">
        <f>'Tax Information'!C50</f>
        <v>39253.806219563681</v>
      </c>
      <c r="L27" s="20">
        <f>(0.01+0.0765)*(Table1[[#This Row],[Column2]]+Table1[[#This Row],[Column4]]+Table1[[#This Row],[Column5]])</f>
        <v>18707.087413892968</v>
      </c>
      <c r="M27" s="7">
        <f>(Table1[[#This Row],[Column2]]+Table1[[#This Row],[Column4]]+Table1[[#This Row],[Column5]])</f>
        <v>216266.90651899387</v>
      </c>
      <c r="N27" s="20">
        <f>(Table1[[#This Row],[Column2]]+Table1[[#This Row],[Column4]]+Table1[[#This Row],[Column5]])-(Table1[[#This Row],[Column3]]+Table1[[#This Row],[Column9]]+Table1[[#This Row],[Column10]]+Table1[[#This Row],[Column11]])</f>
        <v>144012.62857927079</v>
      </c>
      <c r="O27" s="8">
        <f>1-(Table1[[#This Row],[Column13]]/Table1[[#This Row],[Column12]])</f>
        <v>0.33409770871891242</v>
      </c>
      <c r="P27" s="12">
        <f>P26+Table1[[#This Row],[Column3]]</f>
        <v>0</v>
      </c>
      <c r="Q27" s="7">
        <f>Table1[[#This Row],[Column12]]/12</f>
        <v>18022.242209916156</v>
      </c>
      <c r="R27" s="7">
        <f>Table1[[#This Row],[Column13]]/12</f>
        <v>12001.052381605899</v>
      </c>
      <c r="S27" s="20">
        <f>Table1[[#This Row],[Column13]]/'Data Input'!$C$3</f>
        <v>6000.5261908029497</v>
      </c>
      <c r="T27" s="12">
        <f>Table1[[#This Row],[Column17]]-IF('Data Input'!$C$2+'Data Input'!$I$10&gt;Table1[[#This Row],[Column1]],'Mortgage Sheet'!B31/12,'Mortgage Sheet'!$K$2)</f>
        <v>11401.052381605899</v>
      </c>
      <c r="U27" s="20">
        <f>Spending!R28+12*(Table1[[#This Row],[Column17]]-Table1[[#This Row],[Column19]])</f>
        <v>38370</v>
      </c>
      <c r="V27" s="15">
        <f>Table1[[#This Row],[Column19]]-Spending!S28</f>
        <v>8803.5523816058994</v>
      </c>
      <c r="W27" s="20">
        <f>W26+12*Table1[[#This Row],[Column21]]</f>
        <v>1154963.4701789389</v>
      </c>
      <c r="Z27" s="17"/>
    </row>
    <row r="28" spans="1:31">
      <c r="A28" s="17">
        <f t="shared" si="0"/>
        <v>2042</v>
      </c>
      <c r="B28" s="12">
        <f>IF('Data Input'!$C$15+'Data Input'!$C$2&gt;Table1[[#This Row],[Column1]],('Data Input'!$C$9)*(1+'Data Input'!$C$14)^(Table1[[#This Row],[Column1]]-'Data Input'!$C$2),0)</f>
        <v>221797.5827797536</v>
      </c>
      <c r="C28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8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8" s="12">
        <f>IF('Data Input'!$F$15+'Data Input'!$C$2&gt;Table1[[#This Row],[Column1]],('Data Input'!$F$9)*(1+'Data Input'!$F$14)^(Table1[[#This Row],[Column1]]-'Data Input'!$C$2),0)</f>
        <v>0</v>
      </c>
      <c r="F28" s="12">
        <f>Table1[[#This Row],[Column2]]+Table1[[#This Row],[Column4]]+Table1[[#This Row],[Column5]]-Table1[[#This Row],[Column3]]-Table1[[#This Row],[Column23]]</f>
        <v>216491.5827797536</v>
      </c>
      <c r="G28" s="12">
        <f>Table1[[#This Row],[Column2]]+Table1[[#This Row],[Column4]]+Table1[[#This Row],[Column5]]-Table1[[#This Row],[Column3]]-Table1[[#This Row],[Column8]]</f>
        <v>194410.84558123653</v>
      </c>
      <c r="H28" s="12">
        <f>MAX('Tax Information'!$C$15+'Data Input'!C50*'Tax Information'!$C$5,'Mortgage Sheet'!C32+Spending!N29)+'Tax Information'!$C$13*('Data Input'!C50+2)</f>
        <v>8306</v>
      </c>
      <c r="I28" s="12">
        <f>MAX('Tax Information'!$C$6+'Data Input'!C50*'Tax Information'!$C$5,'Mortgage Sheet'!C32+Table1[[#This Row],[Column9]]+Spending!N29)+'Tax Information'!$C$4*('Data Input'!C50+2)</f>
        <v>30386.737198517083</v>
      </c>
      <c r="J28" s="7">
        <f>'Tax Information'!E51</f>
        <v>15086.737198517085</v>
      </c>
      <c r="K28" s="7">
        <f>'Tax Information'!C51</f>
        <v>41420.256762746227</v>
      </c>
      <c r="L28" s="20">
        <f>(0.01+0.0765)*(Table1[[#This Row],[Column2]]+Table1[[#This Row],[Column4]]+Table1[[#This Row],[Column5]])</f>
        <v>19444.990910448687</v>
      </c>
      <c r="M28" s="7">
        <f>(Table1[[#This Row],[Column2]]+Table1[[#This Row],[Column4]]+Table1[[#This Row],[Column5]])</f>
        <v>224797.5827797536</v>
      </c>
      <c r="N28" s="20">
        <f>(Table1[[#This Row],[Column2]]+Table1[[#This Row],[Column4]]+Table1[[#This Row],[Column5]])-(Table1[[#This Row],[Column3]]+Table1[[#This Row],[Column9]]+Table1[[#This Row],[Column10]]+Table1[[#This Row],[Column11]])</f>
        <v>148845.59790804161</v>
      </c>
      <c r="O28" s="8">
        <f>1-(Table1[[#This Row],[Column13]]/Table1[[#This Row],[Column12]])</f>
        <v>0.33786833440342756</v>
      </c>
      <c r="P28" s="12">
        <f>P27+Table1[[#This Row],[Column3]]</f>
        <v>0</v>
      </c>
      <c r="Q28" s="7">
        <f>Table1[[#This Row],[Column12]]/12</f>
        <v>18733.1318983128</v>
      </c>
      <c r="R28" s="7">
        <f>Table1[[#This Row],[Column13]]/12</f>
        <v>12403.799825670134</v>
      </c>
      <c r="S28" s="20">
        <f>Table1[[#This Row],[Column13]]/'Data Input'!$C$3</f>
        <v>6201.899912835067</v>
      </c>
      <c r="T28" s="12">
        <f>Table1[[#This Row],[Column17]]-IF('Data Input'!$C$2+'Data Input'!$I$10&gt;Table1[[#This Row],[Column1]],'Mortgage Sheet'!B32/12,'Mortgage Sheet'!$K$2)</f>
        <v>11803.799825670134</v>
      </c>
      <c r="U28" s="20">
        <f>Spending!R29+12*(Table1[[#This Row],[Column17]]-Table1[[#This Row],[Column19]])</f>
        <v>38370</v>
      </c>
      <c r="V28" s="14">
        <f>Table1[[#This Row],[Column19]]-Spending!S29</f>
        <v>9206.2998256701339</v>
      </c>
      <c r="W28" s="20">
        <f>W27+12*Table1[[#This Row],[Column21]]</f>
        <v>1265439.0680869806</v>
      </c>
    </row>
    <row r="29" spans="1:31">
      <c r="A29" s="17">
        <f t="shared" si="0"/>
        <v>2043</v>
      </c>
      <c r="B29" s="12">
        <f>IF('Data Input'!$C$15+'Data Input'!$C$2&gt;Table1[[#This Row],[Column1]],('Data Input'!$C$9)*(1+'Data Input'!$C$14)^(Table1[[#This Row],[Column1]]-'Data Input'!$C$2),0)</f>
        <v>230669.48609094374</v>
      </c>
      <c r="C29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29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29" s="12">
        <f>IF('Data Input'!$F$15+'Data Input'!$C$2&gt;Table1[[#This Row],[Column1]],('Data Input'!$F$9)*(1+'Data Input'!$F$14)^(Table1[[#This Row],[Column1]]-'Data Input'!$C$2),0)</f>
        <v>0</v>
      </c>
      <c r="F29" s="12">
        <f>Table1[[#This Row],[Column2]]+Table1[[#This Row],[Column4]]+Table1[[#This Row],[Column5]]-Table1[[#This Row],[Column3]]-Table1[[#This Row],[Column23]]</f>
        <v>225363.48609094374</v>
      </c>
      <c r="G29" s="12">
        <f>Table1[[#This Row],[Column2]]+Table1[[#This Row],[Column4]]+Table1[[#This Row],[Column5]]-Table1[[#This Row],[Column3]]-Table1[[#This Row],[Column8]]</f>
        <v>202457.66188448598</v>
      </c>
      <c r="H29" s="12">
        <f>MAX('Tax Information'!$C$15+'Data Input'!C51*'Tax Information'!$C$5,'Mortgage Sheet'!C33+Spending!N30)+'Tax Information'!$C$13*('Data Input'!C51+2)</f>
        <v>8306</v>
      </c>
      <c r="I29" s="12">
        <f>MAX('Tax Information'!$C$6+'Data Input'!C51*'Tax Information'!$C$5,'Mortgage Sheet'!C33+Table1[[#This Row],[Column9]]+Spending!N30)+'Tax Information'!$C$4*('Data Input'!C51+2)</f>
        <v>31211.824206457768</v>
      </c>
      <c r="J29" s="7">
        <f>'Tax Information'!E52</f>
        <v>15911.824206457768</v>
      </c>
      <c r="K29" s="7">
        <f>'Tax Information'!C52</f>
        <v>43673.365327656073</v>
      </c>
      <c r="L29" s="20">
        <f>(0.01+0.0765)*(Table1[[#This Row],[Column2]]+Table1[[#This Row],[Column4]]+Table1[[#This Row],[Column5]])</f>
        <v>20212.410546866631</v>
      </c>
      <c r="M29" s="7">
        <f>(Table1[[#This Row],[Column2]]+Table1[[#This Row],[Column4]]+Table1[[#This Row],[Column5]])</f>
        <v>233669.48609094374</v>
      </c>
      <c r="N29" s="20">
        <f>(Table1[[#This Row],[Column2]]+Table1[[#This Row],[Column4]]+Table1[[#This Row],[Column5]])-(Table1[[#This Row],[Column3]]+Table1[[#This Row],[Column9]]+Table1[[#This Row],[Column10]]+Table1[[#This Row],[Column11]])</f>
        <v>153871.88600996326</v>
      </c>
      <c r="O29" s="8">
        <f>1-(Table1[[#This Row],[Column13]]/Table1[[#This Row],[Column12]])</f>
        <v>0.34149773432515451</v>
      </c>
      <c r="P29" s="12">
        <f>P28+Table1[[#This Row],[Column3]]</f>
        <v>0</v>
      </c>
      <c r="Q29" s="7">
        <f>Table1[[#This Row],[Column12]]/12</f>
        <v>19472.457174245312</v>
      </c>
      <c r="R29" s="7">
        <f>Table1[[#This Row],[Column13]]/12</f>
        <v>12822.657167496938</v>
      </c>
      <c r="S29" s="20">
        <f>Table1[[#This Row],[Column13]]/'Data Input'!$C$3</f>
        <v>6411.3285837484691</v>
      </c>
      <c r="T29" s="12">
        <f>Table1[[#This Row],[Column17]]-IF('Data Input'!$C$2+'Data Input'!$I$10&gt;Table1[[#This Row],[Column1]],'Mortgage Sheet'!B33/12,'Mortgage Sheet'!$K$2)</f>
        <v>12222.657167496938</v>
      </c>
      <c r="U29" s="20">
        <f>Spending!R30+12*(Table1[[#This Row],[Column17]]-Table1[[#This Row],[Column19]])</f>
        <v>38370</v>
      </c>
      <c r="V29" s="15">
        <f>Table1[[#This Row],[Column19]]-Spending!S30</f>
        <v>9625.1571674969382</v>
      </c>
      <c r="W29" s="20">
        <f>W28+12*Table1[[#This Row],[Column21]]</f>
        <v>1380940.9540969438</v>
      </c>
    </row>
    <row r="30" spans="1:31">
      <c r="A30" s="17">
        <f t="shared" si="0"/>
        <v>2044</v>
      </c>
      <c r="B30" s="12">
        <f>IF('Data Input'!$C$15+'Data Input'!$C$2&gt;Table1[[#This Row],[Column1]],('Data Input'!$C$9)*(1+'Data Input'!$C$14)^(Table1[[#This Row],[Column1]]-'Data Input'!$C$2),0)</f>
        <v>239896.26553458156</v>
      </c>
      <c r="C30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30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30" s="12">
        <f>IF('Data Input'!$F$15+'Data Input'!$C$2&gt;Table1[[#This Row],[Column1]],('Data Input'!$F$9)*(1+'Data Input'!$F$14)^(Table1[[#This Row],[Column1]]-'Data Input'!$C$2),0)</f>
        <v>0</v>
      </c>
      <c r="F30" s="12">
        <f>Table1[[#This Row],[Column2]]+Table1[[#This Row],[Column4]]+Table1[[#This Row],[Column5]]-Table1[[#This Row],[Column3]]-Table1[[#This Row],[Column23]]</f>
        <v>234590.26553458156</v>
      </c>
      <c r="G30" s="12">
        <f>Table1[[#This Row],[Column2]]+Table1[[#This Row],[Column4]]+Table1[[#This Row],[Column5]]-Table1[[#This Row],[Column3]]-Table1[[#This Row],[Column8]]</f>
        <v>210826.35083986548</v>
      </c>
      <c r="H30" s="12">
        <f>MAX('Tax Information'!$C$15+'Data Input'!C52*'Tax Information'!$C$5,'Mortgage Sheet'!C34+Spending!N31)+'Tax Information'!$C$13*('Data Input'!C52+2)</f>
        <v>8306</v>
      </c>
      <c r="I30" s="12">
        <f>MAX('Tax Information'!$C$6+'Data Input'!C52*'Tax Information'!$C$5,'Mortgage Sheet'!C34+Table1[[#This Row],[Column9]]+Spending!N31)+'Tax Information'!$C$4*('Data Input'!C52+2)</f>
        <v>32069.914694716084</v>
      </c>
      <c r="J30" s="7">
        <f>'Tax Information'!E53</f>
        <v>16769.914694716084</v>
      </c>
      <c r="K30" s="7">
        <f>'Tax Information'!C53</f>
        <v>46016.598235162339</v>
      </c>
      <c r="L30" s="20">
        <f>(0.01+0.0765)*(Table1[[#This Row],[Column2]]+Table1[[#This Row],[Column4]]+Table1[[#This Row],[Column5]])</f>
        <v>21010.526968741302</v>
      </c>
      <c r="M30" s="7">
        <f>(Table1[[#This Row],[Column2]]+Table1[[#This Row],[Column4]]+Table1[[#This Row],[Column5]])</f>
        <v>242896.26553458156</v>
      </c>
      <c r="N30" s="20">
        <f>(Table1[[#This Row],[Column2]]+Table1[[#This Row],[Column4]]+Table1[[#This Row],[Column5]])-(Table1[[#This Row],[Column3]]+Table1[[#This Row],[Column9]]+Table1[[#This Row],[Column10]]+Table1[[#This Row],[Column11]])</f>
        <v>159099.22563596183</v>
      </c>
      <c r="O30" s="8">
        <f>1-(Table1[[#This Row],[Column13]]/Table1[[#This Row],[Column12]])</f>
        <v>0.34499105910168637</v>
      </c>
      <c r="P30" s="12">
        <f>P29+Table1[[#This Row],[Column3]]</f>
        <v>0</v>
      </c>
      <c r="Q30" s="7">
        <f>Table1[[#This Row],[Column12]]/12</f>
        <v>20241.355461215131</v>
      </c>
      <c r="R30" s="7">
        <f>Table1[[#This Row],[Column13]]/12</f>
        <v>13258.268802996819</v>
      </c>
      <c r="S30" s="20">
        <f>Table1[[#This Row],[Column13]]/'Data Input'!$C$3</f>
        <v>6629.1344014984097</v>
      </c>
      <c r="T30" s="12">
        <f>Table1[[#This Row],[Column17]]-IF('Data Input'!$C$2+'Data Input'!$I$10&gt;Table1[[#This Row],[Column1]],'Mortgage Sheet'!B34/12,'Mortgage Sheet'!$K$2)</f>
        <v>12658.268802996819</v>
      </c>
      <c r="U30" s="20">
        <f>Spending!R31+12*(Table1[[#This Row],[Column17]]-Table1[[#This Row],[Column19]])</f>
        <v>38370</v>
      </c>
      <c r="V30" s="14">
        <f>Table1[[#This Row],[Column19]]-Spending!S31</f>
        <v>10060.768802996819</v>
      </c>
      <c r="W30" s="20">
        <f>W29+12*Table1[[#This Row],[Column21]]</f>
        <v>1501670.1797329057</v>
      </c>
    </row>
    <row r="31" spans="1:31">
      <c r="A31" s="17">
        <f t="shared" si="0"/>
        <v>2045</v>
      </c>
      <c r="B31" s="12">
        <f>IF('Data Input'!$C$15+'Data Input'!$C$2&gt;Table1[[#This Row],[Column1]],('Data Input'!$C$9)*(1+'Data Input'!$C$14)^(Table1[[#This Row],[Column1]]-'Data Input'!$C$2),0)</f>
        <v>249492.11615596482</v>
      </c>
      <c r="C31" s="12">
        <f>IF('Data Input'!$C$15+'Data Input'!$C$2&gt;Table1[[#This Row],[Column1]],'Data Input'!$C$10+'Data Input'!$C$11*Table1[[#This Row],[Column2]],0)+IF('Data Input'!$F$15+'Data Input'!$C$2&gt;Table1[[#This Row],[Column1]],'Data Input'!$F$10+'Data Input'!$F$11*Table1[[#This Row],[Column5]],0)</f>
        <v>0</v>
      </c>
      <c r="D31" s="12">
        <f>IF('Data Input'!$C$15+'Data Input'!$C$2&gt;Table1[[#This Row],[Column1]],'Data Input'!$C$12+'Data Input'!$C$13*Table1[[#This Row],[Column2]],0)+IF('Data Input'!$F$15+'Data Input'!$C$2&gt;Table1[[#This Row],[Column1]],'Data Input'!$F$12+'Data Input'!$F$13*Table1[[#This Row],[Column5]],0)</f>
        <v>3000</v>
      </c>
      <c r="E31" s="12">
        <f>IF('Data Input'!$F$15+'Data Input'!$C$2&gt;Table1[[#This Row],[Column1]],('Data Input'!$F$9)*(1+'Data Input'!$F$14)^(Table1[[#This Row],[Column1]]-'Data Input'!$C$2),0)</f>
        <v>0</v>
      </c>
      <c r="F31" s="12">
        <f>Table1[[#This Row],[Column2]]+Table1[[#This Row],[Column4]]+Table1[[#This Row],[Column5]]-Table1[[#This Row],[Column3]]-Table1[[#This Row],[Column23]]</f>
        <v>244186.11615596482</v>
      </c>
      <c r="G31" s="12">
        <f>Table1[[#This Row],[Column2]]+Table1[[#This Row],[Column4]]+Table1[[#This Row],[Column5]]-Table1[[#This Row],[Column3]]-Table1[[#This Row],[Column8]]</f>
        <v>219529.78735346009</v>
      </c>
      <c r="H31" s="12">
        <f>MAX('Tax Information'!$C$15+'Data Input'!C53*'Tax Information'!$C$5,'Mortgage Sheet'!C35+Spending!N32)+'Tax Information'!$C$13*('Data Input'!C53+2)</f>
        <v>8306</v>
      </c>
      <c r="I31" s="12">
        <f>MAX('Tax Information'!$C$6+'Data Input'!C53*'Tax Information'!$C$5,'Mortgage Sheet'!C35+Table1[[#This Row],[Column9]]+Spending!N32)+'Tax Information'!$C$4*('Data Input'!C53+2)</f>
        <v>32962.32880250473</v>
      </c>
      <c r="J31" s="7">
        <f>'Tax Information'!E54</f>
        <v>17662.32880250473</v>
      </c>
      <c r="K31" s="7">
        <f>'Tax Information'!C54</f>
        <v>48453.56045896883</v>
      </c>
      <c r="L31" s="20">
        <f>(0.01+0.0765)*(Table1[[#This Row],[Column2]]+Table1[[#This Row],[Column4]]+Table1[[#This Row],[Column5]])</f>
        <v>21840.568047490957</v>
      </c>
      <c r="M31" s="7">
        <f>(Table1[[#This Row],[Column2]]+Table1[[#This Row],[Column4]]+Table1[[#This Row],[Column5]])</f>
        <v>252492.11615596482</v>
      </c>
      <c r="N31" s="20">
        <f>(Table1[[#This Row],[Column2]]+Table1[[#This Row],[Column4]]+Table1[[#This Row],[Column5]])-(Table1[[#This Row],[Column3]]+Table1[[#This Row],[Column9]]+Table1[[#This Row],[Column10]]+Table1[[#This Row],[Column11]])</f>
        <v>164535.6588470003</v>
      </c>
      <c r="O31" s="8">
        <f>1-(Table1[[#This Row],[Column13]]/Table1[[#This Row],[Column12]])</f>
        <v>0.34835328186894221</v>
      </c>
      <c r="P31" s="12">
        <f>P30+Table1[[#This Row],[Column3]]</f>
        <v>0</v>
      </c>
      <c r="Q31" s="7">
        <f>Table1[[#This Row],[Column12]]/12</f>
        <v>21041.009679663734</v>
      </c>
      <c r="R31" s="7">
        <f>Table1[[#This Row],[Column13]]/12</f>
        <v>13711.304903916693</v>
      </c>
      <c r="S31" s="20">
        <f>Table1[[#This Row],[Column13]]/'Data Input'!$C$3</f>
        <v>6855.6524519583463</v>
      </c>
      <c r="T31" s="12">
        <f>Table1[[#This Row],[Column17]]-IF('Data Input'!$C$2+'Data Input'!$I$10&gt;Table1[[#This Row],[Column1]],'Mortgage Sheet'!B35/12,'Mortgage Sheet'!$K$2)</f>
        <v>13111.304903916693</v>
      </c>
      <c r="U31" s="20">
        <f>Spending!R32+12*(Table1[[#This Row],[Column17]]-Table1[[#This Row],[Column19]])</f>
        <v>38370</v>
      </c>
      <c r="V31" s="15">
        <f>Table1[[#This Row],[Column19]]-Spending!S32</f>
        <v>10513.804903916693</v>
      </c>
      <c r="W31" s="20">
        <f>W30+12*Table1[[#This Row],[Column21]]</f>
        <v>1627835.8385799059</v>
      </c>
    </row>
    <row r="37" spans="1:26">
      <c r="X37" s="17"/>
      <c r="Y37" s="17"/>
      <c r="Z37" s="17"/>
    </row>
    <row r="38" spans="1:26">
      <c r="A38" s="17"/>
      <c r="B38" s="17"/>
      <c r="C38" s="17"/>
      <c r="D38" s="17"/>
      <c r="E38" s="17"/>
      <c r="F38" s="17"/>
      <c r="G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V38" s="17"/>
      <c r="W38" s="17"/>
      <c r="X38" s="17"/>
      <c r="Y38" s="17"/>
      <c r="Z38" s="17"/>
    </row>
    <row r="39" spans="1:26">
      <c r="A39" s="17"/>
      <c r="B39" s="17"/>
      <c r="C39" s="17"/>
      <c r="D39" s="17"/>
      <c r="E39" s="17"/>
      <c r="F39" s="17"/>
      <c r="G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V39" s="17"/>
      <c r="W39" s="17"/>
      <c r="X39" s="17"/>
      <c r="Y39" s="17"/>
      <c r="Z39" s="17"/>
    </row>
    <row r="40" spans="1:26">
      <c r="A40" s="17"/>
      <c r="B40" s="17"/>
      <c r="C40" s="17"/>
      <c r="D40" s="17"/>
      <c r="E40" s="17"/>
      <c r="F40" s="17"/>
      <c r="G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V40" s="17"/>
      <c r="W40" s="17"/>
      <c r="X40" s="17"/>
      <c r="Y40" s="17"/>
      <c r="Z40" s="17"/>
    </row>
    <row r="41" spans="1:26">
      <c r="A41" s="17"/>
      <c r="B41" s="17"/>
      <c r="C41" s="17"/>
      <c r="D41" s="17"/>
      <c r="E41" s="17"/>
      <c r="F41" s="17"/>
      <c r="G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V41" s="17"/>
      <c r="W41" s="17"/>
      <c r="X41" s="17"/>
      <c r="Y41" s="17"/>
      <c r="Z41" s="17"/>
    </row>
    <row r="42" spans="1:26">
      <c r="A42" s="17"/>
      <c r="B42" s="17"/>
      <c r="C42" s="17"/>
      <c r="D42" s="17"/>
      <c r="E42" s="17"/>
      <c r="F42" s="17"/>
      <c r="G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V42" s="17"/>
      <c r="W42" s="17"/>
      <c r="X42" s="17"/>
      <c r="Y42" s="17"/>
      <c r="Z42" s="17"/>
    </row>
    <row r="43" spans="1:26">
      <c r="A43" s="17"/>
      <c r="B43" s="17"/>
      <c r="C43" s="17"/>
      <c r="D43" s="17"/>
      <c r="E43" s="17"/>
      <c r="F43" s="17"/>
      <c r="G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V43" s="17"/>
      <c r="W43" s="17"/>
      <c r="X43" s="17"/>
      <c r="Y43" s="17"/>
      <c r="Z43" s="17"/>
    </row>
    <row r="44" spans="1:26">
      <c r="A44" s="17"/>
      <c r="B44" s="17"/>
      <c r="C44" s="17"/>
      <c r="D44" s="17"/>
      <c r="E44" s="17"/>
      <c r="F44" s="17"/>
      <c r="G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V44" s="17"/>
      <c r="W44" s="17"/>
      <c r="X44" s="17"/>
      <c r="Y44" s="17"/>
      <c r="Z44" s="17"/>
    </row>
    <row r="45" spans="1:26">
      <c r="A45" s="17"/>
      <c r="B45" s="17"/>
      <c r="C45" s="17"/>
      <c r="D45" s="17"/>
      <c r="E45" s="17"/>
      <c r="F45" s="17"/>
      <c r="G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V45" s="17"/>
      <c r="W45" s="17"/>
      <c r="X45" s="17"/>
      <c r="Y45" s="17"/>
      <c r="Z45" s="17"/>
    </row>
    <row r="46" spans="1:26">
      <c r="A46" s="17"/>
      <c r="B46" s="17"/>
      <c r="C46" s="17"/>
      <c r="D46" s="17"/>
      <c r="E46" s="17"/>
      <c r="F46" s="17"/>
      <c r="G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V46" s="17"/>
      <c r="W46" s="17"/>
      <c r="X46" s="17"/>
      <c r="Y46" s="17"/>
      <c r="Z46" s="17"/>
    </row>
    <row r="47" spans="1:26">
      <c r="A47" s="17"/>
      <c r="B47" s="17"/>
      <c r="C47" s="17"/>
      <c r="D47" s="17"/>
      <c r="E47" s="17"/>
      <c r="F47" s="17"/>
      <c r="G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V47" s="17"/>
      <c r="W47" s="17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4"/>
  <sheetViews>
    <sheetView zoomScale="130" zoomScaleNormal="130" workbookViewId="0">
      <selection activeCell="I10" sqref="I10"/>
    </sheetView>
  </sheetViews>
  <sheetFormatPr defaultRowHeight="15"/>
  <cols>
    <col min="1" max="1" width="22.42578125" bestFit="1" customWidth="1"/>
    <col min="2" max="2" width="13.140625" bestFit="1" customWidth="1"/>
    <col min="3" max="3" width="13.140625" style="17" customWidth="1"/>
    <col min="5" max="5" width="13.140625" hidden="1" customWidth="1"/>
    <col min="6" max="7" width="12.7109375" bestFit="1" customWidth="1"/>
    <col min="8" max="9" width="18.85546875" bestFit="1" customWidth="1"/>
    <col min="10" max="10" width="22.140625" bestFit="1" customWidth="1"/>
    <col min="11" max="11" width="28.28515625" bestFit="1" customWidth="1"/>
    <col min="12" max="12" width="20.28515625" customWidth="1"/>
    <col min="14" max="14" width="11.140625" bestFit="1" customWidth="1"/>
  </cols>
  <sheetData>
    <row r="1" spans="1:14">
      <c r="E1" s="18">
        <f>G1*1.25</f>
        <v>437500</v>
      </c>
      <c r="F1" s="25" t="s">
        <v>5</v>
      </c>
      <c r="G1" s="91">
        <f>'Data Input'!I7</f>
        <v>350000</v>
      </c>
      <c r="H1" s="6" t="s">
        <v>3</v>
      </c>
      <c r="I1" s="4">
        <v>0</v>
      </c>
      <c r="J1" s="6" t="s">
        <v>28</v>
      </c>
      <c r="K1" s="2">
        <f>SUM(F5:F364)</f>
        <v>466003.39313384483</v>
      </c>
    </row>
    <row r="2" spans="1:14">
      <c r="A2" s="17" t="s">
        <v>31</v>
      </c>
      <c r="B2" s="19">
        <v>0</v>
      </c>
      <c r="C2" s="19"/>
      <c r="F2" s="6" t="s">
        <v>6</v>
      </c>
      <c r="G2" s="92">
        <f>'Data Input'!I8</f>
        <v>0.04</v>
      </c>
      <c r="H2" s="6" t="s">
        <v>10</v>
      </c>
      <c r="I2" s="3">
        <f>ROUNDUP(12+(K17+SUM(H17:H364))/(SUM(F17:F28)/12)-0.000001,0)</f>
        <v>180</v>
      </c>
      <c r="J2" s="6" t="s">
        <v>29</v>
      </c>
      <c r="K2" s="2">
        <f>('Data Input'!I11+'Data Input'!I12)/12</f>
        <v>600</v>
      </c>
      <c r="L2" s="18">
        <f>'Data Input'!I11</f>
        <v>6000</v>
      </c>
    </row>
    <row r="3" spans="1:14">
      <c r="A3" t="s">
        <v>30</v>
      </c>
      <c r="B3" s="5">
        <v>180</v>
      </c>
      <c r="C3" s="19"/>
      <c r="F3" s="6" t="s">
        <v>8</v>
      </c>
      <c r="G3" s="93">
        <f>'Data Input'!I9</f>
        <v>15</v>
      </c>
      <c r="H3" s="6" t="s">
        <v>9</v>
      </c>
      <c r="I3" s="2">
        <f>SUM(H5:H364)</f>
        <v>116003.39313384378</v>
      </c>
      <c r="J3" s="6" t="s">
        <v>11</v>
      </c>
      <c r="K3" s="2">
        <f>K2+F5</f>
        <v>3188.9077396323951</v>
      </c>
    </row>
    <row r="4" spans="1:14">
      <c r="D4" s="10" t="s">
        <v>0</v>
      </c>
      <c r="E4" s="10" t="s">
        <v>4</v>
      </c>
      <c r="F4" s="10" t="s">
        <v>2</v>
      </c>
      <c r="G4" s="10" t="s">
        <v>54</v>
      </c>
      <c r="H4" s="10" t="s">
        <v>1</v>
      </c>
      <c r="I4" s="11" t="s">
        <v>3</v>
      </c>
      <c r="J4" s="10" t="s">
        <v>9</v>
      </c>
      <c r="K4" s="10" t="s">
        <v>7</v>
      </c>
    </row>
    <row r="5" spans="1:14" ht="45">
      <c r="A5" t="s">
        <v>32</v>
      </c>
      <c r="B5" t="s">
        <v>33</v>
      </c>
      <c r="C5" s="9" t="s">
        <v>135</v>
      </c>
      <c r="D5">
        <v>1</v>
      </c>
      <c r="E5" s="1">
        <v>43101</v>
      </c>
      <c r="F5" s="2">
        <f>I5+$G$1*($G$2/12)*(1+($G$2/12))^($G$3*12)/((1+($G$2/12))^($G$3*12)-1)</f>
        <v>2588.9077396323951</v>
      </c>
      <c r="G5" s="2">
        <f>+F5-H5</f>
        <v>1422.2410729657283</v>
      </c>
      <c r="H5" s="2">
        <f>($G$2/12)*K5</f>
        <v>1166.6666666666667</v>
      </c>
      <c r="I5" s="2">
        <f t="shared" ref="I5:I68" si="0">IF(AND(MOD(D5,12)=2, $B$2&gt;0,K5&gt;$B$2),$B$2,IF(K5=0,0,IF(D5&lt;=$B$3,$I$1,0)))</f>
        <v>0</v>
      </c>
      <c r="J5" s="2">
        <f>IF(K5=0,0,H5)</f>
        <v>1166.6666666666667</v>
      </c>
      <c r="K5" s="2">
        <f>G1</f>
        <v>350000</v>
      </c>
      <c r="L5" s="9"/>
    </row>
    <row r="6" spans="1:14">
      <c r="A6">
        <f>'Data Input'!C2</f>
        <v>2016</v>
      </c>
      <c r="B6" s="20">
        <f>SUM(F5:F16)+$K$2*12</f>
        <v>38266.892875588746</v>
      </c>
      <c r="C6" s="20">
        <f>H6*12+$L$2</f>
        <v>19943.110357081372</v>
      </c>
      <c r="D6">
        <v>2</v>
      </c>
      <c r="E6" s="1">
        <v>43132</v>
      </c>
      <c r="F6" s="2">
        <f>IF( (K6+20)&lt;$F$5, H6+K6,I6+$G$1*($G$2/12)*(1+($G$2/12))^($G$3*12)/((1+($G$2/12))^($G$3*12)-1))</f>
        <v>2588.9077396323951</v>
      </c>
      <c r="G6" s="2">
        <f>+F6-H6</f>
        <v>1426.9818765422808</v>
      </c>
      <c r="H6" s="2">
        <f>($G$2/12)*K6</f>
        <v>1161.9258630901143</v>
      </c>
      <c r="I6" s="16">
        <f t="shared" si="0"/>
        <v>0</v>
      </c>
      <c r="J6" s="2">
        <f>IF(K6=0,0,J5+H6)</f>
        <v>2328.592529756781</v>
      </c>
      <c r="K6" s="2">
        <f>K5-G5</f>
        <v>348577.75892703427</v>
      </c>
      <c r="L6" s="23"/>
      <c r="N6" s="24"/>
    </row>
    <row r="7" spans="1:14">
      <c r="A7">
        <f>A6+1</f>
        <v>2017</v>
      </c>
      <c r="B7" s="20">
        <f>SUM(F17:F28)+$K$2*12</f>
        <v>38266.892875588746</v>
      </c>
      <c r="C7" s="20">
        <f>H18*12+$L$2</f>
        <v>19245.461036654462</v>
      </c>
      <c r="D7">
        <v>3</v>
      </c>
      <c r="E7" s="1">
        <v>43160</v>
      </c>
      <c r="F7" s="2">
        <f>IF( (K7+20)&lt;$F$5, H7+K7,I7+$G$1*($G$2/12)*(1+($G$2/12))^($G$3*12)/((1+($G$2/12))^($G$3*12)-1))</f>
        <v>2588.9077396323951</v>
      </c>
      <c r="G7" s="2">
        <f>+F7-H7</f>
        <v>1431.7384827974217</v>
      </c>
      <c r="H7" s="2">
        <f>($G$2/12)*K7</f>
        <v>1157.1692568349733</v>
      </c>
      <c r="I7" s="16">
        <f t="shared" si="0"/>
        <v>0</v>
      </c>
      <c r="J7" s="2">
        <f>IF(K7=0,0,J6+H7)</f>
        <v>3485.7617865917546</v>
      </c>
      <c r="K7" s="2">
        <f>K6-G6</f>
        <v>347150.777050492</v>
      </c>
      <c r="L7" s="23"/>
    </row>
    <row r="8" spans="1:14">
      <c r="A8" s="17">
        <f t="shared" ref="A8:A35" si="1">A7+1</f>
        <v>2018</v>
      </c>
      <c r="B8" s="20">
        <f>SUM(F29:F40)+$K$2*12</f>
        <v>38266.892875588746</v>
      </c>
      <c r="C8" s="20">
        <f>H30*12+$L$2</f>
        <v>18519.388406496415</v>
      </c>
      <c r="D8">
        <v>4</v>
      </c>
      <c r="E8" s="1">
        <v>43191</v>
      </c>
      <c r="F8" s="2">
        <f>IF( (K8+20)&lt;$F$5, H8+K8,I8+$G$1*($G$2/12)*(1+($G$2/12))^($G$3*12)/((1+($G$2/12))^($G$3*12)-1))</f>
        <v>2588.9077396323951</v>
      </c>
      <c r="G8" s="2">
        <f>+F8-H8</f>
        <v>1436.5109444067464</v>
      </c>
      <c r="H8" s="2">
        <f t="shared" ref="H8:H71" si="2">($G$2/12)*K8</f>
        <v>1152.3967952256487</v>
      </c>
      <c r="I8" s="16">
        <f t="shared" si="0"/>
        <v>0</v>
      </c>
      <c r="J8" s="2">
        <f t="shared" ref="J8:J71" si="3">IF(K8=0,0,J7+H8)</f>
        <v>4638.1585818174035</v>
      </c>
      <c r="K8" s="2">
        <f t="shared" ref="K8:K9" si="4">K7-G7</f>
        <v>345719.0385676946</v>
      </c>
      <c r="L8" s="23"/>
      <c r="M8" s="17"/>
    </row>
    <row r="9" spans="1:14">
      <c r="A9" s="17">
        <f t="shared" si="1"/>
        <v>2019</v>
      </c>
      <c r="B9" s="20">
        <f>SUM(F41:F52)+$K$2*12</f>
        <v>38266.892875588746</v>
      </c>
      <c r="C9" s="20">
        <f>H42*12+$L$2</f>
        <v>17763.7344571139</v>
      </c>
      <c r="D9">
        <v>5</v>
      </c>
      <c r="E9" s="1">
        <v>43221</v>
      </c>
      <c r="F9" s="2">
        <f t="shared" ref="F9:F72" si="5">IF( (K9+20)&lt;$F$5, H9+K9,I9+$G$1*($G$2/12)*(1+($G$2/12))^($G$3*12)/((1+($G$2/12))^($G$3*12)-1))</f>
        <v>2588.9077396323951</v>
      </c>
      <c r="G9" s="2">
        <f t="shared" ref="G9:G70" si="6">+F9-H9</f>
        <v>1441.2993142214355</v>
      </c>
      <c r="H9" s="2">
        <f t="shared" si="2"/>
        <v>1147.6084254109596</v>
      </c>
      <c r="I9" s="16">
        <f t="shared" si="0"/>
        <v>0</v>
      </c>
      <c r="J9" s="2">
        <f t="shared" si="3"/>
        <v>5785.7670072283636</v>
      </c>
      <c r="K9" s="2">
        <f t="shared" si="4"/>
        <v>344282.52762328787</v>
      </c>
      <c r="L9" s="23"/>
      <c r="M9" s="17"/>
    </row>
    <row r="10" spans="1:14">
      <c r="A10" s="17">
        <f t="shared" si="1"/>
        <v>2020</v>
      </c>
      <c r="B10" s="20">
        <f>SUM(F53:F64)+$K$2*12</f>
        <v>38266.892875588746</v>
      </c>
      <c r="C10" s="20">
        <f>H54*12+$L$2</f>
        <v>16977.293999920112</v>
      </c>
      <c r="D10">
        <v>6</v>
      </c>
      <c r="E10" s="1">
        <v>43252</v>
      </c>
      <c r="F10" s="2">
        <f t="shared" si="5"/>
        <v>2588.9077396323951</v>
      </c>
      <c r="G10" s="2">
        <f t="shared" si="6"/>
        <v>1446.1036452688402</v>
      </c>
      <c r="H10" s="2">
        <f t="shared" si="2"/>
        <v>1142.8040943635549</v>
      </c>
      <c r="I10" s="16">
        <f t="shared" si="0"/>
        <v>0</v>
      </c>
      <c r="J10" s="2">
        <f t="shared" si="3"/>
        <v>6928.5711015919187</v>
      </c>
      <c r="K10" s="2">
        <f t="shared" ref="K10:K73" si="7">K9-G9</f>
        <v>342841.22830906644</v>
      </c>
      <c r="L10" s="23"/>
      <c r="M10" s="17"/>
    </row>
    <row r="11" spans="1:14">
      <c r="A11" s="17">
        <f t="shared" si="1"/>
        <v>2021</v>
      </c>
      <c r="B11" s="20">
        <f>SUM(F65:F76)+$K$2*12</f>
        <v>38266.892875588746</v>
      </c>
      <c r="C11" s="20">
        <f>H66*12+$L$2</f>
        <v>16158.812745085697</v>
      </c>
      <c r="D11">
        <v>7</v>
      </c>
      <c r="E11" s="1">
        <v>43282</v>
      </c>
      <c r="F11" s="2">
        <f t="shared" si="5"/>
        <v>2588.9077396323951</v>
      </c>
      <c r="G11" s="2">
        <f t="shared" si="6"/>
        <v>1450.9239907530696</v>
      </c>
      <c r="H11" s="2">
        <f t="shared" si="2"/>
        <v>1137.9837488793255</v>
      </c>
      <c r="I11" s="16">
        <f t="shared" si="0"/>
        <v>0</v>
      </c>
      <c r="J11" s="2">
        <f t="shared" si="3"/>
        <v>8066.5548504712442</v>
      </c>
      <c r="K11" s="2">
        <f t="shared" si="7"/>
        <v>341395.12466379761</v>
      </c>
      <c r="L11" s="23"/>
      <c r="M11" s="17"/>
    </row>
    <row r="12" spans="1:14">
      <c r="A12" s="17">
        <f t="shared" si="1"/>
        <v>2022</v>
      </c>
      <c r="B12" s="20">
        <f>SUM(F77:F88)+$K$2*12</f>
        <v>38266.892875588746</v>
      </c>
      <c r="C12" s="20">
        <f>H78*12+$L$2</f>
        <v>15306.98530107841</v>
      </c>
      <c r="D12">
        <v>8</v>
      </c>
      <c r="E12" s="1">
        <v>43313</v>
      </c>
      <c r="F12" s="2">
        <f t="shared" si="5"/>
        <v>2588.9077396323951</v>
      </c>
      <c r="G12" s="2">
        <f t="shared" si="6"/>
        <v>1455.7604040555798</v>
      </c>
      <c r="H12" s="2">
        <f t="shared" si="2"/>
        <v>1133.1473355768153</v>
      </c>
      <c r="I12" s="16">
        <f t="shared" si="0"/>
        <v>0</v>
      </c>
      <c r="J12" s="2">
        <f t="shared" si="3"/>
        <v>9199.70218604806</v>
      </c>
      <c r="K12" s="2">
        <f t="shared" si="7"/>
        <v>339944.20067304454</v>
      </c>
      <c r="L12" s="23"/>
      <c r="M12" s="17"/>
    </row>
    <row r="13" spans="1:14">
      <c r="A13" s="17">
        <f t="shared" si="1"/>
        <v>2023</v>
      </c>
      <c r="B13" s="20">
        <f>SUM(F89:F100)+$K$2*12</f>
        <v>38266.892875588746</v>
      </c>
      <c r="C13" s="20">
        <f>H90*12+$L$2</f>
        <v>14420.453092700842</v>
      </c>
      <c r="D13">
        <v>9</v>
      </c>
      <c r="E13" s="1">
        <v>43344</v>
      </c>
      <c r="F13" s="2">
        <f t="shared" si="5"/>
        <v>2588.9077396323951</v>
      </c>
      <c r="G13" s="2">
        <f t="shared" si="6"/>
        <v>1460.6129387357651</v>
      </c>
      <c r="H13" s="2">
        <f t="shared" si="2"/>
        <v>1128.29480089663</v>
      </c>
      <c r="I13" s="16">
        <f t="shared" si="0"/>
        <v>0</v>
      </c>
      <c r="J13" s="2">
        <f t="shared" si="3"/>
        <v>10327.99698694469</v>
      </c>
      <c r="K13" s="2">
        <f t="shared" si="7"/>
        <v>338488.44026898895</v>
      </c>
      <c r="L13" s="23"/>
      <c r="M13" s="17"/>
    </row>
    <row r="14" spans="1:14">
      <c r="A14" s="17">
        <f t="shared" si="1"/>
        <v>2024</v>
      </c>
      <c r="B14" s="20">
        <f>SUM(F101:F112)+$K$2*12</f>
        <v>38266.892875588746</v>
      </c>
      <c r="C14" s="20">
        <f>H102*12+$L$2</f>
        <v>13497.802194305885</v>
      </c>
      <c r="D14">
        <v>10</v>
      </c>
      <c r="E14" s="1">
        <v>43374</v>
      </c>
      <c r="F14" s="2">
        <f t="shared" si="5"/>
        <v>2588.9077396323951</v>
      </c>
      <c r="G14" s="2">
        <f t="shared" si="6"/>
        <v>1465.4816485315509</v>
      </c>
      <c r="H14" s="2">
        <f t="shared" si="2"/>
        <v>1123.4260911008441</v>
      </c>
      <c r="I14" s="16">
        <f t="shared" si="0"/>
        <v>0</v>
      </c>
      <c r="J14" s="2">
        <f t="shared" si="3"/>
        <v>11451.423078045535</v>
      </c>
      <c r="K14" s="2">
        <f t="shared" si="7"/>
        <v>337027.8273302532</v>
      </c>
      <c r="L14" s="23"/>
      <c r="M14" s="17"/>
    </row>
    <row r="15" spans="1:14">
      <c r="A15" s="17">
        <f t="shared" si="1"/>
        <v>2025</v>
      </c>
      <c r="B15" s="20">
        <f>SUM(F113:F124)+$K$2*12</f>
        <v>38266.892875588746</v>
      </c>
      <c r="C15" s="20">
        <f>H114*12+$L$2</f>
        <v>12537.561074733985</v>
      </c>
      <c r="D15">
        <v>11</v>
      </c>
      <c r="E15" s="1">
        <v>43405</v>
      </c>
      <c r="F15" s="2">
        <f t="shared" si="5"/>
        <v>2588.9077396323951</v>
      </c>
      <c r="G15" s="2">
        <f t="shared" si="6"/>
        <v>1470.3665873599896</v>
      </c>
      <c r="H15" s="2">
        <f t="shared" si="2"/>
        <v>1118.5411522724055</v>
      </c>
      <c r="I15" s="16">
        <f t="shared" si="0"/>
        <v>0</v>
      </c>
      <c r="J15" s="2">
        <f t="shared" si="3"/>
        <v>12569.964230317941</v>
      </c>
      <c r="K15" s="2">
        <f t="shared" si="7"/>
        <v>335562.34568172164</v>
      </c>
      <c r="L15" s="23"/>
      <c r="M15" s="17"/>
    </row>
    <row r="16" spans="1:14">
      <c r="A16" s="17">
        <f t="shared" si="1"/>
        <v>2026</v>
      </c>
      <c r="B16" s="20">
        <f>SUM(F125:F136)+$K$2*12</f>
        <v>38266.892875588746</v>
      </c>
      <c r="C16" s="20">
        <f>H126*12+$L$2</f>
        <v>11538.198250375699</v>
      </c>
      <c r="D16">
        <v>12</v>
      </c>
      <c r="E16" s="1">
        <v>43435</v>
      </c>
      <c r="F16" s="2">
        <f t="shared" si="5"/>
        <v>2588.9077396323951</v>
      </c>
      <c r="G16" s="2">
        <f t="shared" si="6"/>
        <v>1475.2678093178561</v>
      </c>
      <c r="H16" s="2">
        <f t="shared" si="2"/>
        <v>1113.639930314539</v>
      </c>
      <c r="I16" s="16">
        <f t="shared" si="0"/>
        <v>0</v>
      </c>
      <c r="J16" s="2">
        <f t="shared" si="3"/>
        <v>13683.60416063248</v>
      </c>
      <c r="K16" s="2">
        <f t="shared" si="7"/>
        <v>334091.97909436165</v>
      </c>
      <c r="L16" s="23"/>
      <c r="M16" s="17"/>
    </row>
    <row r="17" spans="1:13">
      <c r="A17" s="17">
        <f t="shared" si="1"/>
        <v>2027</v>
      </c>
      <c r="B17" s="20">
        <f>SUM(F137:F148)+$K$2*12</f>
        <v>38266.892875588746</v>
      </c>
      <c r="C17" s="20">
        <f>H138*12+$L$2</f>
        <v>10498.119842616379</v>
      </c>
      <c r="D17">
        <v>13</v>
      </c>
      <c r="E17" s="1">
        <v>43466</v>
      </c>
      <c r="F17" s="2">
        <f t="shared" si="5"/>
        <v>2588.9077396323951</v>
      </c>
      <c r="G17" s="2">
        <f t="shared" si="6"/>
        <v>1480.185368682249</v>
      </c>
      <c r="H17" s="2">
        <f t="shared" si="2"/>
        <v>1108.7223709501461</v>
      </c>
      <c r="I17" s="16">
        <f t="shared" si="0"/>
        <v>0</v>
      </c>
      <c r="J17" s="2">
        <f t="shared" si="3"/>
        <v>14792.326531582627</v>
      </c>
      <c r="K17" s="2">
        <f t="shared" si="7"/>
        <v>332616.7112850438</v>
      </c>
      <c r="L17" s="23"/>
      <c r="M17" s="17"/>
    </row>
    <row r="18" spans="1:13">
      <c r="A18" s="17">
        <f t="shared" si="1"/>
        <v>2028</v>
      </c>
      <c r="B18" s="20">
        <f>SUM(F149:F160)+$K$2*12</f>
        <v>38266.892875588746</v>
      </c>
      <c r="C18" s="20">
        <f>H150*12+$L$2</f>
        <v>9415.6670357673866</v>
      </c>
      <c r="D18">
        <v>14</v>
      </c>
      <c r="E18" s="1">
        <v>43497</v>
      </c>
      <c r="F18" s="2">
        <f t="shared" si="5"/>
        <v>2588.9077396323951</v>
      </c>
      <c r="G18" s="2">
        <f t="shared" si="6"/>
        <v>1485.1193199111899</v>
      </c>
      <c r="H18" s="2">
        <f t="shared" si="2"/>
        <v>1103.7884197212052</v>
      </c>
      <c r="I18" s="16">
        <f t="shared" si="0"/>
        <v>0</v>
      </c>
      <c r="J18" s="2">
        <f t="shared" si="3"/>
        <v>15896.114951303833</v>
      </c>
      <c r="K18" s="2">
        <f t="shared" si="7"/>
        <v>331136.52591636154</v>
      </c>
      <c r="L18" s="23"/>
      <c r="M18" s="17"/>
    </row>
    <row r="19" spans="1:13">
      <c r="A19" s="17">
        <f t="shared" si="1"/>
        <v>2029</v>
      </c>
      <c r="B19" s="20">
        <f>SUM(F161:F172)+$K$2*12</f>
        <v>38266.892875588746</v>
      </c>
      <c r="C19" s="20">
        <f>H162*12+$L$2</f>
        <v>8289.1134314295086</v>
      </c>
      <c r="D19">
        <v>15</v>
      </c>
      <c r="E19" s="1">
        <v>43525</v>
      </c>
      <c r="F19" s="2">
        <f t="shared" si="5"/>
        <v>2588.9077396323951</v>
      </c>
      <c r="G19" s="2">
        <f t="shared" si="6"/>
        <v>1490.069717644227</v>
      </c>
      <c r="H19" s="2">
        <f t="shared" si="2"/>
        <v>1098.8380219881681</v>
      </c>
      <c r="I19" s="16">
        <f t="shared" si="0"/>
        <v>0</v>
      </c>
      <c r="J19" s="2">
        <f t="shared" si="3"/>
        <v>16994.952973292002</v>
      </c>
      <c r="K19" s="2">
        <f t="shared" si="7"/>
        <v>329651.40659645037</v>
      </c>
      <c r="L19" s="23"/>
      <c r="M19" s="17"/>
    </row>
    <row r="20" spans="1:13">
      <c r="A20" s="17">
        <f t="shared" si="1"/>
        <v>2030</v>
      </c>
      <c r="B20" s="20">
        <f>SUM(F173:F184)+$K$2*12</f>
        <v>38266.892875588746</v>
      </c>
      <c r="C20" s="20">
        <f>H174*12+$L$2</f>
        <v>7116.6622950690544</v>
      </c>
      <c r="D20">
        <v>16</v>
      </c>
      <c r="E20" s="1">
        <v>43556</v>
      </c>
      <c r="F20" s="2">
        <f t="shared" si="5"/>
        <v>2588.9077396323951</v>
      </c>
      <c r="G20" s="2">
        <f t="shared" si="6"/>
        <v>1495.0366167030413</v>
      </c>
      <c r="H20" s="2">
        <f t="shared" si="2"/>
        <v>1093.8711229293538</v>
      </c>
      <c r="I20" s="16">
        <f t="shared" si="0"/>
        <v>0</v>
      </c>
      <c r="J20" s="2">
        <f t="shared" si="3"/>
        <v>18088.824096221357</v>
      </c>
      <c r="K20" s="2">
        <f t="shared" si="7"/>
        <v>328161.33687880612</v>
      </c>
      <c r="L20" s="23"/>
      <c r="M20" s="17"/>
    </row>
    <row r="21" spans="1:13">
      <c r="A21" s="17">
        <f t="shared" si="1"/>
        <v>2031</v>
      </c>
      <c r="B21" s="20">
        <f>SUM(F185:F196)+$K$2*12</f>
        <v>7200.0000000127757</v>
      </c>
      <c r="C21" s="20">
        <f>H186*12+$L$2</f>
        <v>6000</v>
      </c>
      <c r="D21">
        <v>17</v>
      </c>
      <c r="E21" s="1">
        <v>43586</v>
      </c>
      <c r="F21" s="2">
        <f t="shared" si="5"/>
        <v>2588.9077396323951</v>
      </c>
      <c r="G21" s="2">
        <f t="shared" si="6"/>
        <v>1500.0200720920514</v>
      </c>
      <c r="H21" s="2">
        <f t="shared" si="2"/>
        <v>1088.8876675403437</v>
      </c>
      <c r="I21" s="16">
        <f t="shared" si="0"/>
        <v>0</v>
      </c>
      <c r="J21" s="2">
        <f t="shared" si="3"/>
        <v>19177.711763761701</v>
      </c>
      <c r="K21" s="2">
        <f t="shared" si="7"/>
        <v>326666.30026210309</v>
      </c>
      <c r="L21" s="23"/>
      <c r="M21" s="17"/>
    </row>
    <row r="22" spans="1:13">
      <c r="A22" s="17">
        <f t="shared" si="1"/>
        <v>2032</v>
      </c>
      <c r="B22" s="20">
        <f>SUM(F197:F208)+$K$2*12</f>
        <v>7200</v>
      </c>
      <c r="C22" s="20">
        <f>H198*12+$L$2</f>
        <v>6000</v>
      </c>
      <c r="D22">
        <v>18</v>
      </c>
      <c r="E22" s="1">
        <v>43617</v>
      </c>
      <c r="F22" s="2">
        <f t="shared" si="5"/>
        <v>2588.9077396323951</v>
      </c>
      <c r="G22" s="2">
        <f t="shared" si="6"/>
        <v>1505.020138999025</v>
      </c>
      <c r="H22" s="2">
        <f t="shared" si="2"/>
        <v>1083.8876006333701</v>
      </c>
      <c r="I22" s="16">
        <f t="shared" si="0"/>
        <v>0</v>
      </c>
      <c r="J22" s="2">
        <f t="shared" si="3"/>
        <v>20261.599364395071</v>
      </c>
      <c r="K22" s="2">
        <f t="shared" si="7"/>
        <v>325166.28019001102</v>
      </c>
      <c r="L22" s="23"/>
      <c r="M22" s="17"/>
    </row>
    <row r="23" spans="1:13">
      <c r="A23" s="17">
        <f t="shared" si="1"/>
        <v>2033</v>
      </c>
      <c r="B23" s="20">
        <f>SUM(F209:F220)+$K$2*12</f>
        <v>7200</v>
      </c>
      <c r="C23" s="20">
        <f>H210*12+$L$2</f>
        <v>6000</v>
      </c>
      <c r="D23">
        <v>19</v>
      </c>
      <c r="E23" s="1">
        <v>43647</v>
      </c>
      <c r="F23" s="2">
        <f t="shared" si="5"/>
        <v>2588.9077396323951</v>
      </c>
      <c r="G23" s="2">
        <f t="shared" si="6"/>
        <v>1510.0368727956884</v>
      </c>
      <c r="H23" s="2">
        <f t="shared" si="2"/>
        <v>1078.8708668367067</v>
      </c>
      <c r="I23" s="16">
        <f t="shared" si="0"/>
        <v>0</v>
      </c>
      <c r="J23" s="2">
        <f t="shared" si="3"/>
        <v>21340.470231231779</v>
      </c>
      <c r="K23" s="2">
        <f t="shared" si="7"/>
        <v>323661.26005101198</v>
      </c>
      <c r="L23" s="23"/>
      <c r="M23" s="17"/>
    </row>
    <row r="24" spans="1:13">
      <c r="A24" s="17">
        <f t="shared" si="1"/>
        <v>2034</v>
      </c>
      <c r="B24" s="20">
        <f>SUM(F221:F232)+$K$2*12</f>
        <v>7200</v>
      </c>
      <c r="C24" s="20">
        <f>H222*12+$L$2</f>
        <v>6000</v>
      </c>
      <c r="D24">
        <v>20</v>
      </c>
      <c r="E24" s="1">
        <v>43678</v>
      </c>
      <c r="F24" s="2">
        <f t="shared" si="5"/>
        <v>2588.9077396323951</v>
      </c>
      <c r="G24" s="2">
        <f t="shared" si="6"/>
        <v>1515.0703290383406</v>
      </c>
      <c r="H24" s="2">
        <f t="shared" si="2"/>
        <v>1073.8374105940545</v>
      </c>
      <c r="I24" s="16">
        <f t="shared" si="0"/>
        <v>0</v>
      </c>
      <c r="J24" s="2">
        <f t="shared" si="3"/>
        <v>22414.307641825832</v>
      </c>
      <c r="K24" s="2">
        <f t="shared" si="7"/>
        <v>322151.22317821631</v>
      </c>
      <c r="L24" s="23"/>
      <c r="M24" s="17"/>
    </row>
    <row r="25" spans="1:13">
      <c r="A25" s="17">
        <f t="shared" si="1"/>
        <v>2035</v>
      </c>
      <c r="B25" s="20">
        <f>SUM(F234:F245)+$K$2*12</f>
        <v>7200</v>
      </c>
      <c r="C25" s="20">
        <f>H234*12+$L$2</f>
        <v>6000</v>
      </c>
      <c r="D25">
        <v>21</v>
      </c>
      <c r="E25" s="1">
        <v>43709</v>
      </c>
      <c r="F25" s="2">
        <f t="shared" si="5"/>
        <v>2588.9077396323951</v>
      </c>
      <c r="G25" s="2">
        <f t="shared" si="6"/>
        <v>1520.1205634684686</v>
      </c>
      <c r="H25" s="2">
        <f t="shared" si="2"/>
        <v>1068.7871761639265</v>
      </c>
      <c r="I25" s="16">
        <f t="shared" si="0"/>
        <v>0</v>
      </c>
      <c r="J25" s="2">
        <f t="shared" si="3"/>
        <v>23483.094817989757</v>
      </c>
      <c r="K25" s="2">
        <f t="shared" si="7"/>
        <v>320636.15284917795</v>
      </c>
      <c r="L25" s="23"/>
      <c r="M25" s="17"/>
    </row>
    <row r="26" spans="1:13">
      <c r="A26" s="17">
        <f t="shared" si="1"/>
        <v>2036</v>
      </c>
      <c r="B26" s="20">
        <f>SUM(F246:F257)+$K$2*12</f>
        <v>7200</v>
      </c>
      <c r="C26" s="20">
        <f>H246*12+$L$2</f>
        <v>6000</v>
      </c>
      <c r="D26">
        <v>22</v>
      </c>
      <c r="E26" s="1">
        <v>43739</v>
      </c>
      <c r="F26" s="2">
        <f t="shared" si="5"/>
        <v>2588.9077396323951</v>
      </c>
      <c r="G26" s="2">
        <f t="shared" si="6"/>
        <v>1525.1876320133636</v>
      </c>
      <c r="H26" s="2">
        <f t="shared" si="2"/>
        <v>1063.7201076190315</v>
      </c>
      <c r="I26" s="16">
        <f t="shared" si="0"/>
        <v>0</v>
      </c>
      <c r="J26" s="2">
        <f t="shared" si="3"/>
        <v>24546.814925608789</v>
      </c>
      <c r="K26" s="2">
        <f t="shared" si="7"/>
        <v>319116.03228570946</v>
      </c>
      <c r="L26" s="23"/>
      <c r="M26" s="17"/>
    </row>
    <row r="27" spans="1:13">
      <c r="A27" s="17">
        <f t="shared" si="1"/>
        <v>2037</v>
      </c>
      <c r="B27" s="20">
        <f>SUM(F258:F269)+$K$2*12</f>
        <v>7200</v>
      </c>
      <c r="C27" s="20">
        <f>H258*12+$L$2</f>
        <v>6000</v>
      </c>
      <c r="D27">
        <v>23</v>
      </c>
      <c r="E27" s="1">
        <v>43770</v>
      </c>
      <c r="F27" s="2">
        <f t="shared" si="5"/>
        <v>2588.9077396323951</v>
      </c>
      <c r="G27" s="2">
        <f t="shared" si="6"/>
        <v>1530.2715907867414</v>
      </c>
      <c r="H27" s="2">
        <f t="shared" si="2"/>
        <v>1058.6361488456537</v>
      </c>
      <c r="I27" s="16">
        <f t="shared" si="0"/>
        <v>0</v>
      </c>
      <c r="J27" s="2">
        <f t="shared" si="3"/>
        <v>25605.451074454442</v>
      </c>
      <c r="K27" s="2">
        <f t="shared" si="7"/>
        <v>317590.84465369611</v>
      </c>
      <c r="L27" s="23"/>
      <c r="M27" s="17"/>
    </row>
    <row r="28" spans="1:13">
      <c r="A28" s="17">
        <f t="shared" si="1"/>
        <v>2038</v>
      </c>
      <c r="B28" s="20">
        <f>SUM(F270:F281)+$K$2*12</f>
        <v>7200</v>
      </c>
      <c r="C28" s="20">
        <f>H270*12+$L$2</f>
        <v>6000</v>
      </c>
      <c r="D28">
        <v>24</v>
      </c>
      <c r="E28" s="1">
        <v>43800</v>
      </c>
      <c r="F28" s="2">
        <f t="shared" si="5"/>
        <v>2588.9077396323951</v>
      </c>
      <c r="G28" s="2">
        <f t="shared" si="6"/>
        <v>1535.3724960893637</v>
      </c>
      <c r="H28" s="2">
        <f t="shared" si="2"/>
        <v>1053.5352435430314</v>
      </c>
      <c r="I28" s="16">
        <f t="shared" si="0"/>
        <v>0</v>
      </c>
      <c r="J28" s="2">
        <f t="shared" si="3"/>
        <v>26658.986317997475</v>
      </c>
      <c r="K28" s="2">
        <f t="shared" si="7"/>
        <v>316060.57306290936</v>
      </c>
      <c r="L28" s="23"/>
      <c r="M28" s="17"/>
    </row>
    <row r="29" spans="1:13">
      <c r="A29" s="17">
        <f t="shared" si="1"/>
        <v>2039</v>
      </c>
      <c r="B29" s="20">
        <f>SUM(F282:F293)+$K$2*12</f>
        <v>7200</v>
      </c>
      <c r="C29" s="20">
        <f>H282*12+$L$2</f>
        <v>6000</v>
      </c>
      <c r="D29">
        <v>25</v>
      </c>
      <c r="E29" s="1">
        <v>43831</v>
      </c>
      <c r="F29" s="2">
        <f t="shared" si="5"/>
        <v>2588.9077396323951</v>
      </c>
      <c r="G29" s="2">
        <f t="shared" si="6"/>
        <v>1540.4904044096618</v>
      </c>
      <c r="H29" s="2">
        <f t="shared" si="2"/>
        <v>1048.4173352227333</v>
      </c>
      <c r="I29" s="16">
        <f t="shared" si="0"/>
        <v>0</v>
      </c>
      <c r="J29" s="2">
        <f t="shared" si="3"/>
        <v>27707.403653220208</v>
      </c>
      <c r="K29" s="2">
        <f t="shared" si="7"/>
        <v>314525.20056681999</v>
      </c>
      <c r="L29" s="23"/>
      <c r="M29" s="17"/>
    </row>
    <row r="30" spans="1:13">
      <c r="A30" s="17">
        <f t="shared" si="1"/>
        <v>2040</v>
      </c>
      <c r="B30" s="20">
        <f>SUM(F294:F305)+$K$2*12</f>
        <v>7200</v>
      </c>
      <c r="C30" s="20">
        <f>H294*12+$L$2</f>
        <v>6000</v>
      </c>
      <c r="D30">
        <v>26</v>
      </c>
      <c r="E30" s="1">
        <v>43862</v>
      </c>
      <c r="F30" s="2">
        <f t="shared" si="5"/>
        <v>2588.9077396323951</v>
      </c>
      <c r="G30" s="2">
        <f t="shared" si="6"/>
        <v>1545.6253724243606</v>
      </c>
      <c r="H30" s="2">
        <f t="shared" si="2"/>
        <v>1043.2823672080344</v>
      </c>
      <c r="I30" s="16">
        <f t="shared" si="0"/>
        <v>0</v>
      </c>
      <c r="J30" s="2">
        <f t="shared" si="3"/>
        <v>28750.686020428242</v>
      </c>
      <c r="K30" s="2">
        <f t="shared" si="7"/>
        <v>312984.71016241034</v>
      </c>
      <c r="L30" s="23"/>
      <c r="M30" s="17"/>
    </row>
    <row r="31" spans="1:13">
      <c r="A31" s="17">
        <f t="shared" si="1"/>
        <v>2041</v>
      </c>
      <c r="B31" s="20">
        <f>SUM(F306:F317)+$K$2*12</f>
        <v>7200</v>
      </c>
      <c r="C31" s="20">
        <f>H306*12+$L$2</f>
        <v>6000</v>
      </c>
      <c r="D31">
        <v>27</v>
      </c>
      <c r="E31" s="1">
        <v>43891</v>
      </c>
      <c r="F31" s="2">
        <f t="shared" si="5"/>
        <v>2588.9077396323951</v>
      </c>
      <c r="G31" s="2">
        <f t="shared" si="6"/>
        <v>1550.7774569991084</v>
      </c>
      <c r="H31" s="2">
        <f t="shared" si="2"/>
        <v>1038.1302826332867</v>
      </c>
      <c r="I31" s="16">
        <f t="shared" si="0"/>
        <v>0</v>
      </c>
      <c r="J31" s="2">
        <f t="shared" si="3"/>
        <v>29788.816303061529</v>
      </c>
      <c r="K31" s="2">
        <f t="shared" si="7"/>
        <v>311439.08478998597</v>
      </c>
      <c r="L31" s="23"/>
      <c r="M31" s="17"/>
    </row>
    <row r="32" spans="1:13">
      <c r="A32" s="17">
        <f t="shared" si="1"/>
        <v>2042</v>
      </c>
      <c r="B32" s="20">
        <f>SUM(F318:F329)+$K$2*12</f>
        <v>7200</v>
      </c>
      <c r="C32" s="20">
        <f>H318*12+$L$2</f>
        <v>6000</v>
      </c>
      <c r="D32">
        <v>28</v>
      </c>
      <c r="E32" s="1">
        <v>43922</v>
      </c>
      <c r="F32" s="2">
        <f t="shared" si="5"/>
        <v>2588.9077396323951</v>
      </c>
      <c r="G32" s="2">
        <f t="shared" si="6"/>
        <v>1555.9467151891056</v>
      </c>
      <c r="H32" s="2">
        <f t="shared" si="2"/>
        <v>1032.9610244432895</v>
      </c>
      <c r="I32" s="16">
        <f t="shared" si="0"/>
        <v>0</v>
      </c>
      <c r="J32" s="2">
        <f t="shared" si="3"/>
        <v>30821.777327504817</v>
      </c>
      <c r="K32" s="2">
        <f t="shared" si="7"/>
        <v>309888.30733298685</v>
      </c>
      <c r="L32" s="23"/>
      <c r="M32" s="17"/>
    </row>
    <row r="33" spans="1:13">
      <c r="A33" s="17">
        <f t="shared" si="1"/>
        <v>2043</v>
      </c>
      <c r="B33" s="20">
        <f>SUM(F330:F341)+$K$2*12</f>
        <v>7200</v>
      </c>
      <c r="C33" s="20">
        <f>H330*12+$L$2</f>
        <v>6000</v>
      </c>
      <c r="D33">
        <v>29</v>
      </c>
      <c r="E33" s="1">
        <v>43952</v>
      </c>
      <c r="F33" s="2">
        <f t="shared" si="5"/>
        <v>2588.9077396323951</v>
      </c>
      <c r="G33" s="2">
        <f t="shared" si="6"/>
        <v>1561.1332042397357</v>
      </c>
      <c r="H33" s="2">
        <f t="shared" si="2"/>
        <v>1027.7745353926593</v>
      </c>
      <c r="I33" s="16">
        <f t="shared" si="0"/>
        <v>0</v>
      </c>
      <c r="J33" s="2">
        <f t="shared" si="3"/>
        <v>31849.551862897475</v>
      </c>
      <c r="K33" s="2">
        <f t="shared" si="7"/>
        <v>308332.36061779776</v>
      </c>
      <c r="L33" s="23"/>
      <c r="M33" s="17"/>
    </row>
    <row r="34" spans="1:13">
      <c r="A34" s="17">
        <f t="shared" si="1"/>
        <v>2044</v>
      </c>
      <c r="B34" s="20">
        <f>SUM(F342:F353)+$K$2*12</f>
        <v>7200</v>
      </c>
      <c r="C34" s="20">
        <f>H342*12+$L$2</f>
        <v>6000</v>
      </c>
      <c r="D34">
        <v>30</v>
      </c>
      <c r="E34" s="1">
        <v>43983</v>
      </c>
      <c r="F34" s="2">
        <f t="shared" si="5"/>
        <v>2588.9077396323951</v>
      </c>
      <c r="G34" s="2">
        <f t="shared" si="6"/>
        <v>1566.3369815872015</v>
      </c>
      <c r="H34" s="2">
        <f t="shared" si="2"/>
        <v>1022.5707580451935</v>
      </c>
      <c r="I34" s="16">
        <f t="shared" si="0"/>
        <v>0</v>
      </c>
      <c r="J34" s="2">
        <f t="shared" si="3"/>
        <v>32872.122620942668</v>
      </c>
      <c r="K34" s="2">
        <f t="shared" si="7"/>
        <v>306771.22741355805</v>
      </c>
      <c r="L34" s="23"/>
      <c r="M34" s="17"/>
    </row>
    <row r="35" spans="1:13">
      <c r="A35" s="17">
        <f t="shared" si="1"/>
        <v>2045</v>
      </c>
      <c r="B35" s="20">
        <f>SUM(F354:F365)+$K$2*12</f>
        <v>7200</v>
      </c>
      <c r="C35" s="20">
        <f>H356*12+$L$2</f>
        <v>6000</v>
      </c>
      <c r="D35">
        <v>31</v>
      </c>
      <c r="E35" s="1">
        <v>44013</v>
      </c>
      <c r="F35" s="2">
        <f t="shared" si="5"/>
        <v>2588.9077396323951</v>
      </c>
      <c r="G35" s="2">
        <f t="shared" si="6"/>
        <v>1571.5581048591589</v>
      </c>
      <c r="H35" s="2">
        <f t="shared" si="2"/>
        <v>1017.3496347732362</v>
      </c>
      <c r="I35" s="16">
        <f t="shared" si="0"/>
        <v>0</v>
      </c>
      <c r="J35" s="2">
        <f t="shared" si="3"/>
        <v>33889.472255715904</v>
      </c>
      <c r="K35" s="2">
        <f t="shared" si="7"/>
        <v>305204.89043197082</v>
      </c>
      <c r="L35" s="23"/>
      <c r="M35" s="17"/>
    </row>
    <row r="36" spans="1:13">
      <c r="B36" s="20"/>
      <c r="C36" s="20"/>
      <c r="D36">
        <v>32</v>
      </c>
      <c r="E36" s="1">
        <v>44044</v>
      </c>
      <c r="F36" s="2">
        <f t="shared" si="5"/>
        <v>2588.9077396323951</v>
      </c>
      <c r="G36" s="2">
        <f t="shared" si="6"/>
        <v>1576.7966318753561</v>
      </c>
      <c r="H36" s="2">
        <f t="shared" si="2"/>
        <v>1012.111107757039</v>
      </c>
      <c r="I36" s="16">
        <f t="shared" si="0"/>
        <v>0</v>
      </c>
      <c r="J36" s="2">
        <f t="shared" si="3"/>
        <v>34901.583363472942</v>
      </c>
      <c r="K36" s="2">
        <f t="shared" si="7"/>
        <v>303633.33232711168</v>
      </c>
    </row>
    <row r="37" spans="1:13">
      <c r="B37" s="20"/>
      <c r="C37" s="20"/>
      <c r="D37">
        <v>33</v>
      </c>
      <c r="E37" s="1">
        <v>44075</v>
      </c>
      <c r="F37" s="2">
        <f t="shared" si="5"/>
        <v>2588.9077396323951</v>
      </c>
      <c r="G37" s="2">
        <f t="shared" si="6"/>
        <v>1582.0526206482739</v>
      </c>
      <c r="H37" s="2">
        <f t="shared" si="2"/>
        <v>1006.8551189841212</v>
      </c>
      <c r="I37" s="16">
        <f t="shared" si="0"/>
        <v>0</v>
      </c>
      <c r="J37" s="2">
        <f t="shared" si="3"/>
        <v>35908.438482457066</v>
      </c>
      <c r="K37" s="2">
        <f t="shared" si="7"/>
        <v>302056.53569523635</v>
      </c>
    </row>
    <row r="38" spans="1:13">
      <c r="B38" s="20"/>
      <c r="C38" s="20"/>
      <c r="D38">
        <v>34</v>
      </c>
      <c r="E38" s="1">
        <v>44105</v>
      </c>
      <c r="F38" s="2">
        <f t="shared" si="5"/>
        <v>2588.9077396323951</v>
      </c>
      <c r="G38" s="2">
        <f t="shared" si="6"/>
        <v>1587.3261293837681</v>
      </c>
      <c r="H38" s="2">
        <f t="shared" si="2"/>
        <v>1001.5816102486269</v>
      </c>
      <c r="I38" s="16">
        <f t="shared" si="0"/>
        <v>0</v>
      </c>
      <c r="J38" s="2">
        <f t="shared" si="3"/>
        <v>36910.020092705694</v>
      </c>
      <c r="K38" s="2">
        <f t="shared" si="7"/>
        <v>300474.48307458806</v>
      </c>
    </row>
    <row r="39" spans="1:13">
      <c r="B39" s="20"/>
      <c r="C39" s="20"/>
      <c r="D39">
        <v>35</v>
      </c>
      <c r="E39" s="1">
        <v>44136</v>
      </c>
      <c r="F39" s="2">
        <f t="shared" si="5"/>
        <v>2588.9077396323951</v>
      </c>
      <c r="G39" s="2">
        <f t="shared" si="6"/>
        <v>1592.617216481714</v>
      </c>
      <c r="H39" s="2">
        <f t="shared" si="2"/>
        <v>996.29052315068111</v>
      </c>
      <c r="I39" s="16">
        <f t="shared" si="0"/>
        <v>0</v>
      </c>
      <c r="J39" s="2">
        <f t="shared" si="3"/>
        <v>37906.310615856375</v>
      </c>
      <c r="K39" s="2">
        <f t="shared" si="7"/>
        <v>298887.1569452043</v>
      </c>
    </row>
    <row r="40" spans="1:13">
      <c r="B40" s="20"/>
      <c r="C40" s="20"/>
      <c r="D40">
        <v>36</v>
      </c>
      <c r="E40" s="1">
        <v>44166</v>
      </c>
      <c r="F40" s="2">
        <f t="shared" si="5"/>
        <v>2588.9077396323951</v>
      </c>
      <c r="G40" s="2">
        <f t="shared" si="6"/>
        <v>1597.9259405366529</v>
      </c>
      <c r="H40" s="2">
        <f t="shared" si="2"/>
        <v>990.98179909574208</v>
      </c>
      <c r="I40" s="16">
        <f t="shared" si="0"/>
        <v>0</v>
      </c>
      <c r="J40" s="2">
        <f t="shared" si="3"/>
        <v>38897.29241495212</v>
      </c>
      <c r="K40" s="2">
        <f t="shared" si="7"/>
        <v>297294.53972872259</v>
      </c>
    </row>
    <row r="41" spans="1:13">
      <c r="B41" s="20"/>
      <c r="C41" s="20"/>
      <c r="D41">
        <v>37</v>
      </c>
      <c r="E41" s="1">
        <v>44197</v>
      </c>
      <c r="F41" s="2">
        <f t="shared" si="5"/>
        <v>2588.9077396323951</v>
      </c>
      <c r="G41" s="2">
        <f t="shared" si="6"/>
        <v>1603.252360338442</v>
      </c>
      <c r="H41" s="2">
        <f t="shared" si="2"/>
        <v>985.65537929395316</v>
      </c>
      <c r="I41" s="16">
        <f t="shared" si="0"/>
        <v>0</v>
      </c>
      <c r="J41" s="2">
        <f t="shared" si="3"/>
        <v>39882.947794246073</v>
      </c>
      <c r="K41" s="2">
        <f t="shared" si="7"/>
        <v>295696.61378818593</v>
      </c>
    </row>
    <row r="42" spans="1:13">
      <c r="B42" s="20"/>
      <c r="C42" s="20"/>
      <c r="D42">
        <v>38</v>
      </c>
      <c r="E42" s="1">
        <v>44228</v>
      </c>
      <c r="F42" s="2">
        <f t="shared" si="5"/>
        <v>2588.9077396323951</v>
      </c>
      <c r="G42" s="2">
        <f t="shared" si="6"/>
        <v>1608.5965348729035</v>
      </c>
      <c r="H42" s="2">
        <f t="shared" si="2"/>
        <v>980.3112047594916</v>
      </c>
      <c r="I42" s="16">
        <f t="shared" si="0"/>
        <v>0</v>
      </c>
      <c r="J42" s="2">
        <f t="shared" si="3"/>
        <v>40863.258999005564</v>
      </c>
      <c r="K42" s="2">
        <f t="shared" si="7"/>
        <v>294093.36142784747</v>
      </c>
    </row>
    <row r="43" spans="1:13">
      <c r="B43" s="20"/>
      <c r="C43" s="20"/>
      <c r="D43">
        <v>39</v>
      </c>
      <c r="E43" s="1">
        <v>44256</v>
      </c>
      <c r="F43" s="2">
        <f t="shared" si="5"/>
        <v>2588.9077396323951</v>
      </c>
      <c r="G43" s="2">
        <f t="shared" si="6"/>
        <v>1613.9585233224798</v>
      </c>
      <c r="H43" s="2">
        <f t="shared" si="2"/>
        <v>974.9492163099153</v>
      </c>
      <c r="I43" s="16">
        <f t="shared" si="0"/>
        <v>0</v>
      </c>
      <c r="J43" s="2">
        <f t="shared" si="3"/>
        <v>41838.208215315477</v>
      </c>
      <c r="K43" s="2">
        <f t="shared" si="7"/>
        <v>292484.76489297458</v>
      </c>
    </row>
    <row r="44" spans="1:13">
      <c r="B44" s="20"/>
      <c r="C44" s="20"/>
      <c r="D44">
        <v>40</v>
      </c>
      <c r="E44" s="1">
        <v>44287</v>
      </c>
      <c r="F44" s="2">
        <f t="shared" si="5"/>
        <v>2588.9077396323951</v>
      </c>
      <c r="G44" s="2">
        <f t="shared" si="6"/>
        <v>1619.3383850668879</v>
      </c>
      <c r="H44" s="2">
        <f t="shared" si="2"/>
        <v>969.56935456550707</v>
      </c>
      <c r="I44" s="16">
        <f t="shared" si="0"/>
        <v>0</v>
      </c>
      <c r="J44" s="2">
        <f t="shared" si="3"/>
        <v>42807.777569880986</v>
      </c>
      <c r="K44" s="2">
        <f t="shared" si="7"/>
        <v>290870.8063696521</v>
      </c>
    </row>
    <row r="45" spans="1:13">
      <c r="B45" s="20"/>
      <c r="C45" s="20"/>
      <c r="D45">
        <v>41</v>
      </c>
      <c r="E45" s="1">
        <v>44317</v>
      </c>
      <c r="F45" s="2">
        <f t="shared" si="5"/>
        <v>2588.9077396323951</v>
      </c>
      <c r="G45" s="2">
        <f t="shared" si="6"/>
        <v>1624.7361796837777</v>
      </c>
      <c r="H45" s="2">
        <f t="shared" si="2"/>
        <v>964.17155994861741</v>
      </c>
      <c r="I45" s="16">
        <f t="shared" si="0"/>
        <v>0</v>
      </c>
      <c r="J45" s="2">
        <f t="shared" si="3"/>
        <v>43771.949129829605</v>
      </c>
      <c r="K45" s="2">
        <f t="shared" si="7"/>
        <v>289251.46798458521</v>
      </c>
    </row>
    <row r="46" spans="1:13">
      <c r="B46" s="20"/>
      <c r="C46" s="20"/>
      <c r="D46">
        <v>42</v>
      </c>
      <c r="E46" s="1">
        <v>44348</v>
      </c>
      <c r="F46" s="2">
        <f t="shared" si="5"/>
        <v>2588.9077396323951</v>
      </c>
      <c r="G46" s="2">
        <f t="shared" si="6"/>
        <v>1630.15196694939</v>
      </c>
      <c r="H46" s="2">
        <f t="shared" si="2"/>
        <v>958.75577268300492</v>
      </c>
      <c r="I46" s="16">
        <f t="shared" si="0"/>
        <v>0</v>
      </c>
      <c r="J46" s="2">
        <f t="shared" si="3"/>
        <v>44730.704902512611</v>
      </c>
      <c r="K46" s="2">
        <f t="shared" si="7"/>
        <v>287626.73180490144</v>
      </c>
    </row>
    <row r="47" spans="1:13">
      <c r="B47" s="20"/>
      <c r="C47" s="20"/>
      <c r="D47">
        <v>43</v>
      </c>
      <c r="E47" s="1">
        <v>44378</v>
      </c>
      <c r="F47" s="2">
        <f t="shared" si="5"/>
        <v>2588.9077396323951</v>
      </c>
      <c r="G47" s="2">
        <f t="shared" si="6"/>
        <v>1635.5858068392215</v>
      </c>
      <c r="H47" s="2">
        <f t="shared" si="2"/>
        <v>953.32193279317357</v>
      </c>
      <c r="I47" s="16">
        <f t="shared" si="0"/>
        <v>0</v>
      </c>
      <c r="J47" s="2">
        <f t="shared" si="3"/>
        <v>45684.026835305784</v>
      </c>
      <c r="K47" s="2">
        <f t="shared" si="7"/>
        <v>285996.57983795204</v>
      </c>
    </row>
    <row r="48" spans="1:13">
      <c r="B48" s="20"/>
      <c r="C48" s="20"/>
      <c r="D48">
        <v>44</v>
      </c>
      <c r="E48" s="1">
        <v>44409</v>
      </c>
      <c r="F48" s="2">
        <f t="shared" si="5"/>
        <v>2588.9077396323951</v>
      </c>
      <c r="G48" s="2">
        <f t="shared" si="6"/>
        <v>1641.0377595286857</v>
      </c>
      <c r="H48" s="2">
        <f t="shared" si="2"/>
        <v>947.86998010370939</v>
      </c>
      <c r="I48" s="16">
        <f t="shared" si="0"/>
        <v>0</v>
      </c>
      <c r="J48" s="2">
        <f t="shared" si="3"/>
        <v>46631.896815409491</v>
      </c>
      <c r="K48" s="2">
        <f t="shared" si="7"/>
        <v>284360.99403111282</v>
      </c>
    </row>
    <row r="49" spans="2:11">
      <c r="B49" s="20"/>
      <c r="C49" s="20"/>
      <c r="D49">
        <v>45</v>
      </c>
      <c r="E49" s="1">
        <v>44440</v>
      </c>
      <c r="F49" s="2">
        <f t="shared" si="5"/>
        <v>2588.9077396323951</v>
      </c>
      <c r="G49" s="2">
        <f t="shared" si="6"/>
        <v>1646.5078853937812</v>
      </c>
      <c r="H49" s="2">
        <f t="shared" si="2"/>
        <v>942.3998542386139</v>
      </c>
      <c r="I49" s="16">
        <f t="shared" si="0"/>
        <v>0</v>
      </c>
      <c r="J49" s="2">
        <f t="shared" si="3"/>
        <v>47574.296669648102</v>
      </c>
      <c r="K49" s="2">
        <f t="shared" si="7"/>
        <v>282719.95627158415</v>
      </c>
    </row>
    <row r="50" spans="2:11">
      <c r="B50" s="20"/>
      <c r="C50" s="20"/>
      <c r="D50">
        <v>46</v>
      </c>
      <c r="E50" s="1">
        <v>44470</v>
      </c>
      <c r="F50" s="2">
        <f t="shared" si="5"/>
        <v>2588.9077396323951</v>
      </c>
      <c r="G50" s="2">
        <f t="shared" si="6"/>
        <v>1651.9962450117605</v>
      </c>
      <c r="H50" s="2">
        <f t="shared" si="2"/>
        <v>936.91149462063458</v>
      </c>
      <c r="I50" s="16">
        <f t="shared" si="0"/>
        <v>0</v>
      </c>
      <c r="J50" s="2">
        <f t="shared" si="3"/>
        <v>48511.208164268734</v>
      </c>
      <c r="K50" s="2">
        <f t="shared" si="7"/>
        <v>281073.44838619034</v>
      </c>
    </row>
    <row r="51" spans="2:11">
      <c r="B51" s="20"/>
      <c r="C51" s="20"/>
      <c r="D51">
        <v>47</v>
      </c>
      <c r="E51" s="1">
        <v>44501</v>
      </c>
      <c r="F51" s="2">
        <f t="shared" si="5"/>
        <v>2588.9077396323951</v>
      </c>
      <c r="G51" s="2">
        <f t="shared" si="6"/>
        <v>1657.5028991617996</v>
      </c>
      <c r="H51" s="2">
        <f t="shared" si="2"/>
        <v>931.40484047059533</v>
      </c>
      <c r="I51" s="16">
        <f t="shared" si="0"/>
        <v>0</v>
      </c>
      <c r="J51" s="2">
        <f t="shared" si="3"/>
        <v>49442.613004739331</v>
      </c>
      <c r="K51" s="2">
        <f t="shared" si="7"/>
        <v>279421.4521411786</v>
      </c>
    </row>
    <row r="52" spans="2:11">
      <c r="B52" s="20"/>
      <c r="C52" s="20"/>
      <c r="D52">
        <v>48</v>
      </c>
      <c r="E52" s="1">
        <v>44531</v>
      </c>
      <c r="F52" s="2">
        <f t="shared" si="5"/>
        <v>2588.9077396323951</v>
      </c>
      <c r="G52" s="2">
        <f t="shared" si="6"/>
        <v>1663.0279088256723</v>
      </c>
      <c r="H52" s="2">
        <f t="shared" si="2"/>
        <v>925.87983080672279</v>
      </c>
      <c r="I52" s="16">
        <f t="shared" si="0"/>
        <v>0</v>
      </c>
      <c r="J52" s="2">
        <f t="shared" si="3"/>
        <v>50368.492835546051</v>
      </c>
      <c r="K52" s="2">
        <f t="shared" si="7"/>
        <v>277763.94924201682</v>
      </c>
    </row>
    <row r="53" spans="2:11">
      <c r="B53" s="20"/>
      <c r="C53" s="20"/>
      <c r="D53">
        <v>49</v>
      </c>
      <c r="E53" s="1">
        <v>44562</v>
      </c>
      <c r="F53" s="2">
        <f t="shared" si="5"/>
        <v>2588.9077396323951</v>
      </c>
      <c r="G53" s="2">
        <f t="shared" si="6"/>
        <v>1668.5713351884247</v>
      </c>
      <c r="H53" s="2">
        <f t="shared" si="2"/>
        <v>920.33640444397054</v>
      </c>
      <c r="I53" s="16">
        <f t="shared" si="0"/>
        <v>0</v>
      </c>
      <c r="J53" s="2">
        <f t="shared" si="3"/>
        <v>51288.829239990024</v>
      </c>
      <c r="K53" s="2">
        <f t="shared" si="7"/>
        <v>276100.92133319116</v>
      </c>
    </row>
    <row r="54" spans="2:11">
      <c r="B54" s="20"/>
      <c r="C54" s="20"/>
      <c r="D54">
        <v>50</v>
      </c>
      <c r="E54" s="1">
        <v>44593</v>
      </c>
      <c r="F54" s="2">
        <f t="shared" si="5"/>
        <v>2588.9077396323951</v>
      </c>
      <c r="G54" s="2">
        <f t="shared" si="6"/>
        <v>1674.1332396390526</v>
      </c>
      <c r="H54" s="2">
        <f t="shared" si="2"/>
        <v>914.7744999933426</v>
      </c>
      <c r="I54" s="16">
        <f t="shared" si="0"/>
        <v>0</v>
      </c>
      <c r="J54" s="2">
        <f t="shared" si="3"/>
        <v>52203.603739983366</v>
      </c>
      <c r="K54" s="2">
        <f t="shared" si="7"/>
        <v>274432.34999800276</v>
      </c>
    </row>
    <row r="55" spans="2:11">
      <c r="B55" s="20"/>
      <c r="C55" s="20"/>
      <c r="D55">
        <v>51</v>
      </c>
      <c r="E55" s="1">
        <v>44621</v>
      </c>
      <c r="F55" s="2">
        <f t="shared" si="5"/>
        <v>2588.9077396323951</v>
      </c>
      <c r="G55" s="2">
        <f t="shared" si="6"/>
        <v>1679.7136837711828</v>
      </c>
      <c r="H55" s="2">
        <f t="shared" si="2"/>
        <v>909.19405586121241</v>
      </c>
      <c r="I55" s="16">
        <f t="shared" si="0"/>
        <v>0</v>
      </c>
      <c r="J55" s="2">
        <f t="shared" si="3"/>
        <v>53112.797795844577</v>
      </c>
      <c r="K55" s="2">
        <f t="shared" si="7"/>
        <v>272758.21675836371</v>
      </c>
    </row>
    <row r="56" spans="2:11">
      <c r="B56" s="20"/>
      <c r="C56" s="20"/>
      <c r="D56">
        <v>52</v>
      </c>
      <c r="E56" s="1">
        <v>44652</v>
      </c>
      <c r="F56" s="2">
        <f t="shared" si="5"/>
        <v>2588.9077396323951</v>
      </c>
      <c r="G56" s="2">
        <f t="shared" si="6"/>
        <v>1685.3127293837533</v>
      </c>
      <c r="H56" s="2">
        <f t="shared" si="2"/>
        <v>903.59501024864176</v>
      </c>
      <c r="I56" s="16">
        <f t="shared" si="0"/>
        <v>0</v>
      </c>
      <c r="J56" s="2">
        <f t="shared" si="3"/>
        <v>54016.392806093216</v>
      </c>
      <c r="K56" s="2">
        <f t="shared" si="7"/>
        <v>271078.5030745925</v>
      </c>
    </row>
    <row r="57" spans="2:11">
      <c r="B57" s="20"/>
      <c r="C57" s="20"/>
      <c r="D57">
        <v>53</v>
      </c>
      <c r="E57" s="1">
        <v>44682</v>
      </c>
      <c r="F57" s="2">
        <f t="shared" si="5"/>
        <v>2588.9077396323951</v>
      </c>
      <c r="G57" s="2">
        <f t="shared" si="6"/>
        <v>1690.9304384816992</v>
      </c>
      <c r="H57" s="2">
        <f t="shared" si="2"/>
        <v>897.97730115069589</v>
      </c>
      <c r="I57" s="16">
        <f t="shared" si="0"/>
        <v>0</v>
      </c>
      <c r="J57" s="2">
        <f t="shared" si="3"/>
        <v>54914.370107243914</v>
      </c>
      <c r="K57" s="2">
        <f t="shared" si="7"/>
        <v>269393.19034520874</v>
      </c>
    </row>
    <row r="58" spans="2:11">
      <c r="B58" s="20"/>
      <c r="C58" s="20"/>
      <c r="D58">
        <v>54</v>
      </c>
      <c r="E58" s="1">
        <v>44713</v>
      </c>
      <c r="F58" s="2">
        <f t="shared" si="5"/>
        <v>2588.9077396323951</v>
      </c>
      <c r="G58" s="2">
        <f t="shared" si="6"/>
        <v>1696.566873276638</v>
      </c>
      <c r="H58" s="2">
        <f t="shared" si="2"/>
        <v>892.34086635575693</v>
      </c>
      <c r="I58" s="16">
        <f t="shared" si="0"/>
        <v>0</v>
      </c>
      <c r="J58" s="2">
        <f t="shared" si="3"/>
        <v>55806.710973599671</v>
      </c>
      <c r="K58" s="2">
        <f t="shared" si="7"/>
        <v>267702.25990672706</v>
      </c>
    </row>
    <row r="59" spans="2:11">
      <c r="B59" s="20"/>
      <c r="C59" s="20"/>
      <c r="D59">
        <v>55</v>
      </c>
      <c r="E59" s="1">
        <v>44743</v>
      </c>
      <c r="F59" s="2">
        <f t="shared" si="5"/>
        <v>2588.9077396323951</v>
      </c>
      <c r="G59" s="2">
        <f t="shared" si="6"/>
        <v>1702.2220961875605</v>
      </c>
      <c r="H59" s="2">
        <f t="shared" si="2"/>
        <v>886.68564344483468</v>
      </c>
      <c r="I59" s="16">
        <f t="shared" si="0"/>
        <v>0</v>
      </c>
      <c r="J59" s="2">
        <f t="shared" si="3"/>
        <v>56693.396617044506</v>
      </c>
      <c r="K59" s="2">
        <f t="shared" si="7"/>
        <v>266005.6930334504</v>
      </c>
    </row>
    <row r="60" spans="2:11">
      <c r="B60" s="20"/>
      <c r="C60" s="20"/>
      <c r="D60">
        <v>56</v>
      </c>
      <c r="E60" s="1">
        <v>44774</v>
      </c>
      <c r="F60" s="2">
        <f t="shared" si="5"/>
        <v>2588.9077396323951</v>
      </c>
      <c r="G60" s="2">
        <f t="shared" si="6"/>
        <v>1707.8961698415189</v>
      </c>
      <c r="H60" s="2">
        <f t="shared" si="2"/>
        <v>881.01156979087614</v>
      </c>
      <c r="I60" s="16">
        <f t="shared" si="0"/>
        <v>0</v>
      </c>
      <c r="J60" s="2">
        <f t="shared" si="3"/>
        <v>57574.408186835382</v>
      </c>
      <c r="K60" s="2">
        <f t="shared" si="7"/>
        <v>264303.47093726281</v>
      </c>
    </row>
    <row r="61" spans="2:11">
      <c r="B61" s="20"/>
      <c r="C61" s="20"/>
      <c r="D61">
        <v>57</v>
      </c>
      <c r="E61" s="1">
        <v>44805</v>
      </c>
      <c r="F61" s="2">
        <f t="shared" si="5"/>
        <v>2588.9077396323951</v>
      </c>
      <c r="G61" s="2">
        <f t="shared" si="6"/>
        <v>1713.589157074324</v>
      </c>
      <c r="H61" s="2">
        <f t="shared" si="2"/>
        <v>875.31858255807106</v>
      </c>
      <c r="I61" s="16">
        <f t="shared" si="0"/>
        <v>0</v>
      </c>
      <c r="J61" s="2">
        <f t="shared" si="3"/>
        <v>58449.726769393455</v>
      </c>
      <c r="K61" s="2">
        <f t="shared" si="7"/>
        <v>262595.57476742129</v>
      </c>
    </row>
    <row r="62" spans="2:11">
      <c r="B62" s="20"/>
      <c r="C62" s="20"/>
      <c r="D62">
        <v>58</v>
      </c>
      <c r="E62" s="1">
        <v>44835</v>
      </c>
      <c r="F62" s="2">
        <f t="shared" si="5"/>
        <v>2588.9077396323951</v>
      </c>
      <c r="G62" s="2">
        <f t="shared" si="6"/>
        <v>1719.3011209312385</v>
      </c>
      <c r="H62" s="2">
        <f t="shared" si="2"/>
        <v>869.60661870115666</v>
      </c>
      <c r="I62" s="16">
        <f t="shared" si="0"/>
        <v>0</v>
      </c>
      <c r="J62" s="2">
        <f t="shared" si="3"/>
        <v>59319.333388094616</v>
      </c>
      <c r="K62" s="2">
        <f t="shared" si="7"/>
        <v>260881.98561034698</v>
      </c>
    </row>
    <row r="63" spans="2:11">
      <c r="B63" s="20"/>
      <c r="C63" s="20"/>
      <c r="D63">
        <v>59</v>
      </c>
      <c r="E63" s="1">
        <v>44866</v>
      </c>
      <c r="F63" s="2">
        <f t="shared" si="5"/>
        <v>2588.9077396323951</v>
      </c>
      <c r="G63" s="2">
        <f t="shared" si="6"/>
        <v>1725.0321246676758</v>
      </c>
      <c r="H63" s="2">
        <f t="shared" si="2"/>
        <v>863.87561496471926</v>
      </c>
      <c r="I63" s="16">
        <f t="shared" si="0"/>
        <v>0</v>
      </c>
      <c r="J63" s="2">
        <f t="shared" si="3"/>
        <v>60183.209003059332</v>
      </c>
      <c r="K63" s="2">
        <f t="shared" si="7"/>
        <v>259162.68448941575</v>
      </c>
    </row>
    <row r="64" spans="2:11">
      <c r="B64" s="20"/>
      <c r="C64" s="20"/>
      <c r="D64">
        <v>60</v>
      </c>
      <c r="E64" s="1">
        <v>44896</v>
      </c>
      <c r="F64" s="2">
        <f t="shared" si="5"/>
        <v>2588.9077396323951</v>
      </c>
      <c r="G64" s="2">
        <f t="shared" si="6"/>
        <v>1730.7822317499015</v>
      </c>
      <c r="H64" s="2">
        <f t="shared" si="2"/>
        <v>858.12550788249359</v>
      </c>
      <c r="I64" s="16">
        <f t="shared" si="0"/>
        <v>0</v>
      </c>
      <c r="J64" s="2">
        <f t="shared" si="3"/>
        <v>61041.334510941822</v>
      </c>
      <c r="K64" s="2">
        <f t="shared" si="7"/>
        <v>257437.65236474806</v>
      </c>
    </row>
    <row r="65" spans="2:11">
      <c r="B65" s="20"/>
      <c r="C65" s="20"/>
      <c r="D65">
        <v>61</v>
      </c>
      <c r="E65" s="1">
        <v>44927</v>
      </c>
      <c r="F65" s="2">
        <f t="shared" si="5"/>
        <v>2588.9077396323951</v>
      </c>
      <c r="G65" s="2">
        <f t="shared" si="6"/>
        <v>1736.5515058557344</v>
      </c>
      <c r="H65" s="2">
        <f t="shared" si="2"/>
        <v>852.35623377666059</v>
      </c>
      <c r="I65" s="16">
        <f t="shared" si="0"/>
        <v>0</v>
      </c>
      <c r="J65" s="2">
        <f t="shared" si="3"/>
        <v>61893.690744718486</v>
      </c>
      <c r="K65" s="2">
        <f t="shared" si="7"/>
        <v>255706.87013299816</v>
      </c>
    </row>
    <row r="66" spans="2:11">
      <c r="B66" s="20"/>
      <c r="C66" s="20"/>
      <c r="D66">
        <v>62</v>
      </c>
      <c r="E66" s="1">
        <v>44958</v>
      </c>
      <c r="F66" s="2">
        <f t="shared" si="5"/>
        <v>2588.9077396323951</v>
      </c>
      <c r="G66" s="2">
        <f t="shared" si="6"/>
        <v>1742.3400108752535</v>
      </c>
      <c r="H66" s="2">
        <f t="shared" si="2"/>
        <v>846.56772875714148</v>
      </c>
      <c r="I66" s="16">
        <f t="shared" si="0"/>
        <v>0</v>
      </c>
      <c r="J66" s="2">
        <f t="shared" si="3"/>
        <v>62740.258473475624</v>
      </c>
      <c r="K66" s="2">
        <f t="shared" si="7"/>
        <v>253970.31862714243</v>
      </c>
    </row>
    <row r="67" spans="2:11">
      <c r="B67" s="20"/>
      <c r="C67" s="20"/>
      <c r="D67">
        <v>63</v>
      </c>
      <c r="E67" s="1">
        <v>44986</v>
      </c>
      <c r="F67" s="2">
        <f t="shared" si="5"/>
        <v>2588.9077396323951</v>
      </c>
      <c r="G67" s="2">
        <f t="shared" si="6"/>
        <v>1748.1478109115044</v>
      </c>
      <c r="H67" s="2">
        <f t="shared" si="2"/>
        <v>840.75992872089068</v>
      </c>
      <c r="I67" s="16">
        <f t="shared" si="0"/>
        <v>0</v>
      </c>
      <c r="J67" s="2">
        <f t="shared" si="3"/>
        <v>63581.018402196518</v>
      </c>
      <c r="K67" s="2">
        <f t="shared" si="7"/>
        <v>252227.97861626718</v>
      </c>
    </row>
    <row r="68" spans="2:11">
      <c r="B68" s="20"/>
      <c r="C68" s="20"/>
      <c r="D68">
        <v>64</v>
      </c>
      <c r="E68" s="1">
        <v>45017</v>
      </c>
      <c r="F68" s="2">
        <f t="shared" si="5"/>
        <v>2588.9077396323951</v>
      </c>
      <c r="G68" s="2">
        <f t="shared" si="6"/>
        <v>1753.9749702812094</v>
      </c>
      <c r="H68" s="2">
        <f t="shared" si="2"/>
        <v>834.9327693511857</v>
      </c>
      <c r="I68" s="16">
        <f t="shared" si="0"/>
        <v>0</v>
      </c>
      <c r="J68" s="2">
        <f t="shared" si="3"/>
        <v>64415.951171547706</v>
      </c>
      <c r="K68" s="2">
        <f t="shared" si="7"/>
        <v>250479.83080535568</v>
      </c>
    </row>
    <row r="69" spans="2:11">
      <c r="B69" s="20"/>
      <c r="C69" s="20"/>
      <c r="D69">
        <v>65</v>
      </c>
      <c r="E69" s="1">
        <v>45047</v>
      </c>
      <c r="F69" s="2">
        <f t="shared" si="5"/>
        <v>2588.9077396323951</v>
      </c>
      <c r="G69" s="2">
        <f t="shared" si="6"/>
        <v>1759.82155351548</v>
      </c>
      <c r="H69" s="2">
        <f t="shared" si="2"/>
        <v>829.08618611691497</v>
      </c>
      <c r="I69" s="16">
        <f t="shared" ref="I69:I132" si="8">IF(AND(MOD(D69,12)=2, $B$2&gt;0,K69&gt;$B$2),$B$2,IF(K69=0,0,IF(D69&lt;=$B$3,$I$1,0)))</f>
        <v>0</v>
      </c>
      <c r="J69" s="2">
        <f t="shared" si="3"/>
        <v>65245.037357664623</v>
      </c>
      <c r="K69" s="2">
        <f t="shared" si="7"/>
        <v>248725.85583507447</v>
      </c>
    </row>
    <row r="70" spans="2:11">
      <c r="B70" s="20"/>
      <c r="C70" s="20"/>
      <c r="D70">
        <v>66</v>
      </c>
      <c r="E70" s="1">
        <v>45078</v>
      </c>
      <c r="F70" s="2">
        <f t="shared" si="5"/>
        <v>2588.9077396323951</v>
      </c>
      <c r="G70" s="2">
        <f t="shared" si="6"/>
        <v>1765.6876253605317</v>
      </c>
      <c r="H70" s="2">
        <f t="shared" si="2"/>
        <v>823.22011427186339</v>
      </c>
      <c r="I70" s="16">
        <f t="shared" si="8"/>
        <v>0</v>
      </c>
      <c r="J70" s="2">
        <f t="shared" si="3"/>
        <v>66068.257471936493</v>
      </c>
      <c r="K70" s="2">
        <f t="shared" si="7"/>
        <v>246966.034281559</v>
      </c>
    </row>
    <row r="71" spans="2:11">
      <c r="B71" s="20"/>
      <c r="C71" s="20"/>
      <c r="D71">
        <v>67</v>
      </c>
      <c r="E71" s="1">
        <v>45108</v>
      </c>
      <c r="F71" s="2">
        <f t="shared" si="5"/>
        <v>2588.9077396323951</v>
      </c>
      <c r="G71" s="2">
        <f t="shared" ref="G71:G134" si="9">+F71-H71</f>
        <v>1771.5732507784001</v>
      </c>
      <c r="H71" s="2">
        <f t="shared" si="2"/>
        <v>817.33448885399491</v>
      </c>
      <c r="I71" s="16">
        <f t="shared" si="8"/>
        <v>0</v>
      </c>
      <c r="J71" s="2">
        <f t="shared" si="3"/>
        <v>66885.591960790494</v>
      </c>
      <c r="K71" s="2">
        <f t="shared" si="7"/>
        <v>245200.34665619847</v>
      </c>
    </row>
    <row r="72" spans="2:11">
      <c r="B72" s="20"/>
      <c r="C72" s="20"/>
      <c r="D72">
        <v>68</v>
      </c>
      <c r="E72" s="1">
        <v>45139</v>
      </c>
      <c r="F72" s="2">
        <f t="shared" si="5"/>
        <v>2588.9077396323951</v>
      </c>
      <c r="G72" s="2">
        <f t="shared" si="9"/>
        <v>1777.4784949476616</v>
      </c>
      <c r="H72" s="2">
        <f t="shared" ref="H72:H135" si="10">($G$2/12)*K72</f>
        <v>811.42924468473359</v>
      </c>
      <c r="I72" s="16">
        <f t="shared" si="8"/>
        <v>0</v>
      </c>
      <c r="J72" s="2">
        <f t="shared" ref="J72:J135" si="11">IF(K72=0,0,J71+H72)</f>
        <v>67697.021205475234</v>
      </c>
      <c r="K72" s="2">
        <f t="shared" si="7"/>
        <v>243428.77340542007</v>
      </c>
    </row>
    <row r="73" spans="2:11">
      <c r="B73" s="20"/>
      <c r="C73" s="20"/>
      <c r="D73">
        <v>69</v>
      </c>
      <c r="E73" s="1">
        <v>45170</v>
      </c>
      <c r="F73" s="2">
        <f t="shared" ref="F73:F136" si="12">IF( (K73+20)&lt;$F$5, H73+K73,I73+$G$1*($G$2/12)*(1+($G$2/12))^($G$3*12)/((1+($G$2/12))^($G$3*12)-1))</f>
        <v>2588.9077396323951</v>
      </c>
      <c r="G73" s="2">
        <f t="shared" si="9"/>
        <v>1783.4034232641536</v>
      </c>
      <c r="H73" s="2">
        <f t="shared" si="10"/>
        <v>805.50431636824146</v>
      </c>
      <c r="I73" s="16">
        <f t="shared" si="8"/>
        <v>0</v>
      </c>
      <c r="J73" s="2">
        <f t="shared" si="11"/>
        <v>68502.525521843476</v>
      </c>
      <c r="K73" s="2">
        <f t="shared" si="7"/>
        <v>241651.29491047241</v>
      </c>
    </row>
    <row r="74" spans="2:11">
      <c r="B74" s="20"/>
      <c r="C74" s="20"/>
      <c r="D74">
        <v>70</v>
      </c>
      <c r="E74" s="1">
        <v>45200</v>
      </c>
      <c r="F74" s="2">
        <f t="shared" si="12"/>
        <v>2588.9077396323951</v>
      </c>
      <c r="G74" s="2">
        <f t="shared" si="9"/>
        <v>1789.3481013417008</v>
      </c>
      <c r="H74" s="2">
        <f t="shared" si="10"/>
        <v>799.55963829069424</v>
      </c>
      <c r="I74" s="16">
        <f t="shared" si="8"/>
        <v>0</v>
      </c>
      <c r="J74" s="2">
        <f t="shared" si="11"/>
        <v>69302.085160134171</v>
      </c>
      <c r="K74" s="2">
        <f t="shared" ref="K74:K137" si="13">K73-G73</f>
        <v>239867.89148720825</v>
      </c>
    </row>
    <row r="75" spans="2:11">
      <c r="B75" s="20"/>
      <c r="C75" s="20"/>
      <c r="D75">
        <v>71</v>
      </c>
      <c r="E75" s="1">
        <v>45231</v>
      </c>
      <c r="F75" s="2">
        <f t="shared" si="12"/>
        <v>2588.9077396323951</v>
      </c>
      <c r="G75" s="2">
        <f t="shared" si="9"/>
        <v>1795.3125950128397</v>
      </c>
      <c r="H75" s="2">
        <f t="shared" si="10"/>
        <v>793.5951446195553</v>
      </c>
      <c r="I75" s="16">
        <f t="shared" si="8"/>
        <v>0</v>
      </c>
      <c r="J75" s="2">
        <f t="shared" si="11"/>
        <v>70095.680304753725</v>
      </c>
      <c r="K75" s="2">
        <f t="shared" si="13"/>
        <v>238078.54338586656</v>
      </c>
    </row>
    <row r="76" spans="2:11">
      <c r="B76" s="20"/>
      <c r="C76" s="20"/>
      <c r="D76">
        <v>72</v>
      </c>
      <c r="E76" s="1">
        <v>45261</v>
      </c>
      <c r="F76" s="2">
        <f t="shared" si="12"/>
        <v>2588.9077396323951</v>
      </c>
      <c r="G76" s="2">
        <f t="shared" si="9"/>
        <v>1801.2969703295494</v>
      </c>
      <c r="H76" s="2">
        <f t="shared" si="10"/>
        <v>787.61076930284582</v>
      </c>
      <c r="I76" s="16">
        <f t="shared" si="8"/>
        <v>0</v>
      </c>
      <c r="J76" s="2">
        <f t="shared" si="11"/>
        <v>70883.291074056571</v>
      </c>
      <c r="K76" s="2">
        <f t="shared" si="13"/>
        <v>236283.23079085373</v>
      </c>
    </row>
    <row r="77" spans="2:11">
      <c r="B77" s="20"/>
      <c r="C77" s="20"/>
      <c r="D77">
        <v>73</v>
      </c>
      <c r="E77" s="1">
        <v>45292</v>
      </c>
      <c r="F77" s="2">
        <f t="shared" si="12"/>
        <v>2588.9077396323951</v>
      </c>
      <c r="G77" s="2">
        <f t="shared" si="9"/>
        <v>1807.3012935639811</v>
      </c>
      <c r="H77" s="2">
        <f t="shared" si="10"/>
        <v>781.60644606841402</v>
      </c>
      <c r="I77" s="16">
        <f t="shared" si="8"/>
        <v>0</v>
      </c>
      <c r="J77" s="2">
        <f t="shared" si="11"/>
        <v>71664.897520124985</v>
      </c>
      <c r="K77" s="2">
        <f t="shared" si="13"/>
        <v>234481.93382052419</v>
      </c>
    </row>
    <row r="78" spans="2:11">
      <c r="B78" s="20"/>
      <c r="C78" s="20"/>
      <c r="D78">
        <v>74</v>
      </c>
      <c r="E78" s="1">
        <v>45323</v>
      </c>
      <c r="F78" s="2">
        <f t="shared" si="12"/>
        <v>2588.9077396323951</v>
      </c>
      <c r="G78" s="2">
        <f t="shared" si="9"/>
        <v>1813.3256312091944</v>
      </c>
      <c r="H78" s="2">
        <f t="shared" si="10"/>
        <v>775.58210842320079</v>
      </c>
      <c r="I78" s="16">
        <f t="shared" si="8"/>
        <v>0</v>
      </c>
      <c r="J78" s="2">
        <f t="shared" si="11"/>
        <v>72440.479628548186</v>
      </c>
      <c r="K78" s="2">
        <f t="shared" si="13"/>
        <v>232674.63252696022</v>
      </c>
    </row>
    <row r="79" spans="2:11">
      <c r="B79" s="20"/>
      <c r="C79" s="20"/>
      <c r="D79">
        <v>75</v>
      </c>
      <c r="E79" s="1">
        <v>45352</v>
      </c>
      <c r="F79" s="2">
        <f t="shared" si="12"/>
        <v>2588.9077396323951</v>
      </c>
      <c r="G79" s="2">
        <f t="shared" si="9"/>
        <v>1819.3700499798915</v>
      </c>
      <c r="H79" s="2">
        <f t="shared" si="10"/>
        <v>769.53768965250356</v>
      </c>
      <c r="I79" s="16">
        <f t="shared" si="8"/>
        <v>0</v>
      </c>
      <c r="J79" s="2">
        <f t="shared" si="11"/>
        <v>73210.017318200684</v>
      </c>
      <c r="K79" s="2">
        <f t="shared" si="13"/>
        <v>230861.30689575104</v>
      </c>
    </row>
    <row r="80" spans="2:11">
      <c r="B80" s="20"/>
      <c r="C80" s="20"/>
      <c r="D80">
        <v>76</v>
      </c>
      <c r="E80" s="1">
        <v>45383</v>
      </c>
      <c r="F80" s="2">
        <f t="shared" si="12"/>
        <v>2588.9077396323951</v>
      </c>
      <c r="G80" s="2">
        <f t="shared" si="9"/>
        <v>1825.4346168131578</v>
      </c>
      <c r="H80" s="2">
        <f t="shared" si="10"/>
        <v>763.47312281923723</v>
      </c>
      <c r="I80" s="16">
        <f t="shared" si="8"/>
        <v>0</v>
      </c>
      <c r="J80" s="2">
        <f t="shared" si="11"/>
        <v>73973.490441019923</v>
      </c>
      <c r="K80" s="2">
        <f t="shared" si="13"/>
        <v>229041.93684577115</v>
      </c>
    </row>
    <row r="81" spans="2:11">
      <c r="B81" s="20"/>
      <c r="C81" s="20"/>
      <c r="D81">
        <v>77</v>
      </c>
      <c r="E81" s="1">
        <v>45413</v>
      </c>
      <c r="F81" s="2">
        <f t="shared" si="12"/>
        <v>2588.9077396323951</v>
      </c>
      <c r="G81" s="2">
        <f t="shared" si="9"/>
        <v>1831.5193988692017</v>
      </c>
      <c r="H81" s="2">
        <f t="shared" si="10"/>
        <v>757.38834076319336</v>
      </c>
      <c r="I81" s="16">
        <f t="shared" si="8"/>
        <v>0</v>
      </c>
      <c r="J81" s="2">
        <f t="shared" si="11"/>
        <v>74730.878781783118</v>
      </c>
      <c r="K81" s="2">
        <f t="shared" si="13"/>
        <v>227216.50222895801</v>
      </c>
    </row>
    <row r="82" spans="2:11">
      <c r="B82" s="20"/>
      <c r="C82" s="20"/>
      <c r="D82">
        <v>78</v>
      </c>
      <c r="E82" s="1">
        <v>45444</v>
      </c>
      <c r="F82" s="2">
        <f t="shared" si="12"/>
        <v>2588.9077396323951</v>
      </c>
      <c r="G82" s="2">
        <f t="shared" si="9"/>
        <v>1837.6244635320991</v>
      </c>
      <c r="H82" s="2">
        <f t="shared" si="10"/>
        <v>751.28327610029612</v>
      </c>
      <c r="I82" s="16">
        <f t="shared" si="8"/>
        <v>0</v>
      </c>
      <c r="J82" s="2">
        <f t="shared" si="11"/>
        <v>75482.162057883412</v>
      </c>
      <c r="K82" s="2">
        <f t="shared" si="13"/>
        <v>225384.98283008882</v>
      </c>
    </row>
    <row r="83" spans="2:11">
      <c r="B83" s="20"/>
      <c r="C83" s="20"/>
      <c r="D83">
        <v>79</v>
      </c>
      <c r="E83" s="1">
        <v>45474</v>
      </c>
      <c r="F83" s="2">
        <f t="shared" si="12"/>
        <v>2588.9077396323951</v>
      </c>
      <c r="G83" s="2">
        <f t="shared" si="9"/>
        <v>1843.7498784105392</v>
      </c>
      <c r="H83" s="2">
        <f t="shared" si="10"/>
        <v>745.1578612218558</v>
      </c>
      <c r="I83" s="16">
        <f t="shared" si="8"/>
        <v>0</v>
      </c>
      <c r="J83" s="2">
        <f t="shared" si="11"/>
        <v>76227.31991910527</v>
      </c>
      <c r="K83" s="2">
        <f t="shared" si="13"/>
        <v>223547.35836655673</v>
      </c>
    </row>
    <row r="84" spans="2:11">
      <c r="B84" s="20"/>
      <c r="C84" s="20"/>
      <c r="D84">
        <v>80</v>
      </c>
      <c r="E84" s="1">
        <v>45505</v>
      </c>
      <c r="F84" s="2">
        <f t="shared" si="12"/>
        <v>2588.9077396323951</v>
      </c>
      <c r="G84" s="2">
        <f t="shared" si="9"/>
        <v>1849.8957113385745</v>
      </c>
      <c r="H84" s="2">
        <f t="shared" si="10"/>
        <v>739.01202829382066</v>
      </c>
      <c r="I84" s="16">
        <f t="shared" si="8"/>
        <v>0</v>
      </c>
      <c r="J84" s="2">
        <f t="shared" si="11"/>
        <v>76966.331947399085</v>
      </c>
      <c r="K84" s="2">
        <f t="shared" si="13"/>
        <v>221703.60848814619</v>
      </c>
    </row>
    <row r="85" spans="2:11">
      <c r="B85" s="20"/>
      <c r="C85" s="20"/>
      <c r="D85">
        <v>81</v>
      </c>
      <c r="E85" s="1">
        <v>45536</v>
      </c>
      <c r="F85" s="2">
        <f t="shared" si="12"/>
        <v>2588.9077396323951</v>
      </c>
      <c r="G85" s="2">
        <f t="shared" si="9"/>
        <v>1856.0620303763696</v>
      </c>
      <c r="H85" s="2">
        <f t="shared" si="10"/>
        <v>732.84570925602543</v>
      </c>
      <c r="I85" s="16">
        <f t="shared" si="8"/>
        <v>0</v>
      </c>
      <c r="J85" s="2">
        <f t="shared" si="11"/>
        <v>77699.177656655113</v>
      </c>
      <c r="K85" s="2">
        <f t="shared" si="13"/>
        <v>219853.7127768076</v>
      </c>
    </row>
    <row r="86" spans="2:11">
      <c r="B86" s="20"/>
      <c r="C86" s="20"/>
      <c r="D86">
        <v>82</v>
      </c>
      <c r="E86" s="1">
        <v>45566</v>
      </c>
      <c r="F86" s="2">
        <f t="shared" si="12"/>
        <v>2588.9077396323951</v>
      </c>
      <c r="G86" s="2">
        <f t="shared" si="9"/>
        <v>1862.2489038109575</v>
      </c>
      <c r="H86" s="2">
        <f t="shared" si="10"/>
        <v>726.65883582143749</v>
      </c>
      <c r="I86" s="16">
        <f t="shared" si="8"/>
        <v>0</v>
      </c>
      <c r="J86" s="2">
        <f t="shared" si="11"/>
        <v>78425.836492476548</v>
      </c>
      <c r="K86" s="2">
        <f t="shared" si="13"/>
        <v>217997.65074643123</v>
      </c>
    </row>
    <row r="87" spans="2:11">
      <c r="B87" s="20"/>
      <c r="C87" s="20"/>
      <c r="D87">
        <v>83</v>
      </c>
      <c r="E87" s="1">
        <v>45597</v>
      </c>
      <c r="F87" s="2">
        <f t="shared" si="12"/>
        <v>2588.9077396323951</v>
      </c>
      <c r="G87" s="2">
        <f t="shared" si="9"/>
        <v>1868.4564001569941</v>
      </c>
      <c r="H87" s="2">
        <f t="shared" si="10"/>
        <v>720.45133947540103</v>
      </c>
      <c r="I87" s="16">
        <f t="shared" si="8"/>
        <v>0</v>
      </c>
      <c r="J87" s="2">
        <f t="shared" si="11"/>
        <v>79146.287831951951</v>
      </c>
      <c r="K87" s="2">
        <f t="shared" si="13"/>
        <v>216135.40184262028</v>
      </c>
    </row>
    <row r="88" spans="2:11">
      <c r="B88" s="20"/>
      <c r="C88" s="20"/>
      <c r="D88">
        <v>84</v>
      </c>
      <c r="E88" s="1">
        <v>45627</v>
      </c>
      <c r="F88" s="2">
        <f t="shared" si="12"/>
        <v>2588.9077396323951</v>
      </c>
      <c r="G88" s="2">
        <f t="shared" si="9"/>
        <v>1874.6845881575173</v>
      </c>
      <c r="H88" s="2">
        <f t="shared" si="10"/>
        <v>714.22315147487768</v>
      </c>
      <c r="I88" s="16">
        <f t="shared" si="8"/>
        <v>0</v>
      </c>
      <c r="J88" s="2">
        <f t="shared" si="11"/>
        <v>79860.510983426822</v>
      </c>
      <c r="K88" s="2">
        <f t="shared" si="13"/>
        <v>214266.9454424633</v>
      </c>
    </row>
    <row r="89" spans="2:11">
      <c r="B89" s="20"/>
      <c r="C89" s="20"/>
      <c r="D89">
        <v>85</v>
      </c>
      <c r="E89" s="1">
        <v>45658</v>
      </c>
      <c r="F89" s="2">
        <f t="shared" si="12"/>
        <v>2588.9077396323951</v>
      </c>
      <c r="G89" s="2">
        <f t="shared" si="9"/>
        <v>1880.9335367847091</v>
      </c>
      <c r="H89" s="2">
        <f t="shared" si="10"/>
        <v>707.974202847686</v>
      </c>
      <c r="I89" s="16">
        <f t="shared" si="8"/>
        <v>0</v>
      </c>
      <c r="J89" s="2">
        <f t="shared" si="11"/>
        <v>80568.485186274513</v>
      </c>
      <c r="K89" s="2">
        <f t="shared" si="13"/>
        <v>212392.26085430579</v>
      </c>
    </row>
    <row r="90" spans="2:11">
      <c r="B90" s="20"/>
      <c r="C90" s="20"/>
      <c r="D90">
        <v>86</v>
      </c>
      <c r="E90" s="1">
        <v>45689</v>
      </c>
      <c r="F90" s="2">
        <f t="shared" si="12"/>
        <v>2588.9077396323951</v>
      </c>
      <c r="G90" s="2">
        <f t="shared" si="9"/>
        <v>1887.2033152406582</v>
      </c>
      <c r="H90" s="2">
        <f t="shared" si="10"/>
        <v>701.70442439173689</v>
      </c>
      <c r="I90" s="16">
        <f t="shared" si="8"/>
        <v>0</v>
      </c>
      <c r="J90" s="2">
        <f t="shared" si="11"/>
        <v>81270.189610666246</v>
      </c>
      <c r="K90" s="2">
        <f t="shared" si="13"/>
        <v>210511.32731752106</v>
      </c>
    </row>
    <row r="91" spans="2:11">
      <c r="B91" s="20"/>
      <c r="C91" s="20"/>
      <c r="D91">
        <v>87</v>
      </c>
      <c r="E91" s="1">
        <v>45717</v>
      </c>
      <c r="F91" s="2">
        <f t="shared" si="12"/>
        <v>2588.9077396323951</v>
      </c>
      <c r="G91" s="2">
        <f t="shared" si="9"/>
        <v>1893.4939929581269</v>
      </c>
      <c r="H91" s="2">
        <f t="shared" si="10"/>
        <v>695.41374667426805</v>
      </c>
      <c r="I91" s="16">
        <f t="shared" si="8"/>
        <v>0</v>
      </c>
      <c r="J91" s="2">
        <f t="shared" si="11"/>
        <v>81965.603357340515</v>
      </c>
      <c r="K91" s="2">
        <f t="shared" si="13"/>
        <v>208624.12400228041</v>
      </c>
    </row>
    <row r="92" spans="2:11">
      <c r="B92" s="20"/>
      <c r="C92" s="20"/>
      <c r="D92">
        <v>88</v>
      </c>
      <c r="E92" s="1">
        <v>45748</v>
      </c>
      <c r="F92" s="2">
        <f t="shared" si="12"/>
        <v>2588.9077396323951</v>
      </c>
      <c r="G92" s="2">
        <f t="shared" si="9"/>
        <v>1899.8056396013208</v>
      </c>
      <c r="H92" s="2">
        <f t="shared" si="10"/>
        <v>689.10210003107431</v>
      </c>
      <c r="I92" s="16">
        <f t="shared" si="8"/>
        <v>0</v>
      </c>
      <c r="J92" s="2">
        <f t="shared" si="11"/>
        <v>82654.705457371587</v>
      </c>
      <c r="K92" s="2">
        <f t="shared" si="13"/>
        <v>206730.63000932228</v>
      </c>
    </row>
    <row r="93" spans="2:11">
      <c r="B93" s="20"/>
      <c r="C93" s="20"/>
      <c r="D93">
        <v>89</v>
      </c>
      <c r="E93" s="1">
        <v>45778</v>
      </c>
      <c r="F93" s="2">
        <f t="shared" si="12"/>
        <v>2588.9077396323951</v>
      </c>
      <c r="G93" s="2">
        <f t="shared" si="9"/>
        <v>1906.1383250666586</v>
      </c>
      <c r="H93" s="2">
        <f t="shared" si="10"/>
        <v>682.76941456573661</v>
      </c>
      <c r="I93" s="16">
        <f t="shared" si="8"/>
        <v>0</v>
      </c>
      <c r="J93" s="2">
        <f t="shared" si="11"/>
        <v>83337.474871937316</v>
      </c>
      <c r="K93" s="2">
        <f t="shared" si="13"/>
        <v>204830.82436972097</v>
      </c>
    </row>
    <row r="94" spans="2:11">
      <c r="B94" s="20"/>
      <c r="C94" s="20"/>
      <c r="D94">
        <v>90</v>
      </c>
      <c r="E94" s="1">
        <v>45809</v>
      </c>
      <c r="F94" s="2">
        <f t="shared" si="12"/>
        <v>2588.9077396323951</v>
      </c>
      <c r="G94" s="2">
        <f t="shared" si="9"/>
        <v>1912.4921194835474</v>
      </c>
      <c r="H94" s="2">
        <f t="shared" si="10"/>
        <v>676.41562014884778</v>
      </c>
      <c r="I94" s="16">
        <f t="shared" si="8"/>
        <v>0</v>
      </c>
      <c r="J94" s="2">
        <f t="shared" si="11"/>
        <v>84013.890492086168</v>
      </c>
      <c r="K94" s="2">
        <f t="shared" si="13"/>
        <v>202924.68604465431</v>
      </c>
    </row>
    <row r="95" spans="2:11">
      <c r="B95" s="20"/>
      <c r="C95" s="20"/>
      <c r="D95">
        <v>91</v>
      </c>
      <c r="E95" s="1">
        <v>45839</v>
      </c>
      <c r="F95" s="2">
        <f t="shared" si="12"/>
        <v>2588.9077396323951</v>
      </c>
      <c r="G95" s="2">
        <f t="shared" si="9"/>
        <v>1918.867093215159</v>
      </c>
      <c r="H95" s="2">
        <f t="shared" si="10"/>
        <v>670.04064641723596</v>
      </c>
      <c r="I95" s="16">
        <f t="shared" si="8"/>
        <v>0</v>
      </c>
      <c r="J95" s="2">
        <f t="shared" si="11"/>
        <v>84683.931138503409</v>
      </c>
      <c r="K95" s="2">
        <f t="shared" si="13"/>
        <v>201012.19392517078</v>
      </c>
    </row>
    <row r="96" spans="2:11">
      <c r="B96" s="20"/>
      <c r="C96" s="20"/>
      <c r="D96">
        <v>92</v>
      </c>
      <c r="E96" s="1">
        <v>45870</v>
      </c>
      <c r="F96" s="2">
        <f t="shared" si="12"/>
        <v>2588.9077396323951</v>
      </c>
      <c r="G96" s="2">
        <f t="shared" si="9"/>
        <v>1925.2633168592097</v>
      </c>
      <c r="H96" s="2">
        <f t="shared" si="10"/>
        <v>663.6444227731854</v>
      </c>
      <c r="I96" s="16">
        <f t="shared" si="8"/>
        <v>0</v>
      </c>
      <c r="J96" s="2">
        <f t="shared" si="11"/>
        <v>85347.575561276593</v>
      </c>
      <c r="K96" s="2">
        <f t="shared" si="13"/>
        <v>199093.32683195561</v>
      </c>
    </row>
    <row r="97" spans="2:11">
      <c r="B97" s="20"/>
      <c r="C97" s="20"/>
      <c r="D97">
        <v>93</v>
      </c>
      <c r="E97" s="1">
        <v>45901</v>
      </c>
      <c r="F97" s="2">
        <f t="shared" si="12"/>
        <v>2588.9077396323951</v>
      </c>
      <c r="G97" s="2">
        <f t="shared" si="9"/>
        <v>1931.6808612487403</v>
      </c>
      <c r="H97" s="2">
        <f t="shared" si="10"/>
        <v>657.22687838365471</v>
      </c>
      <c r="I97" s="16">
        <f t="shared" si="8"/>
        <v>0</v>
      </c>
      <c r="J97" s="2">
        <f t="shared" si="11"/>
        <v>86004.802439660241</v>
      </c>
      <c r="K97" s="2">
        <f t="shared" si="13"/>
        <v>197168.06351509641</v>
      </c>
    </row>
    <row r="98" spans="2:11">
      <c r="B98" s="20"/>
      <c r="C98" s="20"/>
      <c r="D98">
        <v>94</v>
      </c>
      <c r="E98" s="1">
        <v>45931</v>
      </c>
      <c r="F98" s="2">
        <f t="shared" si="12"/>
        <v>2588.9077396323951</v>
      </c>
      <c r="G98" s="2">
        <f t="shared" si="9"/>
        <v>1938.1197974529027</v>
      </c>
      <c r="H98" s="2">
        <f t="shared" si="10"/>
        <v>650.78794217949223</v>
      </c>
      <c r="I98" s="16">
        <f t="shared" si="8"/>
        <v>0</v>
      </c>
      <c r="J98" s="2">
        <f t="shared" si="11"/>
        <v>86655.590381839735</v>
      </c>
      <c r="K98" s="2">
        <f t="shared" si="13"/>
        <v>195236.38265384766</v>
      </c>
    </row>
    <row r="99" spans="2:11">
      <c r="B99" s="20"/>
      <c r="C99" s="20"/>
      <c r="D99">
        <v>95</v>
      </c>
      <c r="E99" s="1">
        <v>45962</v>
      </c>
      <c r="F99" s="2">
        <f t="shared" si="12"/>
        <v>2588.9077396323951</v>
      </c>
      <c r="G99" s="2">
        <f t="shared" si="9"/>
        <v>1944.5801967777459</v>
      </c>
      <c r="H99" s="2">
        <f t="shared" si="10"/>
        <v>644.32754285464921</v>
      </c>
      <c r="I99" s="16">
        <f t="shared" si="8"/>
        <v>0</v>
      </c>
      <c r="J99" s="2">
        <f t="shared" si="11"/>
        <v>87299.917924694382</v>
      </c>
      <c r="K99" s="2">
        <f t="shared" si="13"/>
        <v>193298.26285639475</v>
      </c>
    </row>
    <row r="100" spans="2:11">
      <c r="B100" s="20"/>
      <c r="C100" s="20"/>
      <c r="D100">
        <v>96</v>
      </c>
      <c r="E100" s="1">
        <v>45992</v>
      </c>
      <c r="F100" s="2">
        <f t="shared" si="12"/>
        <v>2588.9077396323951</v>
      </c>
      <c r="G100" s="2">
        <f t="shared" si="9"/>
        <v>1951.0621307670049</v>
      </c>
      <c r="H100" s="2">
        <f t="shared" si="10"/>
        <v>637.84560886539009</v>
      </c>
      <c r="I100" s="16">
        <f t="shared" si="8"/>
        <v>0</v>
      </c>
      <c r="J100" s="2">
        <f t="shared" si="11"/>
        <v>87937.763533559773</v>
      </c>
      <c r="K100" s="2">
        <f t="shared" si="13"/>
        <v>191353.68265961701</v>
      </c>
    </row>
    <row r="101" spans="2:11">
      <c r="B101" s="20"/>
      <c r="C101" s="20"/>
      <c r="D101">
        <v>97</v>
      </c>
      <c r="E101" s="1">
        <v>46023</v>
      </c>
      <c r="F101" s="2">
        <f t="shared" si="12"/>
        <v>2588.9077396323951</v>
      </c>
      <c r="G101" s="2">
        <f t="shared" si="9"/>
        <v>1957.5656712028949</v>
      </c>
      <c r="H101" s="2">
        <f t="shared" si="10"/>
        <v>631.34206842950005</v>
      </c>
      <c r="I101" s="16">
        <f t="shared" si="8"/>
        <v>0</v>
      </c>
      <c r="J101" s="2">
        <f t="shared" si="11"/>
        <v>88569.105601989271</v>
      </c>
      <c r="K101" s="2">
        <f t="shared" si="13"/>
        <v>189402.62052885001</v>
      </c>
    </row>
    <row r="102" spans="2:11">
      <c r="B102" s="20"/>
      <c r="C102" s="20"/>
      <c r="D102">
        <v>98</v>
      </c>
      <c r="E102" s="1">
        <v>46054</v>
      </c>
      <c r="F102" s="2">
        <f t="shared" si="12"/>
        <v>2588.9077396323951</v>
      </c>
      <c r="G102" s="2">
        <f t="shared" si="9"/>
        <v>1964.0908901069047</v>
      </c>
      <c r="H102" s="2">
        <f t="shared" si="10"/>
        <v>624.8168495254904</v>
      </c>
      <c r="I102" s="16">
        <f t="shared" si="8"/>
        <v>0</v>
      </c>
      <c r="J102" s="2">
        <f t="shared" si="11"/>
        <v>89193.922451514765</v>
      </c>
      <c r="K102" s="2">
        <f t="shared" si="13"/>
        <v>187445.0548576471</v>
      </c>
    </row>
    <row r="103" spans="2:11">
      <c r="B103" s="20"/>
      <c r="C103" s="20"/>
      <c r="D103">
        <v>99</v>
      </c>
      <c r="E103" s="1">
        <v>46082</v>
      </c>
      <c r="F103" s="2">
        <f t="shared" si="12"/>
        <v>2588.9077396323951</v>
      </c>
      <c r="G103" s="2">
        <f t="shared" si="9"/>
        <v>1970.6378597405942</v>
      </c>
      <c r="H103" s="2">
        <f t="shared" si="10"/>
        <v>618.26987989180077</v>
      </c>
      <c r="I103" s="16">
        <f t="shared" si="8"/>
        <v>0</v>
      </c>
      <c r="J103" s="2">
        <f t="shared" si="11"/>
        <v>89812.192331406564</v>
      </c>
      <c r="K103" s="2">
        <f t="shared" si="13"/>
        <v>185480.96396754021</v>
      </c>
    </row>
    <row r="104" spans="2:11">
      <c r="B104" s="20"/>
      <c r="C104" s="20"/>
      <c r="D104">
        <v>100</v>
      </c>
      <c r="E104" s="1">
        <v>46113</v>
      </c>
      <c r="F104" s="2">
        <f t="shared" si="12"/>
        <v>2588.9077396323951</v>
      </c>
      <c r="G104" s="2">
        <f t="shared" si="9"/>
        <v>1977.2066526063963</v>
      </c>
      <c r="H104" s="2">
        <f t="shared" si="10"/>
        <v>611.70108702599885</v>
      </c>
      <c r="I104" s="16">
        <f t="shared" si="8"/>
        <v>0</v>
      </c>
      <c r="J104" s="2">
        <f t="shared" si="11"/>
        <v>90423.893418432563</v>
      </c>
      <c r="K104" s="2">
        <f t="shared" si="13"/>
        <v>183510.32610779963</v>
      </c>
    </row>
    <row r="105" spans="2:11">
      <c r="B105" s="20"/>
      <c r="C105" s="20"/>
      <c r="D105">
        <v>101</v>
      </c>
      <c r="E105" s="1">
        <v>46143</v>
      </c>
      <c r="F105" s="2">
        <f t="shared" si="12"/>
        <v>2588.9077396323951</v>
      </c>
      <c r="G105" s="2">
        <f t="shared" si="9"/>
        <v>1983.7973414484177</v>
      </c>
      <c r="H105" s="2">
        <f t="shared" si="10"/>
        <v>605.11039818397751</v>
      </c>
      <c r="I105" s="16">
        <f t="shared" si="8"/>
        <v>0</v>
      </c>
      <c r="J105" s="2">
        <f t="shared" si="11"/>
        <v>91029.003816616547</v>
      </c>
      <c r="K105" s="2">
        <f t="shared" si="13"/>
        <v>181533.11945519323</v>
      </c>
    </row>
    <row r="106" spans="2:11">
      <c r="B106" s="20"/>
      <c r="C106" s="20"/>
      <c r="D106">
        <v>102</v>
      </c>
      <c r="E106" s="1">
        <v>46174</v>
      </c>
      <c r="F106" s="2">
        <f t="shared" si="12"/>
        <v>2588.9077396323951</v>
      </c>
      <c r="G106" s="2">
        <f t="shared" si="9"/>
        <v>1990.4099992532456</v>
      </c>
      <c r="H106" s="2">
        <f t="shared" si="10"/>
        <v>598.49774037914938</v>
      </c>
      <c r="I106" s="16">
        <f t="shared" si="8"/>
        <v>0</v>
      </c>
      <c r="J106" s="2">
        <f t="shared" si="11"/>
        <v>91627.501556995703</v>
      </c>
      <c r="K106" s="2">
        <f t="shared" si="13"/>
        <v>179549.3221137448</v>
      </c>
    </row>
    <row r="107" spans="2:11">
      <c r="B107" s="20"/>
      <c r="C107" s="20"/>
      <c r="D107">
        <v>103</v>
      </c>
      <c r="E107" s="1">
        <v>46204</v>
      </c>
      <c r="F107" s="2">
        <f t="shared" si="12"/>
        <v>2588.9077396323951</v>
      </c>
      <c r="G107" s="2">
        <f t="shared" si="9"/>
        <v>1997.0446992507566</v>
      </c>
      <c r="H107" s="2">
        <f t="shared" si="10"/>
        <v>591.86304038163848</v>
      </c>
      <c r="I107" s="16">
        <f t="shared" si="8"/>
        <v>0</v>
      </c>
      <c r="J107" s="2">
        <f t="shared" si="11"/>
        <v>92219.364597377338</v>
      </c>
      <c r="K107" s="2">
        <f t="shared" si="13"/>
        <v>177558.91211449154</v>
      </c>
    </row>
    <row r="108" spans="2:11">
      <c r="B108" s="20"/>
      <c r="C108" s="20"/>
      <c r="D108">
        <v>104</v>
      </c>
      <c r="E108" s="1">
        <v>46235</v>
      </c>
      <c r="F108" s="2">
        <f t="shared" si="12"/>
        <v>2588.9077396323951</v>
      </c>
      <c r="G108" s="2">
        <f t="shared" si="9"/>
        <v>2003.7015149149256</v>
      </c>
      <c r="H108" s="2">
        <f t="shared" si="10"/>
        <v>585.20622471746935</v>
      </c>
      <c r="I108" s="16">
        <f t="shared" si="8"/>
        <v>0</v>
      </c>
      <c r="J108" s="2">
        <f t="shared" si="11"/>
        <v>92804.570822094815</v>
      </c>
      <c r="K108" s="2">
        <f t="shared" si="13"/>
        <v>175561.86741524079</v>
      </c>
    </row>
    <row r="109" spans="2:11">
      <c r="B109" s="20"/>
      <c r="C109" s="20"/>
      <c r="D109">
        <v>105</v>
      </c>
      <c r="E109" s="1">
        <v>46266</v>
      </c>
      <c r="F109" s="2">
        <f t="shared" si="12"/>
        <v>2588.9077396323951</v>
      </c>
      <c r="G109" s="2">
        <f t="shared" si="9"/>
        <v>2010.3805199646422</v>
      </c>
      <c r="H109" s="2">
        <f t="shared" si="10"/>
        <v>578.52721966775289</v>
      </c>
      <c r="I109" s="16">
        <f t="shared" si="8"/>
        <v>0</v>
      </c>
      <c r="J109" s="2">
        <f t="shared" si="11"/>
        <v>93383.098041762569</v>
      </c>
      <c r="K109" s="2">
        <f t="shared" si="13"/>
        <v>173558.16590032587</v>
      </c>
    </row>
    <row r="110" spans="2:11">
      <c r="B110" s="20"/>
      <c r="C110" s="20"/>
      <c r="D110">
        <v>106</v>
      </c>
      <c r="E110" s="1">
        <v>46296</v>
      </c>
      <c r="F110" s="2">
        <f t="shared" si="12"/>
        <v>2588.9077396323951</v>
      </c>
      <c r="G110" s="2">
        <f t="shared" si="9"/>
        <v>2017.0817883645243</v>
      </c>
      <c r="H110" s="2">
        <f t="shared" si="10"/>
        <v>571.82595126787078</v>
      </c>
      <c r="I110" s="16">
        <f t="shared" si="8"/>
        <v>0</v>
      </c>
      <c r="J110" s="2">
        <f t="shared" si="11"/>
        <v>93954.923993030447</v>
      </c>
      <c r="K110" s="2">
        <f t="shared" si="13"/>
        <v>171547.78538036122</v>
      </c>
    </row>
    <row r="111" spans="2:11">
      <c r="B111" s="20"/>
      <c r="C111" s="20"/>
      <c r="D111">
        <v>107</v>
      </c>
      <c r="E111" s="1">
        <v>46327</v>
      </c>
      <c r="F111" s="2">
        <f t="shared" si="12"/>
        <v>2588.9077396323951</v>
      </c>
      <c r="G111" s="2">
        <f t="shared" si="9"/>
        <v>2023.8053943257394</v>
      </c>
      <c r="H111" s="2">
        <f t="shared" si="10"/>
        <v>565.10234530665571</v>
      </c>
      <c r="I111" s="16">
        <f t="shared" si="8"/>
        <v>0</v>
      </c>
      <c r="J111" s="2">
        <f t="shared" si="11"/>
        <v>94520.026338337106</v>
      </c>
      <c r="K111" s="2">
        <f t="shared" si="13"/>
        <v>169530.70359199669</v>
      </c>
    </row>
    <row r="112" spans="2:11">
      <c r="B112" s="20"/>
      <c r="C112" s="20"/>
      <c r="D112">
        <v>108</v>
      </c>
      <c r="E112" s="1">
        <v>46357</v>
      </c>
      <c r="F112" s="2">
        <f t="shared" si="12"/>
        <v>2588.9077396323951</v>
      </c>
      <c r="G112" s="2">
        <f t="shared" si="9"/>
        <v>2030.5514123068251</v>
      </c>
      <c r="H112" s="2">
        <f t="shared" si="10"/>
        <v>558.35632732556996</v>
      </c>
      <c r="I112" s="16">
        <f t="shared" si="8"/>
        <v>0</v>
      </c>
      <c r="J112" s="2">
        <f t="shared" si="11"/>
        <v>95078.382665662677</v>
      </c>
      <c r="K112" s="2">
        <f t="shared" si="13"/>
        <v>167506.89819767096</v>
      </c>
    </row>
    <row r="113" spans="2:11">
      <c r="B113" s="20"/>
      <c r="C113" s="20"/>
      <c r="D113">
        <v>109</v>
      </c>
      <c r="E113" s="1">
        <v>46388</v>
      </c>
      <c r="F113" s="2">
        <f t="shared" si="12"/>
        <v>2588.9077396323951</v>
      </c>
      <c r="G113" s="2">
        <f t="shared" si="9"/>
        <v>2037.3199170145144</v>
      </c>
      <c r="H113" s="2">
        <f t="shared" si="10"/>
        <v>551.58782261788053</v>
      </c>
      <c r="I113" s="16">
        <f t="shared" si="8"/>
        <v>0</v>
      </c>
      <c r="J113" s="2">
        <f t="shared" si="11"/>
        <v>95629.970488280553</v>
      </c>
      <c r="K113" s="2">
        <f t="shared" si="13"/>
        <v>165476.34678536415</v>
      </c>
    </row>
    <row r="114" spans="2:11">
      <c r="B114" s="20"/>
      <c r="C114" s="20"/>
      <c r="D114">
        <v>110</v>
      </c>
      <c r="E114" s="1">
        <v>46419</v>
      </c>
      <c r="F114" s="2">
        <f t="shared" si="12"/>
        <v>2588.9077396323951</v>
      </c>
      <c r="G114" s="2">
        <f t="shared" si="9"/>
        <v>2044.1109834045628</v>
      </c>
      <c r="H114" s="2">
        <f t="shared" si="10"/>
        <v>544.79675622783213</v>
      </c>
      <c r="I114" s="16">
        <f t="shared" si="8"/>
        <v>0</v>
      </c>
      <c r="J114" s="2">
        <f t="shared" si="11"/>
        <v>96174.767244508388</v>
      </c>
      <c r="K114" s="2">
        <f t="shared" si="13"/>
        <v>163439.02686834964</v>
      </c>
    </row>
    <row r="115" spans="2:11">
      <c r="B115" s="20"/>
      <c r="C115" s="20"/>
      <c r="D115">
        <v>111</v>
      </c>
      <c r="E115" s="1">
        <v>46447</v>
      </c>
      <c r="F115" s="2">
        <f t="shared" si="12"/>
        <v>2588.9077396323951</v>
      </c>
      <c r="G115" s="2">
        <f t="shared" si="9"/>
        <v>2050.9246866825779</v>
      </c>
      <c r="H115" s="2">
        <f t="shared" si="10"/>
        <v>537.98305294981697</v>
      </c>
      <c r="I115" s="16">
        <f t="shared" si="8"/>
        <v>0</v>
      </c>
      <c r="J115" s="2">
        <f t="shared" si="11"/>
        <v>96712.750297458202</v>
      </c>
      <c r="K115" s="2">
        <f t="shared" si="13"/>
        <v>161394.91588494508</v>
      </c>
    </row>
    <row r="116" spans="2:11">
      <c r="B116" s="20"/>
      <c r="C116" s="20"/>
      <c r="D116">
        <v>112</v>
      </c>
      <c r="E116" s="1">
        <v>46478</v>
      </c>
      <c r="F116" s="2">
        <f t="shared" si="12"/>
        <v>2588.9077396323951</v>
      </c>
      <c r="G116" s="2">
        <f t="shared" si="9"/>
        <v>2057.7611023048535</v>
      </c>
      <c r="H116" s="2">
        <f t="shared" si="10"/>
        <v>531.14663732754173</v>
      </c>
      <c r="I116" s="16">
        <f t="shared" si="8"/>
        <v>0</v>
      </c>
      <c r="J116" s="2">
        <f t="shared" si="11"/>
        <v>97243.896934785749</v>
      </c>
      <c r="K116" s="2">
        <f t="shared" si="13"/>
        <v>159343.99119826249</v>
      </c>
    </row>
    <row r="117" spans="2:11">
      <c r="B117" s="20"/>
      <c r="C117" s="20"/>
      <c r="D117">
        <v>113</v>
      </c>
      <c r="E117" s="1">
        <v>46508</v>
      </c>
      <c r="F117" s="2">
        <f t="shared" si="12"/>
        <v>2588.9077396323951</v>
      </c>
      <c r="G117" s="2">
        <f t="shared" si="9"/>
        <v>2064.6203059792028</v>
      </c>
      <c r="H117" s="2">
        <f t="shared" si="10"/>
        <v>524.28743365319212</v>
      </c>
      <c r="I117" s="16">
        <f t="shared" si="8"/>
        <v>0</v>
      </c>
      <c r="J117" s="2">
        <f t="shared" si="11"/>
        <v>97768.184368438946</v>
      </c>
      <c r="K117" s="2">
        <f t="shared" si="13"/>
        <v>157286.23009595764</v>
      </c>
    </row>
    <row r="118" spans="2:11">
      <c r="B118" s="20"/>
      <c r="C118" s="20"/>
      <c r="D118">
        <v>114</v>
      </c>
      <c r="E118" s="1">
        <v>46539</v>
      </c>
      <c r="F118" s="2">
        <f t="shared" si="12"/>
        <v>2588.9077396323951</v>
      </c>
      <c r="G118" s="2">
        <f t="shared" si="9"/>
        <v>2071.5023736658004</v>
      </c>
      <c r="H118" s="2">
        <f t="shared" si="10"/>
        <v>517.40536596659479</v>
      </c>
      <c r="I118" s="16">
        <f t="shared" si="8"/>
        <v>0</v>
      </c>
      <c r="J118" s="2">
        <f t="shared" si="11"/>
        <v>98285.589734405541</v>
      </c>
      <c r="K118" s="2">
        <f t="shared" si="13"/>
        <v>155221.60978997842</v>
      </c>
    </row>
    <row r="119" spans="2:11">
      <c r="B119" s="20"/>
      <c r="C119" s="20"/>
      <c r="D119">
        <v>115</v>
      </c>
      <c r="E119" s="1">
        <v>46569</v>
      </c>
      <c r="F119" s="2">
        <f t="shared" si="12"/>
        <v>2588.9077396323951</v>
      </c>
      <c r="G119" s="2">
        <f t="shared" si="9"/>
        <v>2078.4073815780198</v>
      </c>
      <c r="H119" s="2">
        <f t="shared" si="10"/>
        <v>510.5003580543754</v>
      </c>
      <c r="I119" s="16">
        <f t="shared" si="8"/>
        <v>0</v>
      </c>
      <c r="J119" s="2">
        <f t="shared" si="11"/>
        <v>98796.090092459912</v>
      </c>
      <c r="K119" s="2">
        <f t="shared" si="13"/>
        <v>153150.10741631262</v>
      </c>
    </row>
    <row r="120" spans="2:11">
      <c r="B120" s="20"/>
      <c r="C120" s="20"/>
      <c r="D120">
        <v>116</v>
      </c>
      <c r="E120" s="1">
        <v>46600</v>
      </c>
      <c r="F120" s="2">
        <f t="shared" si="12"/>
        <v>2588.9077396323951</v>
      </c>
      <c r="G120" s="2">
        <f t="shared" si="9"/>
        <v>2085.3354061832797</v>
      </c>
      <c r="H120" s="2">
        <f t="shared" si="10"/>
        <v>503.57233344911532</v>
      </c>
      <c r="I120" s="16">
        <f t="shared" si="8"/>
        <v>0</v>
      </c>
      <c r="J120" s="2">
        <f t="shared" si="11"/>
        <v>99299.662425909031</v>
      </c>
      <c r="K120" s="2">
        <f t="shared" si="13"/>
        <v>151071.70003473459</v>
      </c>
    </row>
    <row r="121" spans="2:11">
      <c r="B121" s="20"/>
      <c r="C121" s="20"/>
      <c r="D121">
        <v>117</v>
      </c>
      <c r="E121" s="1">
        <v>46631</v>
      </c>
      <c r="F121" s="2">
        <f t="shared" si="12"/>
        <v>2588.9077396323951</v>
      </c>
      <c r="G121" s="2">
        <f t="shared" si="9"/>
        <v>2092.2865242038906</v>
      </c>
      <c r="H121" s="2">
        <f t="shared" si="10"/>
        <v>496.62121542850434</v>
      </c>
      <c r="I121" s="16">
        <f t="shared" si="8"/>
        <v>0</v>
      </c>
      <c r="J121" s="2">
        <f t="shared" si="11"/>
        <v>99796.283641337533</v>
      </c>
      <c r="K121" s="2">
        <f t="shared" si="13"/>
        <v>148986.3646285513</v>
      </c>
    </row>
    <row r="122" spans="2:11">
      <c r="B122" s="20"/>
      <c r="C122" s="20"/>
      <c r="D122">
        <v>118</v>
      </c>
      <c r="E122" s="1">
        <v>46661</v>
      </c>
      <c r="F122" s="2">
        <f t="shared" si="12"/>
        <v>2588.9077396323951</v>
      </c>
      <c r="G122" s="2">
        <f t="shared" si="9"/>
        <v>2099.2608126179039</v>
      </c>
      <c r="H122" s="2">
        <f t="shared" si="10"/>
        <v>489.64692701449138</v>
      </c>
      <c r="I122" s="16">
        <f t="shared" si="8"/>
        <v>0</v>
      </c>
      <c r="J122" s="2">
        <f t="shared" si="11"/>
        <v>100285.93056835202</v>
      </c>
      <c r="K122" s="2">
        <f t="shared" si="13"/>
        <v>146894.0781043474</v>
      </c>
    </row>
    <row r="123" spans="2:11">
      <c r="B123" s="20"/>
      <c r="C123" s="20"/>
      <c r="D123">
        <v>119</v>
      </c>
      <c r="E123" s="1">
        <v>46692</v>
      </c>
      <c r="F123" s="2">
        <f t="shared" si="12"/>
        <v>2588.9077396323951</v>
      </c>
      <c r="G123" s="2">
        <f t="shared" si="9"/>
        <v>2106.2583486599633</v>
      </c>
      <c r="H123" s="2">
        <f t="shared" si="10"/>
        <v>482.64939097243172</v>
      </c>
      <c r="I123" s="16">
        <f t="shared" si="8"/>
        <v>0</v>
      </c>
      <c r="J123" s="2">
        <f t="shared" si="11"/>
        <v>100768.57995932446</v>
      </c>
      <c r="K123" s="2">
        <f t="shared" si="13"/>
        <v>144794.8172917295</v>
      </c>
    </row>
    <row r="124" spans="2:11">
      <c r="B124" s="20"/>
      <c r="C124" s="20"/>
      <c r="D124">
        <v>120</v>
      </c>
      <c r="E124" s="1">
        <v>46722</v>
      </c>
      <c r="F124" s="2">
        <f t="shared" si="12"/>
        <v>2588.9077396323951</v>
      </c>
      <c r="G124" s="2">
        <f t="shared" si="9"/>
        <v>2113.2792098221635</v>
      </c>
      <c r="H124" s="2">
        <f t="shared" si="10"/>
        <v>475.62852981023184</v>
      </c>
      <c r="I124" s="16">
        <f t="shared" si="8"/>
        <v>0</v>
      </c>
      <c r="J124" s="2">
        <f t="shared" si="11"/>
        <v>101244.20848913469</v>
      </c>
      <c r="K124" s="2">
        <f t="shared" si="13"/>
        <v>142688.55894306954</v>
      </c>
    </row>
    <row r="125" spans="2:11">
      <c r="B125" s="20"/>
      <c r="C125" s="20"/>
      <c r="D125">
        <v>121</v>
      </c>
      <c r="E125" s="1">
        <v>46753</v>
      </c>
      <c r="F125" s="2">
        <f t="shared" si="12"/>
        <v>2588.9077396323951</v>
      </c>
      <c r="G125" s="2">
        <f t="shared" si="9"/>
        <v>2120.3234738549036</v>
      </c>
      <c r="H125" s="2">
        <f t="shared" si="10"/>
        <v>468.58426577749134</v>
      </c>
      <c r="I125" s="16">
        <f t="shared" si="8"/>
        <v>0</v>
      </c>
      <c r="J125" s="2">
        <f t="shared" si="11"/>
        <v>101712.79275491218</v>
      </c>
      <c r="K125" s="2">
        <f t="shared" si="13"/>
        <v>140575.27973324739</v>
      </c>
    </row>
    <row r="126" spans="2:11">
      <c r="B126" s="20"/>
      <c r="C126" s="20"/>
      <c r="D126">
        <v>122</v>
      </c>
      <c r="E126" s="1">
        <v>46784</v>
      </c>
      <c r="F126" s="2">
        <f t="shared" si="12"/>
        <v>2588.9077396323951</v>
      </c>
      <c r="G126" s="2">
        <f t="shared" si="9"/>
        <v>2127.3912187677533</v>
      </c>
      <c r="H126" s="2">
        <f t="shared" si="10"/>
        <v>461.51652086464168</v>
      </c>
      <c r="I126" s="16">
        <f t="shared" si="8"/>
        <v>0</v>
      </c>
      <c r="J126" s="2">
        <f t="shared" si="11"/>
        <v>102174.30927577682</v>
      </c>
      <c r="K126" s="2">
        <f t="shared" si="13"/>
        <v>138454.95625939249</v>
      </c>
    </row>
    <row r="127" spans="2:11">
      <c r="B127" s="20"/>
      <c r="C127" s="20"/>
      <c r="D127">
        <v>123</v>
      </c>
      <c r="E127" s="1">
        <v>46813</v>
      </c>
      <c r="F127" s="2">
        <f t="shared" si="12"/>
        <v>2588.9077396323951</v>
      </c>
      <c r="G127" s="2">
        <f t="shared" si="9"/>
        <v>2134.4825228303125</v>
      </c>
      <c r="H127" s="2">
        <f t="shared" si="10"/>
        <v>454.42521680208245</v>
      </c>
      <c r="I127" s="16">
        <f t="shared" si="8"/>
        <v>0</v>
      </c>
      <c r="J127" s="2">
        <f t="shared" si="11"/>
        <v>102628.73449257889</v>
      </c>
      <c r="K127" s="2">
        <f t="shared" si="13"/>
        <v>136327.56504062473</v>
      </c>
    </row>
    <row r="128" spans="2:11">
      <c r="B128" s="20"/>
      <c r="C128" s="20"/>
      <c r="D128">
        <v>124</v>
      </c>
      <c r="E128" s="1">
        <v>46844</v>
      </c>
      <c r="F128" s="2">
        <f t="shared" si="12"/>
        <v>2588.9077396323951</v>
      </c>
      <c r="G128" s="2">
        <f t="shared" si="9"/>
        <v>2141.5974645730803</v>
      </c>
      <c r="H128" s="2">
        <f t="shared" si="10"/>
        <v>447.31027505931479</v>
      </c>
      <c r="I128" s="16">
        <f t="shared" si="8"/>
        <v>0</v>
      </c>
      <c r="J128" s="2">
        <f t="shared" si="11"/>
        <v>103076.0447676382</v>
      </c>
      <c r="K128" s="2">
        <f t="shared" si="13"/>
        <v>134193.08251779442</v>
      </c>
    </row>
    <row r="129" spans="2:11">
      <c r="B129" s="20"/>
      <c r="C129" s="20"/>
      <c r="D129">
        <v>125</v>
      </c>
      <c r="E129" s="1">
        <v>46874</v>
      </c>
      <c r="F129" s="2">
        <f t="shared" si="12"/>
        <v>2588.9077396323951</v>
      </c>
      <c r="G129" s="2">
        <f t="shared" si="9"/>
        <v>2148.7361227883239</v>
      </c>
      <c r="H129" s="2">
        <f t="shared" si="10"/>
        <v>440.1716168440712</v>
      </c>
      <c r="I129" s="16">
        <f t="shared" si="8"/>
        <v>0</v>
      </c>
      <c r="J129" s="2">
        <f t="shared" si="11"/>
        <v>103516.21638448228</v>
      </c>
      <c r="K129" s="2">
        <f t="shared" si="13"/>
        <v>132051.48505322135</v>
      </c>
    </row>
    <row r="130" spans="2:11">
      <c r="B130" s="20"/>
      <c r="C130" s="20"/>
      <c r="D130">
        <v>126</v>
      </c>
      <c r="E130" s="1">
        <v>46905</v>
      </c>
      <c r="F130" s="2">
        <f t="shared" si="12"/>
        <v>2588.9077396323951</v>
      </c>
      <c r="G130" s="2">
        <f t="shared" si="9"/>
        <v>2155.8985765309517</v>
      </c>
      <c r="H130" s="2">
        <f t="shared" si="10"/>
        <v>433.00916310144345</v>
      </c>
      <c r="I130" s="16">
        <f t="shared" si="8"/>
        <v>0</v>
      </c>
      <c r="J130" s="2">
        <f t="shared" si="11"/>
        <v>103949.22554758372</v>
      </c>
      <c r="K130" s="2">
        <f t="shared" si="13"/>
        <v>129902.74893043302</v>
      </c>
    </row>
    <row r="131" spans="2:11">
      <c r="B131" s="20"/>
      <c r="C131" s="20"/>
      <c r="D131">
        <v>127</v>
      </c>
      <c r="E131" s="1">
        <v>46935</v>
      </c>
      <c r="F131" s="2">
        <f t="shared" si="12"/>
        <v>2588.9077396323951</v>
      </c>
      <c r="G131" s="2">
        <f t="shared" si="9"/>
        <v>2163.0849051193882</v>
      </c>
      <c r="H131" s="2">
        <f t="shared" si="10"/>
        <v>425.82283451300697</v>
      </c>
      <c r="I131" s="16">
        <f t="shared" si="8"/>
        <v>0</v>
      </c>
      <c r="J131" s="2">
        <f t="shared" si="11"/>
        <v>104375.04838209672</v>
      </c>
      <c r="K131" s="2">
        <f t="shared" si="13"/>
        <v>127746.85035390207</v>
      </c>
    </row>
    <row r="132" spans="2:11">
      <c r="B132" s="20"/>
      <c r="C132" s="20"/>
      <c r="D132">
        <v>128</v>
      </c>
      <c r="E132" s="1">
        <v>46966</v>
      </c>
      <c r="F132" s="2">
        <f t="shared" si="12"/>
        <v>2588.9077396323951</v>
      </c>
      <c r="G132" s="2">
        <f t="shared" si="9"/>
        <v>2170.2951881364529</v>
      </c>
      <c r="H132" s="2">
        <f t="shared" si="10"/>
        <v>418.61255149594228</v>
      </c>
      <c r="I132" s="16">
        <f t="shared" si="8"/>
        <v>0</v>
      </c>
      <c r="J132" s="2">
        <f t="shared" si="11"/>
        <v>104793.66093359266</v>
      </c>
      <c r="K132" s="2">
        <f t="shared" si="13"/>
        <v>125583.76544878268</v>
      </c>
    </row>
    <row r="133" spans="2:11">
      <c r="B133" s="20"/>
      <c r="C133" s="20"/>
      <c r="D133">
        <v>129</v>
      </c>
      <c r="E133" s="1">
        <v>46997</v>
      </c>
      <c r="F133" s="2">
        <f t="shared" si="12"/>
        <v>2588.9077396323951</v>
      </c>
      <c r="G133" s="2">
        <f t="shared" si="9"/>
        <v>2177.529505430241</v>
      </c>
      <c r="H133" s="2">
        <f t="shared" si="10"/>
        <v>411.37823420215409</v>
      </c>
      <c r="I133" s="16">
        <f t="shared" ref="I133:I196" si="14">IF(AND(MOD(D133,12)=2, $B$2&gt;0,K133&gt;$B$2),$B$2,IF(K133=0,0,IF(D133&lt;=$B$3,$I$1,0)))</f>
        <v>0</v>
      </c>
      <c r="J133" s="2">
        <f t="shared" si="11"/>
        <v>105205.03916779482</v>
      </c>
      <c r="K133" s="2">
        <f t="shared" si="13"/>
        <v>123413.47026064622</v>
      </c>
    </row>
    <row r="134" spans="2:11">
      <c r="B134" s="20"/>
      <c r="C134" s="20"/>
      <c r="D134">
        <v>130</v>
      </c>
      <c r="E134" s="1">
        <v>47027</v>
      </c>
      <c r="F134" s="2">
        <f t="shared" si="12"/>
        <v>2588.9077396323951</v>
      </c>
      <c r="G134" s="2">
        <f t="shared" si="9"/>
        <v>2184.7879371150084</v>
      </c>
      <c r="H134" s="2">
        <f t="shared" si="10"/>
        <v>404.11980251738663</v>
      </c>
      <c r="I134" s="16">
        <f t="shared" si="14"/>
        <v>0</v>
      </c>
      <c r="J134" s="2">
        <f t="shared" si="11"/>
        <v>105609.1589703122</v>
      </c>
      <c r="K134" s="2">
        <f t="shared" si="13"/>
        <v>121235.94075521598</v>
      </c>
    </row>
    <row r="135" spans="2:11">
      <c r="B135" s="20"/>
      <c r="C135" s="20"/>
      <c r="D135">
        <v>131</v>
      </c>
      <c r="E135" s="1">
        <v>47058</v>
      </c>
      <c r="F135" s="2">
        <f t="shared" si="12"/>
        <v>2588.9077396323951</v>
      </c>
      <c r="G135" s="2">
        <f t="shared" ref="G135:G198" si="15">+F135-H135</f>
        <v>2192.0705635720583</v>
      </c>
      <c r="H135" s="2">
        <f t="shared" si="10"/>
        <v>396.83717606033662</v>
      </c>
      <c r="I135" s="16">
        <f t="shared" si="14"/>
        <v>0</v>
      </c>
      <c r="J135" s="2">
        <f t="shared" si="11"/>
        <v>106005.99614637253</v>
      </c>
      <c r="K135" s="2">
        <f t="shared" si="13"/>
        <v>119051.15281810098</v>
      </c>
    </row>
    <row r="136" spans="2:11">
      <c r="B136" s="20"/>
      <c r="C136" s="20"/>
      <c r="D136">
        <v>132</v>
      </c>
      <c r="E136" s="1">
        <v>47088</v>
      </c>
      <c r="F136" s="2">
        <f t="shared" si="12"/>
        <v>2588.9077396323951</v>
      </c>
      <c r="G136" s="2">
        <f t="shared" si="15"/>
        <v>2199.3774654506319</v>
      </c>
      <c r="H136" s="2">
        <f t="shared" ref="H136:H199" si="16">($G$2/12)*K136</f>
        <v>389.5302741817631</v>
      </c>
      <c r="I136" s="16">
        <f t="shared" si="14"/>
        <v>0</v>
      </c>
      <c r="J136" s="2">
        <f t="shared" ref="J136:J199" si="17">IF(K136=0,0,J135+H136)</f>
        <v>106395.52642055429</v>
      </c>
      <c r="K136" s="2">
        <f t="shared" si="13"/>
        <v>116859.08225452893</v>
      </c>
    </row>
    <row r="137" spans="2:11">
      <c r="B137" s="20"/>
      <c r="C137" s="20"/>
      <c r="D137">
        <v>133</v>
      </c>
      <c r="E137" s="1">
        <v>47119</v>
      </c>
      <c r="F137" s="2">
        <f t="shared" ref="F137:F200" si="18">IF( (K137+20)&lt;$F$5, H137+K137,I137+$G$1*($G$2/12)*(1+($G$2/12))^($G$3*12)/((1+($G$2/12))^($G$3*12)-1))</f>
        <v>2588.9077396323951</v>
      </c>
      <c r="G137" s="2">
        <f t="shared" si="15"/>
        <v>2206.7087236688008</v>
      </c>
      <c r="H137" s="2">
        <f t="shared" si="16"/>
        <v>382.19901596359438</v>
      </c>
      <c r="I137" s="16">
        <f t="shared" si="14"/>
        <v>0</v>
      </c>
      <c r="J137" s="2">
        <f t="shared" si="17"/>
        <v>106777.72543651788</v>
      </c>
      <c r="K137" s="2">
        <f t="shared" si="13"/>
        <v>114659.7047890783</v>
      </c>
    </row>
    <row r="138" spans="2:11">
      <c r="B138" s="20"/>
      <c r="C138" s="20"/>
      <c r="D138">
        <v>134</v>
      </c>
      <c r="E138" s="1">
        <v>47150</v>
      </c>
      <c r="F138" s="2">
        <f t="shared" si="18"/>
        <v>2588.9077396323951</v>
      </c>
      <c r="G138" s="2">
        <f t="shared" si="15"/>
        <v>2214.0644194143633</v>
      </c>
      <c r="H138" s="2">
        <f t="shared" si="16"/>
        <v>374.84332021803169</v>
      </c>
      <c r="I138" s="16">
        <f t="shared" si="14"/>
        <v>0</v>
      </c>
      <c r="J138" s="2">
        <f t="shared" si="17"/>
        <v>107152.56875673591</v>
      </c>
      <c r="K138" s="2">
        <f t="shared" ref="K138:K201" si="19">K137-G137</f>
        <v>112452.9960654095</v>
      </c>
    </row>
    <row r="139" spans="2:11">
      <c r="B139" s="20"/>
      <c r="C139" s="20"/>
      <c r="D139">
        <v>135</v>
      </c>
      <c r="E139" s="1">
        <v>47178</v>
      </c>
      <c r="F139" s="2">
        <f t="shared" si="18"/>
        <v>2588.9077396323951</v>
      </c>
      <c r="G139" s="2">
        <f t="shared" si="15"/>
        <v>2221.4446341457447</v>
      </c>
      <c r="H139" s="2">
        <f t="shared" si="16"/>
        <v>367.46310548665048</v>
      </c>
      <c r="I139" s="16">
        <f t="shared" si="14"/>
        <v>0</v>
      </c>
      <c r="J139" s="2">
        <f t="shared" si="17"/>
        <v>107520.03186222256</v>
      </c>
      <c r="K139" s="2">
        <f t="shared" si="19"/>
        <v>110238.93164599514</v>
      </c>
    </row>
    <row r="140" spans="2:11">
      <c r="B140" s="20"/>
      <c r="C140" s="20"/>
      <c r="D140">
        <v>136</v>
      </c>
      <c r="E140" s="1">
        <v>47209</v>
      </c>
      <c r="F140" s="2">
        <f t="shared" si="18"/>
        <v>2588.9077396323951</v>
      </c>
      <c r="G140" s="2">
        <f t="shared" si="15"/>
        <v>2228.8494495928971</v>
      </c>
      <c r="H140" s="2">
        <f t="shared" si="16"/>
        <v>360.05829003949799</v>
      </c>
      <c r="I140" s="16">
        <f t="shared" si="14"/>
        <v>0</v>
      </c>
      <c r="J140" s="2">
        <f t="shared" si="17"/>
        <v>107880.09015226206</v>
      </c>
      <c r="K140" s="2">
        <f t="shared" si="19"/>
        <v>108017.48701184939</v>
      </c>
    </row>
    <row r="141" spans="2:11">
      <c r="B141" s="20"/>
      <c r="C141" s="20"/>
      <c r="D141">
        <v>137</v>
      </c>
      <c r="E141" s="1">
        <v>47239</v>
      </c>
      <c r="F141" s="2">
        <f t="shared" si="18"/>
        <v>2588.9077396323951</v>
      </c>
      <c r="G141" s="2">
        <f t="shared" si="15"/>
        <v>2236.2789477582069</v>
      </c>
      <c r="H141" s="2">
        <f t="shared" si="16"/>
        <v>352.62879187418827</v>
      </c>
      <c r="I141" s="16">
        <f t="shared" si="14"/>
        <v>0</v>
      </c>
      <c r="J141" s="2">
        <f t="shared" si="17"/>
        <v>108232.71894413624</v>
      </c>
      <c r="K141" s="2">
        <f t="shared" si="19"/>
        <v>105788.63756225648</v>
      </c>
    </row>
    <row r="142" spans="2:11">
      <c r="B142" s="20"/>
      <c r="C142" s="20"/>
      <c r="D142">
        <v>138</v>
      </c>
      <c r="E142" s="1">
        <v>47270</v>
      </c>
      <c r="F142" s="2">
        <f t="shared" si="18"/>
        <v>2588.9077396323951</v>
      </c>
      <c r="G142" s="2">
        <f t="shared" si="15"/>
        <v>2243.7332109174008</v>
      </c>
      <c r="H142" s="2">
        <f t="shared" si="16"/>
        <v>345.17452871499427</v>
      </c>
      <c r="I142" s="16">
        <f t="shared" si="14"/>
        <v>0</v>
      </c>
      <c r="J142" s="2">
        <f t="shared" si="17"/>
        <v>108577.89347285124</v>
      </c>
      <c r="K142" s="2">
        <f t="shared" si="19"/>
        <v>103552.35861449827</v>
      </c>
    </row>
    <row r="143" spans="2:11">
      <c r="B143" s="20"/>
      <c r="C143" s="20"/>
      <c r="D143">
        <v>139</v>
      </c>
      <c r="E143" s="1">
        <v>47300</v>
      </c>
      <c r="F143" s="2">
        <f t="shared" si="18"/>
        <v>2588.9077396323951</v>
      </c>
      <c r="G143" s="2">
        <f t="shared" si="15"/>
        <v>2251.2123216204591</v>
      </c>
      <c r="H143" s="2">
        <f t="shared" si="16"/>
        <v>337.69541801193623</v>
      </c>
      <c r="I143" s="16">
        <f t="shared" si="14"/>
        <v>0</v>
      </c>
      <c r="J143" s="2">
        <f t="shared" si="17"/>
        <v>108915.58889086318</v>
      </c>
      <c r="K143" s="2">
        <f t="shared" si="19"/>
        <v>101308.62540358087</v>
      </c>
    </row>
    <row r="144" spans="2:11">
      <c r="B144" s="20"/>
      <c r="C144" s="20"/>
      <c r="D144">
        <v>140</v>
      </c>
      <c r="E144" s="1">
        <v>47331</v>
      </c>
      <c r="F144" s="2">
        <f t="shared" si="18"/>
        <v>2588.9077396323951</v>
      </c>
      <c r="G144" s="2">
        <f t="shared" si="15"/>
        <v>2258.7163626925271</v>
      </c>
      <c r="H144" s="2">
        <f t="shared" si="16"/>
        <v>330.19137693986801</v>
      </c>
      <c r="I144" s="16">
        <f t="shared" si="14"/>
        <v>0</v>
      </c>
      <c r="J144" s="2">
        <f t="shared" si="17"/>
        <v>109245.78026780304</v>
      </c>
      <c r="K144" s="2">
        <f t="shared" si="19"/>
        <v>99057.413081960403</v>
      </c>
    </row>
    <row r="145" spans="2:11">
      <c r="B145" s="20"/>
      <c r="C145" s="20"/>
      <c r="D145">
        <v>141</v>
      </c>
      <c r="E145" s="1">
        <v>47362</v>
      </c>
      <c r="F145" s="2">
        <f t="shared" si="18"/>
        <v>2588.9077396323951</v>
      </c>
      <c r="G145" s="2">
        <f t="shared" si="15"/>
        <v>2266.2454172348353</v>
      </c>
      <c r="H145" s="2">
        <f t="shared" si="16"/>
        <v>322.66232239755959</v>
      </c>
      <c r="I145" s="16">
        <f t="shared" si="14"/>
        <v>0</v>
      </c>
      <c r="J145" s="2">
        <f t="shared" si="17"/>
        <v>109568.4425902006</v>
      </c>
      <c r="K145" s="2">
        <f t="shared" si="19"/>
        <v>96798.696719267871</v>
      </c>
    </row>
    <row r="146" spans="2:11">
      <c r="B146" s="20"/>
      <c r="C146" s="20"/>
      <c r="D146">
        <v>142</v>
      </c>
      <c r="E146" s="1">
        <v>47392</v>
      </c>
      <c r="F146" s="2">
        <f t="shared" si="18"/>
        <v>2588.9077396323951</v>
      </c>
      <c r="G146" s="2">
        <f t="shared" si="15"/>
        <v>2273.7995686256181</v>
      </c>
      <c r="H146" s="2">
        <f t="shared" si="16"/>
        <v>315.10817100677679</v>
      </c>
      <c r="I146" s="16">
        <f t="shared" si="14"/>
        <v>0</v>
      </c>
      <c r="J146" s="2">
        <f t="shared" si="17"/>
        <v>109883.55076120739</v>
      </c>
      <c r="K146" s="2">
        <f t="shared" si="19"/>
        <v>94532.451302033034</v>
      </c>
    </row>
    <row r="147" spans="2:11">
      <c r="B147" s="20"/>
      <c r="C147" s="20"/>
      <c r="D147">
        <v>143</v>
      </c>
      <c r="E147" s="1">
        <v>47423</v>
      </c>
      <c r="F147" s="2">
        <f t="shared" si="18"/>
        <v>2588.9077396323951</v>
      </c>
      <c r="G147" s="2">
        <f t="shared" si="15"/>
        <v>2281.3789005210369</v>
      </c>
      <c r="H147" s="2">
        <f t="shared" si="16"/>
        <v>307.52883911135808</v>
      </c>
      <c r="I147" s="16">
        <f t="shared" si="14"/>
        <v>0</v>
      </c>
      <c r="J147" s="2">
        <f t="shared" si="17"/>
        <v>110191.07960031874</v>
      </c>
      <c r="K147" s="2">
        <f t="shared" si="19"/>
        <v>92258.651733407416</v>
      </c>
    </row>
    <row r="148" spans="2:11">
      <c r="B148" s="20"/>
      <c r="C148" s="20"/>
      <c r="D148">
        <v>144</v>
      </c>
      <c r="E148" s="1">
        <v>47453</v>
      </c>
      <c r="F148" s="2">
        <f t="shared" si="18"/>
        <v>2588.9077396323951</v>
      </c>
      <c r="G148" s="2">
        <f t="shared" si="15"/>
        <v>2288.9834968561072</v>
      </c>
      <c r="H148" s="2">
        <f t="shared" si="16"/>
        <v>299.92424277628794</v>
      </c>
      <c r="I148" s="16">
        <f t="shared" si="14"/>
        <v>0</v>
      </c>
      <c r="J148" s="2">
        <f t="shared" si="17"/>
        <v>110491.00384309504</v>
      </c>
      <c r="K148" s="2">
        <f t="shared" si="19"/>
        <v>89977.272832886374</v>
      </c>
    </row>
    <row r="149" spans="2:11">
      <c r="B149" s="20"/>
      <c r="C149" s="20"/>
      <c r="D149">
        <v>145</v>
      </c>
      <c r="E149" s="1">
        <v>47484</v>
      </c>
      <c r="F149" s="2">
        <f t="shared" si="18"/>
        <v>2588.9077396323951</v>
      </c>
      <c r="G149" s="2">
        <f t="shared" si="15"/>
        <v>2296.6134418456277</v>
      </c>
      <c r="H149" s="2">
        <f t="shared" si="16"/>
        <v>292.29429778676757</v>
      </c>
      <c r="I149" s="16">
        <f t="shared" si="14"/>
        <v>0</v>
      </c>
      <c r="J149" s="2">
        <f t="shared" si="17"/>
        <v>110783.2981408818</v>
      </c>
      <c r="K149" s="2">
        <f t="shared" si="19"/>
        <v>87688.28933603027</v>
      </c>
    </row>
    <row r="150" spans="2:11">
      <c r="B150" s="20"/>
      <c r="C150" s="20"/>
      <c r="D150">
        <v>146</v>
      </c>
      <c r="E150" s="1">
        <v>47515</v>
      </c>
      <c r="F150" s="2">
        <f t="shared" si="18"/>
        <v>2588.9077396323951</v>
      </c>
      <c r="G150" s="2">
        <f t="shared" si="15"/>
        <v>2304.2688199851127</v>
      </c>
      <c r="H150" s="2">
        <f t="shared" si="16"/>
        <v>284.63891964728219</v>
      </c>
      <c r="I150" s="16">
        <f t="shared" si="14"/>
        <v>0</v>
      </c>
      <c r="J150" s="2">
        <f t="shared" si="17"/>
        <v>111067.93706052909</v>
      </c>
      <c r="K150" s="2">
        <f t="shared" si="19"/>
        <v>85391.675894184649</v>
      </c>
    </row>
    <row r="151" spans="2:11">
      <c r="B151" s="20"/>
      <c r="C151" s="20"/>
      <c r="D151">
        <v>147</v>
      </c>
      <c r="E151" s="1">
        <v>47543</v>
      </c>
      <c r="F151" s="2">
        <f t="shared" si="18"/>
        <v>2588.9077396323951</v>
      </c>
      <c r="G151" s="2">
        <f t="shared" si="15"/>
        <v>2311.9497160517299</v>
      </c>
      <c r="H151" s="2">
        <f t="shared" si="16"/>
        <v>276.95802358066516</v>
      </c>
      <c r="I151" s="16">
        <f t="shared" si="14"/>
        <v>0</v>
      </c>
      <c r="J151" s="2">
        <f t="shared" si="17"/>
        <v>111344.89508410975</v>
      </c>
      <c r="K151" s="2">
        <f t="shared" si="19"/>
        <v>83087.407074199538</v>
      </c>
    </row>
    <row r="152" spans="2:11">
      <c r="B152" s="20"/>
      <c r="C152" s="20"/>
      <c r="D152">
        <v>148</v>
      </c>
      <c r="E152" s="1">
        <v>47574</v>
      </c>
      <c r="F152" s="2">
        <f t="shared" si="18"/>
        <v>2588.9077396323951</v>
      </c>
      <c r="G152" s="2">
        <f t="shared" si="15"/>
        <v>2319.6562151052358</v>
      </c>
      <c r="H152" s="2">
        <f t="shared" si="16"/>
        <v>269.25152452715935</v>
      </c>
      <c r="I152" s="16">
        <f t="shared" si="14"/>
        <v>0</v>
      </c>
      <c r="J152" s="2">
        <f t="shared" si="17"/>
        <v>111614.14660863692</v>
      </c>
      <c r="K152" s="2">
        <f t="shared" si="19"/>
        <v>80775.457358147803</v>
      </c>
    </row>
    <row r="153" spans="2:11">
      <c r="B153" s="20"/>
      <c r="C153" s="20"/>
      <c r="D153">
        <v>149</v>
      </c>
      <c r="E153" s="1">
        <v>47604</v>
      </c>
      <c r="F153" s="2">
        <f t="shared" si="18"/>
        <v>2588.9077396323951</v>
      </c>
      <c r="G153" s="2">
        <f t="shared" si="15"/>
        <v>2327.3884024889198</v>
      </c>
      <c r="H153" s="2">
        <f t="shared" si="16"/>
        <v>261.51933714347524</v>
      </c>
      <c r="I153" s="16">
        <f t="shared" si="14"/>
        <v>0</v>
      </c>
      <c r="J153" s="2">
        <f t="shared" si="17"/>
        <v>111875.66594578039</v>
      </c>
      <c r="K153" s="2">
        <f t="shared" si="19"/>
        <v>78455.801143042569</v>
      </c>
    </row>
    <row r="154" spans="2:11">
      <c r="B154" s="20"/>
      <c r="C154" s="20"/>
      <c r="D154">
        <v>150</v>
      </c>
      <c r="E154" s="1">
        <v>47635</v>
      </c>
      <c r="F154" s="2">
        <f t="shared" si="18"/>
        <v>2588.9077396323951</v>
      </c>
      <c r="G154" s="2">
        <f t="shared" si="15"/>
        <v>2335.1463638305495</v>
      </c>
      <c r="H154" s="2">
        <f t="shared" si="16"/>
        <v>253.7613758018455</v>
      </c>
      <c r="I154" s="16">
        <f t="shared" si="14"/>
        <v>0</v>
      </c>
      <c r="J154" s="2">
        <f t="shared" si="17"/>
        <v>112129.42732158223</v>
      </c>
      <c r="K154" s="2">
        <f t="shared" si="19"/>
        <v>76128.412740553642</v>
      </c>
    </row>
    <row r="155" spans="2:11">
      <c r="B155" s="20"/>
      <c r="C155" s="20"/>
      <c r="D155">
        <v>151</v>
      </c>
      <c r="E155" s="1">
        <v>47665</v>
      </c>
      <c r="F155" s="2">
        <f t="shared" si="18"/>
        <v>2588.9077396323951</v>
      </c>
      <c r="G155" s="2">
        <f t="shared" si="15"/>
        <v>2342.930185043318</v>
      </c>
      <c r="H155" s="2">
        <f t="shared" si="16"/>
        <v>245.97755458907702</v>
      </c>
      <c r="I155" s="16">
        <f t="shared" si="14"/>
        <v>0</v>
      </c>
      <c r="J155" s="2">
        <f t="shared" si="17"/>
        <v>112375.40487617131</v>
      </c>
      <c r="K155" s="2">
        <f t="shared" si="19"/>
        <v>73793.266376723099</v>
      </c>
    </row>
    <row r="156" spans="2:11">
      <c r="B156" s="20"/>
      <c r="C156" s="20"/>
      <c r="D156">
        <v>152</v>
      </c>
      <c r="E156" s="1">
        <v>47696</v>
      </c>
      <c r="F156" s="2">
        <f t="shared" si="18"/>
        <v>2588.9077396323951</v>
      </c>
      <c r="G156" s="2">
        <f t="shared" si="15"/>
        <v>2350.7399523267959</v>
      </c>
      <c r="H156" s="2">
        <f t="shared" si="16"/>
        <v>238.16778730559932</v>
      </c>
      <c r="I156" s="16">
        <f t="shared" si="14"/>
        <v>0</v>
      </c>
      <c r="J156" s="2">
        <f t="shared" si="17"/>
        <v>112613.57266347691</v>
      </c>
      <c r="K156" s="2">
        <f t="shared" si="19"/>
        <v>71450.336191679788</v>
      </c>
    </row>
    <row r="157" spans="2:11">
      <c r="B157" s="20"/>
      <c r="C157" s="20"/>
      <c r="D157">
        <v>153</v>
      </c>
      <c r="E157" s="1">
        <v>47727</v>
      </c>
      <c r="F157" s="2">
        <f t="shared" si="18"/>
        <v>2588.9077396323951</v>
      </c>
      <c r="G157" s="2">
        <f t="shared" si="15"/>
        <v>2358.5757521678852</v>
      </c>
      <c r="H157" s="2">
        <f t="shared" si="16"/>
        <v>230.33198746450998</v>
      </c>
      <c r="I157" s="16">
        <f t="shared" si="14"/>
        <v>0</v>
      </c>
      <c r="J157" s="2">
        <f t="shared" si="17"/>
        <v>112843.90465094142</v>
      </c>
      <c r="K157" s="2">
        <f t="shared" si="19"/>
        <v>69099.596239352992</v>
      </c>
    </row>
    <row r="158" spans="2:11">
      <c r="B158" s="20"/>
      <c r="C158" s="20"/>
      <c r="D158">
        <v>154</v>
      </c>
      <c r="E158" s="1">
        <v>47757</v>
      </c>
      <c r="F158" s="2">
        <f t="shared" si="18"/>
        <v>2588.9077396323951</v>
      </c>
      <c r="G158" s="2">
        <f t="shared" si="15"/>
        <v>2366.4376713417782</v>
      </c>
      <c r="H158" s="2">
        <f t="shared" si="16"/>
        <v>222.47006829061701</v>
      </c>
      <c r="I158" s="16">
        <f t="shared" si="14"/>
        <v>0</v>
      </c>
      <c r="J158" s="2">
        <f t="shared" si="17"/>
        <v>113066.37471923203</v>
      </c>
      <c r="K158" s="2">
        <f t="shared" si="19"/>
        <v>66741.020487185102</v>
      </c>
    </row>
    <row r="159" spans="2:11">
      <c r="B159" s="20"/>
      <c r="C159" s="20"/>
      <c r="D159">
        <v>155</v>
      </c>
      <c r="E159" s="1">
        <v>47788</v>
      </c>
      <c r="F159" s="2">
        <f t="shared" si="18"/>
        <v>2588.9077396323951</v>
      </c>
      <c r="G159" s="2">
        <f t="shared" si="15"/>
        <v>2374.3257969129172</v>
      </c>
      <c r="H159" s="2">
        <f t="shared" si="16"/>
        <v>214.58194271947775</v>
      </c>
      <c r="I159" s="16">
        <f t="shared" si="14"/>
        <v>0</v>
      </c>
      <c r="J159" s="2">
        <f t="shared" si="17"/>
        <v>113280.95666195151</v>
      </c>
      <c r="K159" s="2">
        <f t="shared" si="19"/>
        <v>64374.582815843321</v>
      </c>
    </row>
    <row r="160" spans="2:11">
      <c r="B160" s="20"/>
      <c r="C160" s="20"/>
      <c r="D160">
        <v>156</v>
      </c>
      <c r="E160" s="1">
        <v>47818</v>
      </c>
      <c r="F160" s="2">
        <f t="shared" si="18"/>
        <v>2588.9077396323951</v>
      </c>
      <c r="G160" s="2">
        <f t="shared" si="15"/>
        <v>2382.2402162359604</v>
      </c>
      <c r="H160" s="2">
        <f t="shared" si="16"/>
        <v>206.66752339643469</v>
      </c>
      <c r="I160" s="16">
        <f t="shared" si="14"/>
        <v>0</v>
      </c>
      <c r="J160" s="2">
        <f t="shared" si="17"/>
        <v>113487.62418534794</v>
      </c>
      <c r="K160" s="2">
        <f t="shared" si="19"/>
        <v>62000.257018930402</v>
      </c>
    </row>
    <row r="161" spans="2:11">
      <c r="B161" s="20"/>
      <c r="C161" s="20"/>
      <c r="D161">
        <v>157</v>
      </c>
      <c r="E161" s="1">
        <v>47849</v>
      </c>
      <c r="F161" s="2">
        <f t="shared" si="18"/>
        <v>2588.9077396323951</v>
      </c>
      <c r="G161" s="2">
        <f t="shared" si="15"/>
        <v>2390.181016956747</v>
      </c>
      <c r="H161" s="2">
        <f t="shared" si="16"/>
        <v>198.72672267564818</v>
      </c>
      <c r="I161" s="16">
        <f t="shared" si="14"/>
        <v>0</v>
      </c>
      <c r="J161" s="2">
        <f t="shared" si="17"/>
        <v>113686.3509080236</v>
      </c>
      <c r="K161" s="2">
        <f t="shared" si="19"/>
        <v>59618.016802694445</v>
      </c>
    </row>
    <row r="162" spans="2:11">
      <c r="B162" s="20"/>
      <c r="C162" s="20"/>
      <c r="D162">
        <v>158</v>
      </c>
      <c r="E162" s="1">
        <v>47880</v>
      </c>
      <c r="F162" s="2">
        <f t="shared" si="18"/>
        <v>2588.9077396323951</v>
      </c>
      <c r="G162" s="2">
        <f t="shared" si="15"/>
        <v>2398.1482870132695</v>
      </c>
      <c r="H162" s="2">
        <f t="shared" si="16"/>
        <v>190.75945261912568</v>
      </c>
      <c r="I162" s="16">
        <f t="shared" si="14"/>
        <v>0</v>
      </c>
      <c r="J162" s="2">
        <f t="shared" si="17"/>
        <v>113877.11036064272</v>
      </c>
      <c r="K162" s="2">
        <f t="shared" si="19"/>
        <v>57227.835785737698</v>
      </c>
    </row>
    <row r="163" spans="2:11">
      <c r="B163" s="20"/>
      <c r="C163" s="20"/>
      <c r="D163">
        <v>159</v>
      </c>
      <c r="E163" s="1">
        <v>47908</v>
      </c>
      <c r="F163" s="2">
        <f t="shared" si="18"/>
        <v>2588.9077396323951</v>
      </c>
      <c r="G163" s="2">
        <f t="shared" si="15"/>
        <v>2406.142114636647</v>
      </c>
      <c r="H163" s="2">
        <f t="shared" si="16"/>
        <v>182.76562499574811</v>
      </c>
      <c r="I163" s="16">
        <f t="shared" si="14"/>
        <v>0</v>
      </c>
      <c r="J163" s="2">
        <f t="shared" si="17"/>
        <v>114059.87598563847</v>
      </c>
      <c r="K163" s="2">
        <f t="shared" si="19"/>
        <v>54829.68749872443</v>
      </c>
    </row>
    <row r="164" spans="2:11">
      <c r="B164" s="20"/>
      <c r="C164" s="20"/>
      <c r="D164">
        <v>160</v>
      </c>
      <c r="E164" s="1">
        <v>47939</v>
      </c>
      <c r="F164" s="2">
        <f t="shared" si="18"/>
        <v>2588.9077396323951</v>
      </c>
      <c r="G164" s="2">
        <f t="shared" si="15"/>
        <v>2414.1625883521024</v>
      </c>
      <c r="H164" s="2">
        <f t="shared" si="16"/>
        <v>174.74515128029262</v>
      </c>
      <c r="I164" s="16">
        <f t="shared" si="14"/>
        <v>0</v>
      </c>
      <c r="J164" s="2">
        <f t="shared" si="17"/>
        <v>114234.62113691877</v>
      </c>
      <c r="K164" s="2">
        <f t="shared" si="19"/>
        <v>52423.545384087782</v>
      </c>
    </row>
    <row r="165" spans="2:11">
      <c r="B165" s="20"/>
      <c r="C165" s="20"/>
      <c r="D165">
        <v>161</v>
      </c>
      <c r="E165" s="1">
        <v>47969</v>
      </c>
      <c r="F165" s="2">
        <f t="shared" si="18"/>
        <v>2588.9077396323951</v>
      </c>
      <c r="G165" s="2">
        <f t="shared" si="15"/>
        <v>2422.2097969799429</v>
      </c>
      <c r="H165" s="2">
        <f t="shared" si="16"/>
        <v>166.69794265245227</v>
      </c>
      <c r="I165" s="16">
        <f t="shared" si="14"/>
        <v>0</v>
      </c>
      <c r="J165" s="2">
        <f t="shared" si="17"/>
        <v>114401.31907957121</v>
      </c>
      <c r="K165" s="2">
        <f t="shared" si="19"/>
        <v>50009.382795735677</v>
      </c>
    </row>
    <row r="166" spans="2:11">
      <c r="B166" s="20"/>
      <c r="C166" s="20"/>
      <c r="D166">
        <v>162</v>
      </c>
      <c r="E166" s="1">
        <v>48000</v>
      </c>
      <c r="F166" s="2">
        <f t="shared" si="18"/>
        <v>2588.9077396323951</v>
      </c>
      <c r="G166" s="2">
        <f t="shared" si="15"/>
        <v>2430.2838296365426</v>
      </c>
      <c r="H166" s="2">
        <f t="shared" si="16"/>
        <v>158.62390999585244</v>
      </c>
      <c r="I166" s="16">
        <f t="shared" si="14"/>
        <v>0</v>
      </c>
      <c r="J166" s="2">
        <f t="shared" si="17"/>
        <v>114559.94298956706</v>
      </c>
      <c r="K166" s="2">
        <f t="shared" si="19"/>
        <v>47587.172998755734</v>
      </c>
    </row>
    <row r="167" spans="2:11">
      <c r="B167" s="20"/>
      <c r="C167" s="20"/>
      <c r="D167">
        <v>163</v>
      </c>
      <c r="E167" s="1">
        <v>48030</v>
      </c>
      <c r="F167" s="2">
        <f t="shared" si="18"/>
        <v>2588.9077396323951</v>
      </c>
      <c r="G167" s="2">
        <f t="shared" si="15"/>
        <v>2438.384775735331</v>
      </c>
      <c r="H167" s="2">
        <f t="shared" si="16"/>
        <v>150.52296389706396</v>
      </c>
      <c r="I167" s="16">
        <f t="shared" si="14"/>
        <v>0</v>
      </c>
      <c r="J167" s="2">
        <f t="shared" si="17"/>
        <v>114710.46595346413</v>
      </c>
      <c r="K167" s="2">
        <f t="shared" si="19"/>
        <v>45156.889169119189</v>
      </c>
    </row>
    <row r="168" spans="2:11">
      <c r="B168" s="20"/>
      <c r="C168" s="20"/>
      <c r="D168">
        <v>164</v>
      </c>
      <c r="E168" s="1">
        <v>48061</v>
      </c>
      <c r="F168" s="2">
        <f t="shared" si="18"/>
        <v>2588.9077396323951</v>
      </c>
      <c r="G168" s="2">
        <f t="shared" si="15"/>
        <v>2446.5127249877823</v>
      </c>
      <c r="H168" s="2">
        <f t="shared" si="16"/>
        <v>142.39501464461287</v>
      </c>
      <c r="I168" s="16">
        <f t="shared" si="14"/>
        <v>0</v>
      </c>
      <c r="J168" s="2">
        <f t="shared" si="17"/>
        <v>114852.86096810874</v>
      </c>
      <c r="K168" s="2">
        <f t="shared" si="19"/>
        <v>42718.504393383861</v>
      </c>
    </row>
    <row r="169" spans="2:11">
      <c r="B169" s="20"/>
      <c r="C169" s="20"/>
      <c r="D169">
        <v>165</v>
      </c>
      <c r="E169" s="1">
        <v>48092</v>
      </c>
      <c r="F169" s="2">
        <f t="shared" si="18"/>
        <v>2588.9077396323951</v>
      </c>
      <c r="G169" s="2">
        <f t="shared" si="15"/>
        <v>2454.6677674044081</v>
      </c>
      <c r="H169" s="2">
        <f t="shared" si="16"/>
        <v>134.23997222798693</v>
      </c>
      <c r="I169" s="16">
        <f t="shared" si="14"/>
        <v>0</v>
      </c>
      <c r="J169" s="2">
        <f t="shared" si="17"/>
        <v>114987.10094033672</v>
      </c>
      <c r="K169" s="2">
        <f t="shared" si="19"/>
        <v>40271.991668396076</v>
      </c>
    </row>
    <row r="170" spans="2:11">
      <c r="B170" s="20"/>
      <c r="C170" s="20"/>
      <c r="D170">
        <v>166</v>
      </c>
      <c r="E170" s="1">
        <v>48122</v>
      </c>
      <c r="F170" s="2">
        <f t="shared" si="18"/>
        <v>2588.9077396323951</v>
      </c>
      <c r="G170" s="2">
        <f t="shared" si="15"/>
        <v>2462.8499932957561</v>
      </c>
      <c r="H170" s="2">
        <f t="shared" si="16"/>
        <v>126.05774633663889</v>
      </c>
      <c r="I170" s="16">
        <f t="shared" si="14"/>
        <v>0</v>
      </c>
      <c r="J170" s="2">
        <f t="shared" si="17"/>
        <v>115113.15868667336</v>
      </c>
      <c r="K170" s="2">
        <f t="shared" si="19"/>
        <v>37817.323900991665</v>
      </c>
    </row>
    <row r="171" spans="2:11">
      <c r="B171" s="20"/>
      <c r="C171" s="20"/>
      <c r="D171">
        <v>167</v>
      </c>
      <c r="E171" s="1">
        <v>48153</v>
      </c>
      <c r="F171" s="2">
        <f t="shared" si="18"/>
        <v>2588.9077396323951</v>
      </c>
      <c r="G171" s="2">
        <f t="shared" si="15"/>
        <v>2471.0594932734089</v>
      </c>
      <c r="H171" s="2">
        <f t="shared" si="16"/>
        <v>117.84824635898637</v>
      </c>
      <c r="I171" s="16">
        <f t="shared" si="14"/>
        <v>0</v>
      </c>
      <c r="J171" s="2">
        <f t="shared" si="17"/>
        <v>115231.00693303235</v>
      </c>
      <c r="K171" s="2">
        <f t="shared" si="19"/>
        <v>35354.473907695909</v>
      </c>
    </row>
    <row r="172" spans="2:11">
      <c r="B172" s="20"/>
      <c r="C172" s="20"/>
      <c r="D172">
        <v>168</v>
      </c>
      <c r="E172" s="1">
        <v>48183</v>
      </c>
      <c r="F172" s="2">
        <f t="shared" si="18"/>
        <v>2588.9077396323951</v>
      </c>
      <c r="G172" s="2">
        <f t="shared" si="15"/>
        <v>2479.2963582509869</v>
      </c>
      <c r="H172" s="2">
        <f t="shared" si="16"/>
        <v>109.61138138140834</v>
      </c>
      <c r="I172" s="16">
        <f t="shared" si="14"/>
        <v>0</v>
      </c>
      <c r="J172" s="2">
        <f t="shared" si="17"/>
        <v>115340.61831441376</v>
      </c>
      <c r="K172" s="2">
        <f t="shared" si="19"/>
        <v>32883.414414422499</v>
      </c>
    </row>
    <row r="173" spans="2:11">
      <c r="B173" s="20"/>
      <c r="C173" s="20"/>
      <c r="D173">
        <v>169</v>
      </c>
      <c r="E173" s="1">
        <v>48214</v>
      </c>
      <c r="F173" s="2">
        <f t="shared" si="18"/>
        <v>2588.9077396323951</v>
      </c>
      <c r="G173" s="2">
        <f t="shared" si="15"/>
        <v>2487.5606794451569</v>
      </c>
      <c r="H173" s="2">
        <f t="shared" si="16"/>
        <v>101.34706018723838</v>
      </c>
      <c r="I173" s="16">
        <f t="shared" si="14"/>
        <v>0</v>
      </c>
      <c r="J173" s="2">
        <f t="shared" si="17"/>
        <v>115441.965374601</v>
      </c>
      <c r="K173" s="2">
        <f t="shared" si="19"/>
        <v>30404.118056171512</v>
      </c>
    </row>
    <row r="174" spans="2:11">
      <c r="B174" s="20"/>
      <c r="C174" s="20"/>
      <c r="D174">
        <v>170</v>
      </c>
      <c r="E174" s="1">
        <v>48245</v>
      </c>
      <c r="F174" s="2">
        <f t="shared" si="18"/>
        <v>2588.9077396323951</v>
      </c>
      <c r="G174" s="2">
        <f t="shared" si="15"/>
        <v>2495.8525483766407</v>
      </c>
      <c r="H174" s="2">
        <f t="shared" si="16"/>
        <v>93.055191255754522</v>
      </c>
      <c r="I174" s="16">
        <f t="shared" si="14"/>
        <v>0</v>
      </c>
      <c r="J174" s="2">
        <f t="shared" si="17"/>
        <v>115535.02056585676</v>
      </c>
      <c r="K174" s="2">
        <f t="shared" si="19"/>
        <v>27916.557376726356</v>
      </c>
    </row>
    <row r="175" spans="2:11">
      <c r="B175" s="20"/>
      <c r="C175" s="20"/>
      <c r="D175">
        <v>171</v>
      </c>
      <c r="E175" s="1">
        <v>48274</v>
      </c>
      <c r="F175" s="2">
        <f t="shared" si="18"/>
        <v>2588.9077396323951</v>
      </c>
      <c r="G175" s="2">
        <f t="shared" si="15"/>
        <v>2504.1720568712294</v>
      </c>
      <c r="H175" s="2">
        <f t="shared" si="16"/>
        <v>84.73568276116572</v>
      </c>
      <c r="I175" s="16">
        <f t="shared" si="14"/>
        <v>0</v>
      </c>
      <c r="J175" s="2">
        <f t="shared" si="17"/>
        <v>115619.75624861792</v>
      </c>
      <c r="K175" s="2">
        <f t="shared" si="19"/>
        <v>25420.704828349713</v>
      </c>
    </row>
    <row r="176" spans="2:11">
      <c r="B176" s="20"/>
      <c r="C176" s="20"/>
      <c r="D176">
        <v>172</v>
      </c>
      <c r="E176" s="1">
        <v>48305</v>
      </c>
      <c r="F176" s="2">
        <f t="shared" si="18"/>
        <v>2588.9077396323951</v>
      </c>
      <c r="G176" s="2">
        <f t="shared" si="15"/>
        <v>2512.5192970608</v>
      </c>
      <c r="H176" s="2">
        <f t="shared" si="16"/>
        <v>76.38844257159495</v>
      </c>
      <c r="I176" s="16">
        <f t="shared" si="14"/>
        <v>0</v>
      </c>
      <c r="J176" s="2">
        <f t="shared" si="17"/>
        <v>115696.14469118952</v>
      </c>
      <c r="K176" s="2">
        <f t="shared" si="19"/>
        <v>22916.532771478483</v>
      </c>
    </row>
    <row r="177" spans="2:11">
      <c r="B177" s="20"/>
      <c r="C177" s="20"/>
      <c r="D177">
        <v>173</v>
      </c>
      <c r="E177" s="1">
        <v>48335</v>
      </c>
      <c r="F177" s="2">
        <f t="shared" si="18"/>
        <v>2588.9077396323951</v>
      </c>
      <c r="G177" s="2">
        <f t="shared" si="15"/>
        <v>2520.8943613843362</v>
      </c>
      <c r="H177" s="2">
        <f t="shared" si="16"/>
        <v>68.013378248058942</v>
      </c>
      <c r="I177" s="16">
        <f t="shared" si="14"/>
        <v>0</v>
      </c>
      <c r="J177" s="2">
        <f t="shared" si="17"/>
        <v>115764.15806943757</v>
      </c>
      <c r="K177" s="2">
        <f t="shared" si="19"/>
        <v>20404.013474417683</v>
      </c>
    </row>
    <row r="178" spans="2:11">
      <c r="B178" s="20"/>
      <c r="C178" s="20"/>
      <c r="D178">
        <v>174</v>
      </c>
      <c r="E178" s="1">
        <v>48366</v>
      </c>
      <c r="F178" s="2">
        <f t="shared" si="18"/>
        <v>2588.9077396323951</v>
      </c>
      <c r="G178" s="2">
        <f t="shared" si="15"/>
        <v>2529.2973425889504</v>
      </c>
      <c r="H178" s="2">
        <f t="shared" si="16"/>
        <v>59.610397043444493</v>
      </c>
      <c r="I178" s="16">
        <f t="shared" si="14"/>
        <v>0</v>
      </c>
      <c r="J178" s="2">
        <f t="shared" si="17"/>
        <v>115823.76846648102</v>
      </c>
      <c r="K178" s="2">
        <f t="shared" si="19"/>
        <v>17883.119113033346</v>
      </c>
    </row>
    <row r="179" spans="2:11">
      <c r="B179" s="20"/>
      <c r="C179" s="20"/>
      <c r="D179">
        <v>175</v>
      </c>
      <c r="E179" s="1">
        <v>48396</v>
      </c>
      <c r="F179" s="2">
        <f t="shared" si="18"/>
        <v>2588.9077396323951</v>
      </c>
      <c r="G179" s="2">
        <f t="shared" si="15"/>
        <v>2537.7283337309136</v>
      </c>
      <c r="H179" s="2">
        <f t="shared" si="16"/>
        <v>51.179405901481324</v>
      </c>
      <c r="I179" s="16">
        <f t="shared" si="14"/>
        <v>0</v>
      </c>
      <c r="J179" s="2">
        <f t="shared" si="17"/>
        <v>115874.9478723825</v>
      </c>
      <c r="K179" s="2">
        <f t="shared" si="19"/>
        <v>15353.821770444396</v>
      </c>
    </row>
    <row r="180" spans="2:11">
      <c r="B180" s="20"/>
      <c r="C180" s="20"/>
      <c r="D180">
        <v>176</v>
      </c>
      <c r="E180" s="1">
        <v>48427</v>
      </c>
      <c r="F180" s="2">
        <f t="shared" si="18"/>
        <v>2588.9077396323951</v>
      </c>
      <c r="G180" s="2">
        <f t="shared" si="15"/>
        <v>2546.1874281766836</v>
      </c>
      <c r="H180" s="2">
        <f t="shared" si="16"/>
        <v>42.720311455711617</v>
      </c>
      <c r="I180" s="16">
        <f t="shared" si="14"/>
        <v>0</v>
      </c>
      <c r="J180" s="2">
        <f t="shared" si="17"/>
        <v>115917.66818383821</v>
      </c>
      <c r="K180" s="2">
        <f t="shared" si="19"/>
        <v>12816.093436713483</v>
      </c>
    </row>
    <row r="181" spans="2:11">
      <c r="B181" s="20"/>
      <c r="C181" s="20"/>
      <c r="D181">
        <v>177</v>
      </c>
      <c r="E181" s="1">
        <v>48458</v>
      </c>
      <c r="F181" s="2">
        <f t="shared" si="18"/>
        <v>2588.9077396323951</v>
      </c>
      <c r="G181" s="2">
        <f t="shared" si="15"/>
        <v>2554.6747196039391</v>
      </c>
      <c r="H181" s="2">
        <f t="shared" si="16"/>
        <v>34.233020028456004</v>
      </c>
      <c r="I181" s="16">
        <f t="shared" si="14"/>
        <v>0</v>
      </c>
      <c r="J181" s="2">
        <f t="shared" si="17"/>
        <v>115951.90120386667</v>
      </c>
      <c r="K181" s="2">
        <f t="shared" si="19"/>
        <v>10269.9060085368</v>
      </c>
    </row>
    <row r="182" spans="2:11">
      <c r="B182" s="20"/>
      <c r="C182" s="20"/>
      <c r="D182">
        <v>178</v>
      </c>
      <c r="E182" s="1">
        <v>48488</v>
      </c>
      <c r="F182" s="2">
        <f t="shared" si="18"/>
        <v>2588.9077396323951</v>
      </c>
      <c r="G182" s="2">
        <f t="shared" si="15"/>
        <v>2563.1903020026189</v>
      </c>
      <c r="H182" s="2">
        <f t="shared" si="16"/>
        <v>25.717437629776203</v>
      </c>
      <c r="I182" s="16">
        <f t="shared" si="14"/>
        <v>0</v>
      </c>
      <c r="J182" s="2">
        <f t="shared" si="17"/>
        <v>115977.61864149645</v>
      </c>
      <c r="K182" s="2">
        <f t="shared" si="19"/>
        <v>7715.2312889328605</v>
      </c>
    </row>
    <row r="183" spans="2:11">
      <c r="B183" s="20"/>
      <c r="C183" s="20"/>
      <c r="D183">
        <v>179</v>
      </c>
      <c r="E183" s="1">
        <v>48519</v>
      </c>
      <c r="F183" s="2">
        <f t="shared" si="18"/>
        <v>2588.9077396323951</v>
      </c>
      <c r="G183" s="2">
        <f t="shared" si="15"/>
        <v>2571.7342696759611</v>
      </c>
      <c r="H183" s="2">
        <f t="shared" si="16"/>
        <v>17.17346995643414</v>
      </c>
      <c r="I183" s="16">
        <f t="shared" si="14"/>
        <v>0</v>
      </c>
      <c r="J183" s="2">
        <f t="shared" si="17"/>
        <v>115994.79211145289</v>
      </c>
      <c r="K183" s="2">
        <f t="shared" si="19"/>
        <v>5152.0409869302421</v>
      </c>
    </row>
    <row r="184" spans="2:11">
      <c r="B184" s="20"/>
      <c r="C184" s="20"/>
      <c r="D184">
        <v>180</v>
      </c>
      <c r="E184" s="1">
        <v>48549</v>
      </c>
      <c r="F184" s="2">
        <f t="shared" si="18"/>
        <v>2588.9077396323951</v>
      </c>
      <c r="G184" s="2">
        <f t="shared" si="15"/>
        <v>2580.3067172415476</v>
      </c>
      <c r="H184" s="2">
        <f t="shared" si="16"/>
        <v>8.6010223908476036</v>
      </c>
      <c r="I184" s="16">
        <f t="shared" si="14"/>
        <v>0</v>
      </c>
      <c r="J184" s="2">
        <f t="shared" si="17"/>
        <v>116003.39313384374</v>
      </c>
      <c r="K184" s="2">
        <f t="shared" si="19"/>
        <v>2580.306717254281</v>
      </c>
    </row>
    <row r="185" spans="2:11">
      <c r="B185" s="20"/>
      <c r="C185" s="20"/>
      <c r="D185">
        <v>181</v>
      </c>
      <c r="E185" s="1">
        <v>48580</v>
      </c>
      <c r="F185" s="2">
        <f t="shared" si="18"/>
        <v>1.2775825174079121E-8</v>
      </c>
      <c r="G185" s="2">
        <f t="shared" si="15"/>
        <v>1.2733380572171882E-8</v>
      </c>
      <c r="H185" s="2">
        <f t="shared" si="16"/>
        <v>4.2444601907239609E-11</v>
      </c>
      <c r="I185" s="16">
        <f t="shared" si="14"/>
        <v>0</v>
      </c>
      <c r="J185" s="2">
        <f>IF(K185=0,0,J184+H185)</f>
        <v>116003.39313384378</v>
      </c>
      <c r="K185" s="2">
        <f t="shared" si="19"/>
        <v>1.2733380572171882E-8</v>
      </c>
    </row>
    <row r="186" spans="2:11">
      <c r="B186" s="20"/>
      <c r="C186" s="20"/>
      <c r="D186">
        <v>182</v>
      </c>
      <c r="E186" s="1">
        <v>48611</v>
      </c>
      <c r="F186" s="2">
        <f t="shared" si="18"/>
        <v>0</v>
      </c>
      <c r="G186" s="2">
        <f t="shared" si="15"/>
        <v>0</v>
      </c>
      <c r="H186" s="2">
        <f t="shared" si="16"/>
        <v>0</v>
      </c>
      <c r="I186" s="16">
        <f t="shared" si="14"/>
        <v>0</v>
      </c>
      <c r="J186" s="2">
        <f t="shared" si="17"/>
        <v>0</v>
      </c>
      <c r="K186" s="2">
        <f t="shared" si="19"/>
        <v>0</v>
      </c>
    </row>
    <row r="187" spans="2:11">
      <c r="B187" s="20"/>
      <c r="C187" s="20"/>
      <c r="D187">
        <v>183</v>
      </c>
      <c r="E187" s="1">
        <v>48639</v>
      </c>
      <c r="F187" s="2">
        <f t="shared" si="18"/>
        <v>0</v>
      </c>
      <c r="G187" s="2">
        <f t="shared" si="15"/>
        <v>0</v>
      </c>
      <c r="H187" s="2">
        <f t="shared" si="16"/>
        <v>0</v>
      </c>
      <c r="I187" s="16">
        <f t="shared" si="14"/>
        <v>0</v>
      </c>
      <c r="J187" s="2">
        <f t="shared" si="17"/>
        <v>0</v>
      </c>
      <c r="K187" s="2">
        <f t="shared" si="19"/>
        <v>0</v>
      </c>
    </row>
    <row r="188" spans="2:11">
      <c r="B188" s="20"/>
      <c r="C188" s="20"/>
      <c r="D188">
        <v>184</v>
      </c>
      <c r="E188" s="1">
        <v>48670</v>
      </c>
      <c r="F188" s="2">
        <f t="shared" si="18"/>
        <v>0</v>
      </c>
      <c r="G188" s="2">
        <f t="shared" si="15"/>
        <v>0</v>
      </c>
      <c r="H188" s="2">
        <f t="shared" si="16"/>
        <v>0</v>
      </c>
      <c r="I188" s="16">
        <f t="shared" si="14"/>
        <v>0</v>
      </c>
      <c r="J188" s="2">
        <f t="shared" si="17"/>
        <v>0</v>
      </c>
      <c r="K188" s="2">
        <f t="shared" si="19"/>
        <v>0</v>
      </c>
    </row>
    <row r="189" spans="2:11">
      <c r="B189" s="20"/>
      <c r="C189" s="20"/>
      <c r="D189">
        <v>185</v>
      </c>
      <c r="E189" s="1">
        <v>48700</v>
      </c>
      <c r="F189" s="2">
        <f t="shared" si="18"/>
        <v>0</v>
      </c>
      <c r="G189" s="2">
        <f t="shared" si="15"/>
        <v>0</v>
      </c>
      <c r="H189" s="2">
        <f t="shared" si="16"/>
        <v>0</v>
      </c>
      <c r="I189" s="16">
        <f t="shared" si="14"/>
        <v>0</v>
      </c>
      <c r="J189" s="2">
        <f t="shared" si="17"/>
        <v>0</v>
      </c>
      <c r="K189" s="2">
        <f t="shared" si="19"/>
        <v>0</v>
      </c>
    </row>
    <row r="190" spans="2:11">
      <c r="B190" s="20"/>
      <c r="C190" s="20"/>
      <c r="D190">
        <v>186</v>
      </c>
      <c r="E190" s="1">
        <v>48731</v>
      </c>
      <c r="F190" s="2">
        <f t="shared" si="18"/>
        <v>0</v>
      </c>
      <c r="G190" s="2">
        <f t="shared" si="15"/>
        <v>0</v>
      </c>
      <c r="H190" s="2">
        <f t="shared" si="16"/>
        <v>0</v>
      </c>
      <c r="I190" s="16">
        <f t="shared" si="14"/>
        <v>0</v>
      </c>
      <c r="J190" s="2">
        <f t="shared" si="17"/>
        <v>0</v>
      </c>
      <c r="K190" s="2">
        <f t="shared" si="19"/>
        <v>0</v>
      </c>
    </row>
    <row r="191" spans="2:11">
      <c r="B191" s="20"/>
      <c r="C191" s="20"/>
      <c r="D191">
        <v>187</v>
      </c>
      <c r="E191" s="1">
        <v>48761</v>
      </c>
      <c r="F191" s="2">
        <f t="shared" si="18"/>
        <v>0</v>
      </c>
      <c r="G191" s="2">
        <f t="shared" si="15"/>
        <v>0</v>
      </c>
      <c r="H191" s="2">
        <f t="shared" si="16"/>
        <v>0</v>
      </c>
      <c r="I191" s="16">
        <f t="shared" si="14"/>
        <v>0</v>
      </c>
      <c r="J191" s="2">
        <f t="shared" si="17"/>
        <v>0</v>
      </c>
      <c r="K191" s="2">
        <f t="shared" si="19"/>
        <v>0</v>
      </c>
    </row>
    <row r="192" spans="2:11">
      <c r="B192" s="20"/>
      <c r="C192" s="20"/>
      <c r="D192">
        <v>188</v>
      </c>
      <c r="E192" s="1">
        <v>48792</v>
      </c>
      <c r="F192" s="2">
        <f t="shared" si="18"/>
        <v>0</v>
      </c>
      <c r="G192" s="2">
        <f t="shared" si="15"/>
        <v>0</v>
      </c>
      <c r="H192" s="2">
        <f t="shared" si="16"/>
        <v>0</v>
      </c>
      <c r="I192" s="16">
        <f t="shared" si="14"/>
        <v>0</v>
      </c>
      <c r="J192" s="2">
        <f t="shared" si="17"/>
        <v>0</v>
      </c>
      <c r="K192" s="2">
        <f t="shared" si="19"/>
        <v>0</v>
      </c>
    </row>
    <row r="193" spans="2:11">
      <c r="B193" s="20"/>
      <c r="C193" s="20"/>
      <c r="D193">
        <v>189</v>
      </c>
      <c r="E193" s="1">
        <v>48823</v>
      </c>
      <c r="F193" s="2">
        <f t="shared" si="18"/>
        <v>0</v>
      </c>
      <c r="G193" s="2">
        <f t="shared" si="15"/>
        <v>0</v>
      </c>
      <c r="H193" s="2">
        <f t="shared" si="16"/>
        <v>0</v>
      </c>
      <c r="I193" s="16">
        <f t="shared" si="14"/>
        <v>0</v>
      </c>
      <c r="J193" s="2">
        <f t="shared" si="17"/>
        <v>0</v>
      </c>
      <c r="K193" s="2">
        <f t="shared" si="19"/>
        <v>0</v>
      </c>
    </row>
    <row r="194" spans="2:11">
      <c r="B194" s="20"/>
      <c r="C194" s="20"/>
      <c r="D194">
        <v>190</v>
      </c>
      <c r="E194" s="1">
        <v>48853</v>
      </c>
      <c r="F194" s="2">
        <f t="shared" si="18"/>
        <v>0</v>
      </c>
      <c r="G194" s="2">
        <f t="shared" si="15"/>
        <v>0</v>
      </c>
      <c r="H194" s="2">
        <f t="shared" si="16"/>
        <v>0</v>
      </c>
      <c r="I194" s="16">
        <f t="shared" si="14"/>
        <v>0</v>
      </c>
      <c r="J194" s="2">
        <f t="shared" si="17"/>
        <v>0</v>
      </c>
      <c r="K194" s="2">
        <f t="shared" si="19"/>
        <v>0</v>
      </c>
    </row>
    <row r="195" spans="2:11">
      <c r="B195" s="20"/>
      <c r="C195" s="20"/>
      <c r="D195">
        <v>191</v>
      </c>
      <c r="E195" s="1">
        <v>48884</v>
      </c>
      <c r="F195" s="2">
        <f t="shared" si="18"/>
        <v>0</v>
      </c>
      <c r="G195" s="2">
        <f t="shared" si="15"/>
        <v>0</v>
      </c>
      <c r="H195" s="2">
        <f t="shared" si="16"/>
        <v>0</v>
      </c>
      <c r="I195" s="16">
        <f t="shared" si="14"/>
        <v>0</v>
      </c>
      <c r="J195" s="2">
        <f t="shared" si="17"/>
        <v>0</v>
      </c>
      <c r="K195" s="2">
        <f t="shared" si="19"/>
        <v>0</v>
      </c>
    </row>
    <row r="196" spans="2:11">
      <c r="B196" s="20"/>
      <c r="C196" s="20"/>
      <c r="D196">
        <v>192</v>
      </c>
      <c r="E196" s="1">
        <v>48914</v>
      </c>
      <c r="F196" s="2">
        <f t="shared" si="18"/>
        <v>0</v>
      </c>
      <c r="G196" s="2">
        <f t="shared" si="15"/>
        <v>0</v>
      </c>
      <c r="H196" s="2">
        <f t="shared" si="16"/>
        <v>0</v>
      </c>
      <c r="I196" s="16">
        <f t="shared" si="14"/>
        <v>0</v>
      </c>
      <c r="J196" s="2">
        <f t="shared" si="17"/>
        <v>0</v>
      </c>
      <c r="K196" s="2">
        <f t="shared" si="19"/>
        <v>0</v>
      </c>
    </row>
    <row r="197" spans="2:11">
      <c r="B197" s="20"/>
      <c r="C197" s="20"/>
      <c r="D197">
        <v>193</v>
      </c>
      <c r="E197" s="1">
        <v>48945</v>
      </c>
      <c r="F197" s="2">
        <f t="shared" si="18"/>
        <v>0</v>
      </c>
      <c r="G197" s="2">
        <f t="shared" si="15"/>
        <v>0</v>
      </c>
      <c r="H197" s="2">
        <f t="shared" si="16"/>
        <v>0</v>
      </c>
      <c r="I197" s="16">
        <f t="shared" ref="I197:I260" si="20">IF(AND(MOD(D197,12)=2, $B$2&gt;0,K197&gt;$B$2),$B$2,IF(K197=0,0,IF(D197&lt;=$B$3,$I$1,0)))</f>
        <v>0</v>
      </c>
      <c r="J197" s="2">
        <f t="shared" si="17"/>
        <v>0</v>
      </c>
      <c r="K197" s="2">
        <f t="shared" si="19"/>
        <v>0</v>
      </c>
    </row>
    <row r="198" spans="2:11">
      <c r="B198" s="20"/>
      <c r="C198" s="20"/>
      <c r="D198">
        <v>194</v>
      </c>
      <c r="E198" s="1">
        <v>48976</v>
      </c>
      <c r="F198" s="2">
        <f t="shared" si="18"/>
        <v>0</v>
      </c>
      <c r="G198" s="2">
        <f t="shared" si="15"/>
        <v>0</v>
      </c>
      <c r="H198" s="2">
        <f t="shared" si="16"/>
        <v>0</v>
      </c>
      <c r="I198" s="16">
        <f t="shared" si="20"/>
        <v>0</v>
      </c>
      <c r="J198" s="2">
        <f t="shared" si="17"/>
        <v>0</v>
      </c>
      <c r="K198" s="2">
        <f t="shared" si="19"/>
        <v>0</v>
      </c>
    </row>
    <row r="199" spans="2:11">
      <c r="B199" s="20"/>
      <c r="C199" s="20"/>
      <c r="D199">
        <v>195</v>
      </c>
      <c r="E199" s="1">
        <v>49004</v>
      </c>
      <c r="F199" s="2">
        <f t="shared" si="18"/>
        <v>0</v>
      </c>
      <c r="G199" s="2">
        <f t="shared" ref="G199:G262" si="21">+F199-H199</f>
        <v>0</v>
      </c>
      <c r="H199" s="2">
        <f t="shared" si="16"/>
        <v>0</v>
      </c>
      <c r="I199" s="16">
        <f t="shared" si="20"/>
        <v>0</v>
      </c>
      <c r="J199" s="2">
        <f t="shared" si="17"/>
        <v>0</v>
      </c>
      <c r="K199" s="2">
        <f t="shared" si="19"/>
        <v>0</v>
      </c>
    </row>
    <row r="200" spans="2:11">
      <c r="B200" s="20"/>
      <c r="C200" s="20"/>
      <c r="D200">
        <v>196</v>
      </c>
      <c r="E200" s="1">
        <v>49035</v>
      </c>
      <c r="F200" s="2">
        <f t="shared" si="18"/>
        <v>0</v>
      </c>
      <c r="G200" s="2">
        <f t="shared" si="21"/>
        <v>0</v>
      </c>
      <c r="H200" s="2">
        <f t="shared" ref="H200:H263" si="22">($G$2/12)*K200</f>
        <v>0</v>
      </c>
      <c r="I200" s="16">
        <f t="shared" si="20"/>
        <v>0</v>
      </c>
      <c r="J200" s="2">
        <f t="shared" ref="J200:J263" si="23">IF(K200=0,0,J199+H200)</f>
        <v>0</v>
      </c>
      <c r="K200" s="2">
        <f t="shared" si="19"/>
        <v>0</v>
      </c>
    </row>
    <row r="201" spans="2:11">
      <c r="B201" s="20"/>
      <c r="C201" s="20"/>
      <c r="D201">
        <v>197</v>
      </c>
      <c r="E201" s="1">
        <v>49065</v>
      </c>
      <c r="F201" s="2">
        <f t="shared" ref="F201:F264" si="24">IF( (K201+20)&lt;$F$5, H201+K201,I201+$G$1*($G$2/12)*(1+($G$2/12))^($G$3*12)/((1+($G$2/12))^($G$3*12)-1))</f>
        <v>0</v>
      </c>
      <c r="G201" s="2">
        <f t="shared" si="21"/>
        <v>0</v>
      </c>
      <c r="H201" s="2">
        <f t="shared" si="22"/>
        <v>0</v>
      </c>
      <c r="I201" s="16">
        <f t="shared" si="20"/>
        <v>0</v>
      </c>
      <c r="J201" s="2">
        <f t="shared" si="23"/>
        <v>0</v>
      </c>
      <c r="K201" s="2">
        <f t="shared" si="19"/>
        <v>0</v>
      </c>
    </row>
    <row r="202" spans="2:11">
      <c r="B202" s="20"/>
      <c r="C202" s="20"/>
      <c r="D202">
        <v>198</v>
      </c>
      <c r="E202" s="1">
        <v>49096</v>
      </c>
      <c r="F202" s="2">
        <f t="shared" si="24"/>
        <v>0</v>
      </c>
      <c r="G202" s="2">
        <f t="shared" si="21"/>
        <v>0</v>
      </c>
      <c r="H202" s="2">
        <f t="shared" si="22"/>
        <v>0</v>
      </c>
      <c r="I202" s="16">
        <f t="shared" si="20"/>
        <v>0</v>
      </c>
      <c r="J202" s="2">
        <f t="shared" si="23"/>
        <v>0</v>
      </c>
      <c r="K202" s="2">
        <f t="shared" ref="K202:K265" si="25">K201-G201</f>
        <v>0</v>
      </c>
    </row>
    <row r="203" spans="2:11">
      <c r="B203" s="20"/>
      <c r="C203" s="20"/>
      <c r="D203">
        <v>199</v>
      </c>
      <c r="E203" s="1">
        <v>49126</v>
      </c>
      <c r="F203" s="2">
        <f t="shared" si="24"/>
        <v>0</v>
      </c>
      <c r="G203" s="2">
        <f t="shared" si="21"/>
        <v>0</v>
      </c>
      <c r="H203" s="2">
        <f t="shared" si="22"/>
        <v>0</v>
      </c>
      <c r="I203" s="16">
        <f t="shared" si="20"/>
        <v>0</v>
      </c>
      <c r="J203" s="2">
        <f t="shared" si="23"/>
        <v>0</v>
      </c>
      <c r="K203" s="2">
        <f t="shared" si="25"/>
        <v>0</v>
      </c>
    </row>
    <row r="204" spans="2:11">
      <c r="B204" s="20"/>
      <c r="C204" s="20"/>
      <c r="D204">
        <v>200</v>
      </c>
      <c r="E204" s="1">
        <v>49157</v>
      </c>
      <c r="F204" s="2">
        <f t="shared" si="24"/>
        <v>0</v>
      </c>
      <c r="G204" s="2">
        <f t="shared" si="21"/>
        <v>0</v>
      </c>
      <c r="H204" s="2">
        <f t="shared" si="22"/>
        <v>0</v>
      </c>
      <c r="I204" s="16">
        <f t="shared" si="20"/>
        <v>0</v>
      </c>
      <c r="J204" s="2">
        <f t="shared" si="23"/>
        <v>0</v>
      </c>
      <c r="K204" s="2">
        <f t="shared" si="25"/>
        <v>0</v>
      </c>
    </row>
    <row r="205" spans="2:11">
      <c r="B205" s="20"/>
      <c r="C205" s="20"/>
      <c r="D205">
        <v>201</v>
      </c>
      <c r="E205" s="1">
        <v>49188</v>
      </c>
      <c r="F205" s="2">
        <f t="shared" si="24"/>
        <v>0</v>
      </c>
      <c r="G205" s="2">
        <f t="shared" si="21"/>
        <v>0</v>
      </c>
      <c r="H205" s="2">
        <f t="shared" si="22"/>
        <v>0</v>
      </c>
      <c r="I205" s="16">
        <f t="shared" si="20"/>
        <v>0</v>
      </c>
      <c r="J205" s="2">
        <f t="shared" si="23"/>
        <v>0</v>
      </c>
      <c r="K205" s="2">
        <f t="shared" si="25"/>
        <v>0</v>
      </c>
    </row>
    <row r="206" spans="2:11">
      <c r="B206" s="20"/>
      <c r="C206" s="20"/>
      <c r="D206">
        <v>202</v>
      </c>
      <c r="E206" s="1">
        <v>49218</v>
      </c>
      <c r="F206" s="2">
        <f t="shared" si="24"/>
        <v>0</v>
      </c>
      <c r="G206" s="2">
        <f t="shared" si="21"/>
        <v>0</v>
      </c>
      <c r="H206" s="2">
        <f t="shared" si="22"/>
        <v>0</v>
      </c>
      <c r="I206" s="16">
        <f t="shared" si="20"/>
        <v>0</v>
      </c>
      <c r="J206" s="2">
        <f t="shared" si="23"/>
        <v>0</v>
      </c>
      <c r="K206" s="2">
        <f t="shared" si="25"/>
        <v>0</v>
      </c>
    </row>
    <row r="207" spans="2:11">
      <c r="B207" s="20"/>
      <c r="C207" s="20"/>
      <c r="D207">
        <v>203</v>
      </c>
      <c r="E207" s="1">
        <v>49249</v>
      </c>
      <c r="F207" s="2">
        <f t="shared" si="24"/>
        <v>0</v>
      </c>
      <c r="G207" s="2">
        <f t="shared" si="21"/>
        <v>0</v>
      </c>
      <c r="H207" s="2">
        <f t="shared" si="22"/>
        <v>0</v>
      </c>
      <c r="I207" s="16">
        <f t="shared" si="20"/>
        <v>0</v>
      </c>
      <c r="J207" s="2">
        <f t="shared" si="23"/>
        <v>0</v>
      </c>
      <c r="K207" s="2">
        <f t="shared" si="25"/>
        <v>0</v>
      </c>
    </row>
    <row r="208" spans="2:11">
      <c r="B208" s="20"/>
      <c r="C208" s="20"/>
      <c r="D208">
        <v>204</v>
      </c>
      <c r="E208" s="1">
        <v>49279</v>
      </c>
      <c r="F208" s="2">
        <f t="shared" si="24"/>
        <v>0</v>
      </c>
      <c r="G208" s="2">
        <f t="shared" si="21"/>
        <v>0</v>
      </c>
      <c r="H208" s="2">
        <f t="shared" si="22"/>
        <v>0</v>
      </c>
      <c r="I208" s="16">
        <f t="shared" si="20"/>
        <v>0</v>
      </c>
      <c r="J208" s="2">
        <f t="shared" si="23"/>
        <v>0</v>
      </c>
      <c r="K208" s="2">
        <f t="shared" si="25"/>
        <v>0</v>
      </c>
    </row>
    <row r="209" spans="2:11">
      <c r="B209" s="18"/>
      <c r="C209" s="18"/>
      <c r="D209">
        <v>205</v>
      </c>
      <c r="E209" s="1">
        <v>49310</v>
      </c>
      <c r="F209" s="2">
        <f t="shared" si="24"/>
        <v>0</v>
      </c>
      <c r="G209" s="2">
        <f t="shared" si="21"/>
        <v>0</v>
      </c>
      <c r="H209" s="2">
        <f t="shared" si="22"/>
        <v>0</v>
      </c>
      <c r="I209" s="16">
        <f t="shared" si="20"/>
        <v>0</v>
      </c>
      <c r="J209" s="2">
        <f t="shared" si="23"/>
        <v>0</v>
      </c>
      <c r="K209" s="2">
        <f t="shared" si="25"/>
        <v>0</v>
      </c>
    </row>
    <row r="210" spans="2:11">
      <c r="B210" s="20"/>
      <c r="C210" s="20"/>
      <c r="D210">
        <v>206</v>
      </c>
      <c r="E210" s="1">
        <v>49341</v>
      </c>
      <c r="F210" s="2">
        <f t="shared" si="24"/>
        <v>0</v>
      </c>
      <c r="G210" s="2">
        <f t="shared" si="21"/>
        <v>0</v>
      </c>
      <c r="H210" s="2">
        <f t="shared" si="22"/>
        <v>0</v>
      </c>
      <c r="I210" s="16">
        <f t="shared" si="20"/>
        <v>0</v>
      </c>
      <c r="J210" s="2">
        <f t="shared" si="23"/>
        <v>0</v>
      </c>
      <c r="K210" s="2">
        <f t="shared" si="25"/>
        <v>0</v>
      </c>
    </row>
    <row r="211" spans="2:11">
      <c r="B211" s="18"/>
      <c r="C211" s="18"/>
      <c r="D211">
        <v>207</v>
      </c>
      <c r="E211" s="1">
        <v>49369</v>
      </c>
      <c r="F211" s="2">
        <f t="shared" si="24"/>
        <v>0</v>
      </c>
      <c r="G211" s="2">
        <f t="shared" si="21"/>
        <v>0</v>
      </c>
      <c r="H211" s="2">
        <f t="shared" si="22"/>
        <v>0</v>
      </c>
      <c r="I211" s="16">
        <f t="shared" si="20"/>
        <v>0</v>
      </c>
      <c r="J211" s="2">
        <f t="shared" si="23"/>
        <v>0</v>
      </c>
      <c r="K211" s="2">
        <f t="shared" si="25"/>
        <v>0</v>
      </c>
    </row>
    <row r="212" spans="2:11">
      <c r="B212" s="20"/>
      <c r="C212" s="20"/>
      <c r="D212">
        <v>208</v>
      </c>
      <c r="E212" s="1">
        <v>49400</v>
      </c>
      <c r="F212" s="2">
        <f t="shared" si="24"/>
        <v>0</v>
      </c>
      <c r="G212" s="2">
        <f t="shared" si="21"/>
        <v>0</v>
      </c>
      <c r="H212" s="2">
        <f t="shared" si="22"/>
        <v>0</v>
      </c>
      <c r="I212" s="16">
        <f t="shared" si="20"/>
        <v>0</v>
      </c>
      <c r="J212" s="2">
        <f t="shared" si="23"/>
        <v>0</v>
      </c>
      <c r="K212" s="2">
        <f t="shared" si="25"/>
        <v>0</v>
      </c>
    </row>
    <row r="213" spans="2:11">
      <c r="B213" s="18"/>
      <c r="C213" s="18"/>
      <c r="D213">
        <v>209</v>
      </c>
      <c r="E213" s="1">
        <v>49430</v>
      </c>
      <c r="F213" s="2">
        <f t="shared" si="24"/>
        <v>0</v>
      </c>
      <c r="G213" s="2">
        <f t="shared" si="21"/>
        <v>0</v>
      </c>
      <c r="H213" s="2">
        <f t="shared" si="22"/>
        <v>0</v>
      </c>
      <c r="I213" s="16">
        <f t="shared" si="20"/>
        <v>0</v>
      </c>
      <c r="J213" s="2">
        <f t="shared" si="23"/>
        <v>0</v>
      </c>
      <c r="K213" s="2">
        <f t="shared" si="25"/>
        <v>0</v>
      </c>
    </row>
    <row r="214" spans="2:11">
      <c r="B214" s="20"/>
      <c r="C214" s="20"/>
      <c r="D214">
        <v>210</v>
      </c>
      <c r="E214" s="1">
        <v>49461</v>
      </c>
      <c r="F214" s="2">
        <f t="shared" si="24"/>
        <v>0</v>
      </c>
      <c r="G214" s="2">
        <f t="shared" si="21"/>
        <v>0</v>
      </c>
      <c r="H214" s="2">
        <f t="shared" si="22"/>
        <v>0</v>
      </c>
      <c r="I214" s="16">
        <f t="shared" si="20"/>
        <v>0</v>
      </c>
      <c r="J214" s="2">
        <f t="shared" si="23"/>
        <v>0</v>
      </c>
      <c r="K214" s="2">
        <f t="shared" si="25"/>
        <v>0</v>
      </c>
    </row>
    <row r="215" spans="2:11">
      <c r="B215" s="18"/>
      <c r="C215" s="18"/>
      <c r="D215">
        <v>211</v>
      </c>
      <c r="E215" s="1">
        <v>49491</v>
      </c>
      <c r="F215" s="2">
        <f t="shared" si="24"/>
        <v>0</v>
      </c>
      <c r="G215" s="2">
        <f t="shared" si="21"/>
        <v>0</v>
      </c>
      <c r="H215" s="2">
        <f t="shared" si="22"/>
        <v>0</v>
      </c>
      <c r="I215" s="16">
        <f t="shared" si="20"/>
        <v>0</v>
      </c>
      <c r="J215" s="2">
        <f t="shared" si="23"/>
        <v>0</v>
      </c>
      <c r="K215" s="2">
        <f t="shared" si="25"/>
        <v>0</v>
      </c>
    </row>
    <row r="216" spans="2:11">
      <c r="B216" s="20"/>
      <c r="C216" s="20"/>
      <c r="D216">
        <v>212</v>
      </c>
      <c r="E216" s="1">
        <v>49522</v>
      </c>
      <c r="F216" s="2">
        <f t="shared" si="24"/>
        <v>0</v>
      </c>
      <c r="G216" s="2">
        <f t="shared" si="21"/>
        <v>0</v>
      </c>
      <c r="H216" s="2">
        <f t="shared" si="22"/>
        <v>0</v>
      </c>
      <c r="I216" s="16">
        <f t="shared" si="20"/>
        <v>0</v>
      </c>
      <c r="J216" s="2">
        <f t="shared" si="23"/>
        <v>0</v>
      </c>
      <c r="K216" s="2">
        <f t="shared" si="25"/>
        <v>0</v>
      </c>
    </row>
    <row r="217" spans="2:11">
      <c r="B217" s="18"/>
      <c r="C217" s="18"/>
      <c r="D217">
        <v>213</v>
      </c>
      <c r="E217" s="1">
        <v>49553</v>
      </c>
      <c r="F217" s="2">
        <f t="shared" si="24"/>
        <v>0</v>
      </c>
      <c r="G217" s="2">
        <f t="shared" si="21"/>
        <v>0</v>
      </c>
      <c r="H217" s="2">
        <f t="shared" si="22"/>
        <v>0</v>
      </c>
      <c r="I217" s="16">
        <f t="shared" si="20"/>
        <v>0</v>
      </c>
      <c r="J217" s="2">
        <f t="shared" si="23"/>
        <v>0</v>
      </c>
      <c r="K217" s="2">
        <f t="shared" si="25"/>
        <v>0</v>
      </c>
    </row>
    <row r="218" spans="2:11">
      <c r="B218" s="20"/>
      <c r="C218" s="20"/>
      <c r="D218">
        <v>214</v>
      </c>
      <c r="E218" s="1">
        <v>49583</v>
      </c>
      <c r="F218" s="2">
        <f t="shared" si="24"/>
        <v>0</v>
      </c>
      <c r="G218" s="2">
        <f t="shared" si="21"/>
        <v>0</v>
      </c>
      <c r="H218" s="2">
        <f t="shared" si="22"/>
        <v>0</v>
      </c>
      <c r="I218" s="16">
        <f t="shared" si="20"/>
        <v>0</v>
      </c>
      <c r="J218" s="2">
        <f t="shared" si="23"/>
        <v>0</v>
      </c>
      <c r="K218" s="2">
        <f t="shared" si="25"/>
        <v>0</v>
      </c>
    </row>
    <row r="219" spans="2:11">
      <c r="B219" s="18"/>
      <c r="C219" s="18"/>
      <c r="D219">
        <v>215</v>
      </c>
      <c r="E219" s="1">
        <v>49614</v>
      </c>
      <c r="F219" s="2">
        <f t="shared" si="24"/>
        <v>0</v>
      </c>
      <c r="G219" s="2">
        <f t="shared" si="21"/>
        <v>0</v>
      </c>
      <c r="H219" s="2">
        <f t="shared" si="22"/>
        <v>0</v>
      </c>
      <c r="I219" s="16">
        <f t="shared" si="20"/>
        <v>0</v>
      </c>
      <c r="J219" s="2">
        <f t="shared" si="23"/>
        <v>0</v>
      </c>
      <c r="K219" s="2">
        <f t="shared" si="25"/>
        <v>0</v>
      </c>
    </row>
    <row r="220" spans="2:11">
      <c r="B220" s="20"/>
      <c r="C220" s="20"/>
      <c r="D220">
        <v>216</v>
      </c>
      <c r="E220" s="1">
        <v>49644</v>
      </c>
      <c r="F220" s="2">
        <f t="shared" si="24"/>
        <v>0</v>
      </c>
      <c r="G220" s="2">
        <f t="shared" si="21"/>
        <v>0</v>
      </c>
      <c r="H220" s="2">
        <f t="shared" si="22"/>
        <v>0</v>
      </c>
      <c r="I220" s="16">
        <f t="shared" si="20"/>
        <v>0</v>
      </c>
      <c r="J220" s="2">
        <f t="shared" si="23"/>
        <v>0</v>
      </c>
      <c r="K220" s="2">
        <f t="shared" si="25"/>
        <v>0</v>
      </c>
    </row>
    <row r="221" spans="2:11">
      <c r="B221" s="18"/>
      <c r="C221" s="18"/>
      <c r="D221">
        <v>217</v>
      </c>
      <c r="E221" s="1">
        <v>49675</v>
      </c>
      <c r="F221" s="2">
        <f t="shared" si="24"/>
        <v>0</v>
      </c>
      <c r="G221" s="2">
        <f t="shared" si="21"/>
        <v>0</v>
      </c>
      <c r="H221" s="2">
        <f t="shared" si="22"/>
        <v>0</v>
      </c>
      <c r="I221" s="16">
        <f t="shared" si="20"/>
        <v>0</v>
      </c>
      <c r="J221" s="2">
        <f t="shared" si="23"/>
        <v>0</v>
      </c>
      <c r="K221" s="2">
        <f t="shared" si="25"/>
        <v>0</v>
      </c>
    </row>
    <row r="222" spans="2:11">
      <c r="B222" s="20"/>
      <c r="C222" s="20"/>
      <c r="D222">
        <v>218</v>
      </c>
      <c r="E222" s="1">
        <v>49706</v>
      </c>
      <c r="F222" s="2">
        <f t="shared" si="24"/>
        <v>0</v>
      </c>
      <c r="G222" s="2">
        <f t="shared" si="21"/>
        <v>0</v>
      </c>
      <c r="H222" s="2">
        <f t="shared" si="22"/>
        <v>0</v>
      </c>
      <c r="I222" s="16">
        <f t="shared" si="20"/>
        <v>0</v>
      </c>
      <c r="J222" s="2">
        <f t="shared" si="23"/>
        <v>0</v>
      </c>
      <c r="K222" s="2">
        <f t="shared" si="25"/>
        <v>0</v>
      </c>
    </row>
    <row r="223" spans="2:11">
      <c r="B223" s="18"/>
      <c r="C223" s="18"/>
      <c r="D223">
        <v>219</v>
      </c>
      <c r="E223" s="1">
        <v>49735</v>
      </c>
      <c r="F223" s="2">
        <f t="shared" si="24"/>
        <v>0</v>
      </c>
      <c r="G223" s="2">
        <f t="shared" si="21"/>
        <v>0</v>
      </c>
      <c r="H223" s="2">
        <f t="shared" si="22"/>
        <v>0</v>
      </c>
      <c r="I223" s="16">
        <f t="shared" si="20"/>
        <v>0</v>
      </c>
      <c r="J223" s="2">
        <f t="shared" si="23"/>
        <v>0</v>
      </c>
      <c r="K223" s="2">
        <f t="shared" si="25"/>
        <v>0</v>
      </c>
    </row>
    <row r="224" spans="2:11">
      <c r="B224" s="20"/>
      <c r="C224" s="20"/>
      <c r="D224">
        <v>220</v>
      </c>
      <c r="E224" s="1">
        <v>49766</v>
      </c>
      <c r="F224" s="2">
        <f t="shared" si="24"/>
        <v>0</v>
      </c>
      <c r="G224" s="2">
        <f t="shared" si="21"/>
        <v>0</v>
      </c>
      <c r="H224" s="2">
        <f t="shared" si="22"/>
        <v>0</v>
      </c>
      <c r="I224" s="16">
        <f t="shared" si="20"/>
        <v>0</v>
      </c>
      <c r="J224" s="2">
        <f t="shared" si="23"/>
        <v>0</v>
      </c>
      <c r="K224" s="2">
        <f t="shared" si="25"/>
        <v>0</v>
      </c>
    </row>
    <row r="225" spans="2:11">
      <c r="B225" s="18"/>
      <c r="C225" s="18"/>
      <c r="D225">
        <v>221</v>
      </c>
      <c r="E225" s="1">
        <v>49796</v>
      </c>
      <c r="F225" s="2">
        <f t="shared" si="24"/>
        <v>0</v>
      </c>
      <c r="G225" s="2">
        <f t="shared" si="21"/>
        <v>0</v>
      </c>
      <c r="H225" s="2">
        <f t="shared" si="22"/>
        <v>0</v>
      </c>
      <c r="I225" s="16">
        <f t="shared" si="20"/>
        <v>0</v>
      </c>
      <c r="J225" s="2">
        <f t="shared" si="23"/>
        <v>0</v>
      </c>
      <c r="K225" s="2">
        <f t="shared" si="25"/>
        <v>0</v>
      </c>
    </row>
    <row r="226" spans="2:11">
      <c r="B226" s="20"/>
      <c r="C226" s="20"/>
      <c r="D226">
        <v>222</v>
      </c>
      <c r="E226" s="1">
        <v>49827</v>
      </c>
      <c r="F226" s="2">
        <f t="shared" si="24"/>
        <v>0</v>
      </c>
      <c r="G226" s="2">
        <f t="shared" si="21"/>
        <v>0</v>
      </c>
      <c r="H226" s="2">
        <f t="shared" si="22"/>
        <v>0</v>
      </c>
      <c r="I226" s="16">
        <f t="shared" si="20"/>
        <v>0</v>
      </c>
      <c r="J226" s="2">
        <f t="shared" si="23"/>
        <v>0</v>
      </c>
      <c r="K226" s="2">
        <f t="shared" si="25"/>
        <v>0</v>
      </c>
    </row>
    <row r="227" spans="2:11">
      <c r="B227" s="18"/>
      <c r="C227" s="18"/>
      <c r="D227">
        <v>223</v>
      </c>
      <c r="E227" s="1">
        <v>49857</v>
      </c>
      <c r="F227" s="2">
        <f t="shared" si="24"/>
        <v>0</v>
      </c>
      <c r="G227" s="2">
        <f t="shared" si="21"/>
        <v>0</v>
      </c>
      <c r="H227" s="2">
        <f t="shared" si="22"/>
        <v>0</v>
      </c>
      <c r="I227" s="16">
        <f t="shared" si="20"/>
        <v>0</v>
      </c>
      <c r="J227" s="2">
        <f t="shared" si="23"/>
        <v>0</v>
      </c>
      <c r="K227" s="2">
        <f t="shared" si="25"/>
        <v>0</v>
      </c>
    </row>
    <row r="228" spans="2:11">
      <c r="B228" s="20"/>
      <c r="C228" s="20"/>
      <c r="D228">
        <v>224</v>
      </c>
      <c r="E228" s="1">
        <v>49888</v>
      </c>
      <c r="F228" s="2">
        <f t="shared" si="24"/>
        <v>0</v>
      </c>
      <c r="G228" s="2">
        <f t="shared" si="21"/>
        <v>0</v>
      </c>
      <c r="H228" s="2">
        <f t="shared" si="22"/>
        <v>0</v>
      </c>
      <c r="I228" s="16">
        <f t="shared" si="20"/>
        <v>0</v>
      </c>
      <c r="J228" s="2">
        <f t="shared" si="23"/>
        <v>0</v>
      </c>
      <c r="K228" s="2">
        <f t="shared" si="25"/>
        <v>0</v>
      </c>
    </row>
    <row r="229" spans="2:11">
      <c r="B229" s="18"/>
      <c r="C229" s="18"/>
      <c r="D229">
        <v>225</v>
      </c>
      <c r="E229" s="1">
        <v>49919</v>
      </c>
      <c r="F229" s="2">
        <f t="shared" si="24"/>
        <v>0</v>
      </c>
      <c r="G229" s="2">
        <f t="shared" si="21"/>
        <v>0</v>
      </c>
      <c r="H229" s="2">
        <f t="shared" si="22"/>
        <v>0</v>
      </c>
      <c r="I229" s="16">
        <f t="shared" si="20"/>
        <v>0</v>
      </c>
      <c r="J229" s="2">
        <f t="shared" si="23"/>
        <v>0</v>
      </c>
      <c r="K229" s="2">
        <f t="shared" si="25"/>
        <v>0</v>
      </c>
    </row>
    <row r="230" spans="2:11">
      <c r="B230" s="20"/>
      <c r="C230" s="20"/>
      <c r="D230">
        <v>226</v>
      </c>
      <c r="E230" s="1">
        <v>49949</v>
      </c>
      <c r="F230" s="2">
        <f t="shared" si="24"/>
        <v>0</v>
      </c>
      <c r="G230" s="2">
        <f t="shared" si="21"/>
        <v>0</v>
      </c>
      <c r="H230" s="2">
        <f t="shared" si="22"/>
        <v>0</v>
      </c>
      <c r="I230" s="16">
        <f t="shared" si="20"/>
        <v>0</v>
      </c>
      <c r="J230" s="2">
        <f t="shared" si="23"/>
        <v>0</v>
      </c>
      <c r="K230" s="2">
        <f t="shared" si="25"/>
        <v>0</v>
      </c>
    </row>
    <row r="231" spans="2:11">
      <c r="B231" s="18"/>
      <c r="C231" s="18"/>
      <c r="D231">
        <v>227</v>
      </c>
      <c r="E231" s="1">
        <v>49980</v>
      </c>
      <c r="F231" s="2">
        <f t="shared" si="24"/>
        <v>0</v>
      </c>
      <c r="G231" s="2">
        <f t="shared" si="21"/>
        <v>0</v>
      </c>
      <c r="H231" s="2">
        <f t="shared" si="22"/>
        <v>0</v>
      </c>
      <c r="I231" s="16">
        <f t="shared" si="20"/>
        <v>0</v>
      </c>
      <c r="J231" s="2">
        <f t="shared" si="23"/>
        <v>0</v>
      </c>
      <c r="K231" s="2">
        <f t="shared" si="25"/>
        <v>0</v>
      </c>
    </row>
    <row r="232" spans="2:11">
      <c r="B232" s="20"/>
      <c r="C232" s="20"/>
      <c r="D232">
        <v>228</v>
      </c>
      <c r="E232" s="1">
        <v>50010</v>
      </c>
      <c r="F232" s="2">
        <f t="shared" si="24"/>
        <v>0</v>
      </c>
      <c r="G232" s="2">
        <f t="shared" si="21"/>
        <v>0</v>
      </c>
      <c r="H232" s="2">
        <f t="shared" si="22"/>
        <v>0</v>
      </c>
      <c r="I232" s="16">
        <f t="shared" si="20"/>
        <v>0</v>
      </c>
      <c r="J232" s="2">
        <f t="shared" si="23"/>
        <v>0</v>
      </c>
      <c r="K232" s="2">
        <f t="shared" si="25"/>
        <v>0</v>
      </c>
    </row>
    <row r="233" spans="2:11">
      <c r="B233" s="18"/>
      <c r="C233" s="18"/>
      <c r="D233">
        <v>229</v>
      </c>
      <c r="E233" s="1">
        <v>50041</v>
      </c>
      <c r="F233" s="2">
        <f t="shared" si="24"/>
        <v>0</v>
      </c>
      <c r="G233" s="2">
        <f t="shared" si="21"/>
        <v>0</v>
      </c>
      <c r="H233" s="2">
        <f t="shared" si="22"/>
        <v>0</v>
      </c>
      <c r="I233" s="16">
        <f t="shared" si="20"/>
        <v>0</v>
      </c>
      <c r="J233" s="2">
        <f t="shared" si="23"/>
        <v>0</v>
      </c>
      <c r="K233" s="2">
        <f t="shared" si="25"/>
        <v>0</v>
      </c>
    </row>
    <row r="234" spans="2:11">
      <c r="B234" s="20"/>
      <c r="C234" s="20"/>
      <c r="D234">
        <v>230</v>
      </c>
      <c r="E234" s="1">
        <v>50072</v>
      </c>
      <c r="F234" s="2">
        <f t="shared" si="24"/>
        <v>0</v>
      </c>
      <c r="G234" s="2">
        <f t="shared" si="21"/>
        <v>0</v>
      </c>
      <c r="H234" s="2">
        <f t="shared" si="22"/>
        <v>0</v>
      </c>
      <c r="I234" s="16">
        <f t="shared" si="20"/>
        <v>0</v>
      </c>
      <c r="J234" s="2">
        <f t="shared" si="23"/>
        <v>0</v>
      </c>
      <c r="K234" s="2">
        <f t="shared" si="25"/>
        <v>0</v>
      </c>
    </row>
    <row r="235" spans="2:11">
      <c r="B235" s="18"/>
      <c r="C235" s="18"/>
      <c r="D235">
        <v>231</v>
      </c>
      <c r="E235" s="1">
        <v>50100</v>
      </c>
      <c r="F235" s="2">
        <f t="shared" si="24"/>
        <v>0</v>
      </c>
      <c r="G235" s="2">
        <f t="shared" si="21"/>
        <v>0</v>
      </c>
      <c r="H235" s="2">
        <f t="shared" si="22"/>
        <v>0</v>
      </c>
      <c r="I235" s="16">
        <f t="shared" si="20"/>
        <v>0</v>
      </c>
      <c r="J235" s="2">
        <f t="shared" si="23"/>
        <v>0</v>
      </c>
      <c r="K235" s="2">
        <f t="shared" si="25"/>
        <v>0</v>
      </c>
    </row>
    <row r="236" spans="2:11">
      <c r="B236" s="20"/>
      <c r="C236" s="20"/>
      <c r="D236">
        <v>232</v>
      </c>
      <c r="E236" s="1">
        <v>50131</v>
      </c>
      <c r="F236" s="2">
        <f t="shared" si="24"/>
        <v>0</v>
      </c>
      <c r="G236" s="2">
        <f t="shared" si="21"/>
        <v>0</v>
      </c>
      <c r="H236" s="2">
        <f t="shared" si="22"/>
        <v>0</v>
      </c>
      <c r="I236" s="16">
        <f t="shared" si="20"/>
        <v>0</v>
      </c>
      <c r="J236" s="2">
        <f t="shared" si="23"/>
        <v>0</v>
      </c>
      <c r="K236" s="2">
        <f t="shared" si="25"/>
        <v>0</v>
      </c>
    </row>
    <row r="237" spans="2:11">
      <c r="B237" s="18"/>
      <c r="C237" s="18"/>
      <c r="D237">
        <v>233</v>
      </c>
      <c r="E237" s="1">
        <v>50161</v>
      </c>
      <c r="F237" s="2">
        <f t="shared" si="24"/>
        <v>0</v>
      </c>
      <c r="G237" s="2">
        <f t="shared" si="21"/>
        <v>0</v>
      </c>
      <c r="H237" s="2">
        <f t="shared" si="22"/>
        <v>0</v>
      </c>
      <c r="I237" s="16">
        <f t="shared" si="20"/>
        <v>0</v>
      </c>
      <c r="J237" s="2">
        <f t="shared" si="23"/>
        <v>0</v>
      </c>
      <c r="K237" s="2">
        <f t="shared" si="25"/>
        <v>0</v>
      </c>
    </row>
    <row r="238" spans="2:11">
      <c r="B238" s="20"/>
      <c r="C238" s="20"/>
      <c r="D238">
        <v>234</v>
      </c>
      <c r="E238" s="1">
        <v>50192</v>
      </c>
      <c r="F238" s="2">
        <f t="shared" si="24"/>
        <v>0</v>
      </c>
      <c r="G238" s="2">
        <f t="shared" si="21"/>
        <v>0</v>
      </c>
      <c r="H238" s="2">
        <f t="shared" si="22"/>
        <v>0</v>
      </c>
      <c r="I238" s="16">
        <f t="shared" si="20"/>
        <v>0</v>
      </c>
      <c r="J238" s="2">
        <f t="shared" si="23"/>
        <v>0</v>
      </c>
      <c r="K238" s="2">
        <f t="shared" si="25"/>
        <v>0</v>
      </c>
    </row>
    <row r="239" spans="2:11">
      <c r="B239" s="18"/>
      <c r="C239" s="18"/>
      <c r="D239">
        <v>235</v>
      </c>
      <c r="E239" s="1">
        <v>50222</v>
      </c>
      <c r="F239" s="2">
        <f t="shared" si="24"/>
        <v>0</v>
      </c>
      <c r="G239" s="2">
        <f t="shared" si="21"/>
        <v>0</v>
      </c>
      <c r="H239" s="2">
        <f t="shared" si="22"/>
        <v>0</v>
      </c>
      <c r="I239" s="16">
        <f t="shared" si="20"/>
        <v>0</v>
      </c>
      <c r="J239" s="2">
        <f t="shared" si="23"/>
        <v>0</v>
      </c>
      <c r="K239" s="2">
        <f t="shared" si="25"/>
        <v>0</v>
      </c>
    </row>
    <row r="240" spans="2:11">
      <c r="B240" s="20"/>
      <c r="C240" s="20"/>
      <c r="D240">
        <v>236</v>
      </c>
      <c r="E240" s="1">
        <v>50253</v>
      </c>
      <c r="F240" s="2">
        <f t="shared" si="24"/>
        <v>0</v>
      </c>
      <c r="G240" s="2">
        <f t="shared" si="21"/>
        <v>0</v>
      </c>
      <c r="H240" s="2">
        <f t="shared" si="22"/>
        <v>0</v>
      </c>
      <c r="I240" s="16">
        <f t="shared" si="20"/>
        <v>0</v>
      </c>
      <c r="J240" s="2">
        <f t="shared" si="23"/>
        <v>0</v>
      </c>
      <c r="K240" s="2">
        <f t="shared" si="25"/>
        <v>0</v>
      </c>
    </row>
    <row r="241" spans="2:11">
      <c r="B241" s="18"/>
      <c r="C241" s="18"/>
      <c r="D241">
        <v>237</v>
      </c>
      <c r="E241" s="1">
        <v>50284</v>
      </c>
      <c r="F241" s="2">
        <f t="shared" si="24"/>
        <v>0</v>
      </c>
      <c r="G241" s="2">
        <f t="shared" si="21"/>
        <v>0</v>
      </c>
      <c r="H241" s="2">
        <f t="shared" si="22"/>
        <v>0</v>
      </c>
      <c r="I241" s="16">
        <f t="shared" si="20"/>
        <v>0</v>
      </c>
      <c r="J241" s="2">
        <f t="shared" si="23"/>
        <v>0</v>
      </c>
      <c r="K241" s="2">
        <f t="shared" si="25"/>
        <v>0</v>
      </c>
    </row>
    <row r="242" spans="2:11">
      <c r="B242" s="20"/>
      <c r="C242" s="20"/>
      <c r="D242">
        <v>238</v>
      </c>
      <c r="E242" s="1">
        <v>50314</v>
      </c>
      <c r="F242" s="2">
        <f t="shared" si="24"/>
        <v>0</v>
      </c>
      <c r="G242" s="2">
        <f t="shared" si="21"/>
        <v>0</v>
      </c>
      <c r="H242" s="2">
        <f t="shared" si="22"/>
        <v>0</v>
      </c>
      <c r="I242" s="16">
        <f t="shared" si="20"/>
        <v>0</v>
      </c>
      <c r="J242" s="2">
        <f t="shared" si="23"/>
        <v>0</v>
      </c>
      <c r="K242" s="2">
        <f t="shared" si="25"/>
        <v>0</v>
      </c>
    </row>
    <row r="243" spans="2:11">
      <c r="B243" s="18"/>
      <c r="C243" s="18"/>
      <c r="D243">
        <v>239</v>
      </c>
      <c r="E243" s="1">
        <v>50345</v>
      </c>
      <c r="F243" s="2">
        <f t="shared" si="24"/>
        <v>0</v>
      </c>
      <c r="G243" s="2">
        <f t="shared" si="21"/>
        <v>0</v>
      </c>
      <c r="H243" s="2">
        <f t="shared" si="22"/>
        <v>0</v>
      </c>
      <c r="I243" s="16">
        <f t="shared" si="20"/>
        <v>0</v>
      </c>
      <c r="J243" s="2">
        <f t="shared" si="23"/>
        <v>0</v>
      </c>
      <c r="K243" s="2">
        <f t="shared" si="25"/>
        <v>0</v>
      </c>
    </row>
    <row r="244" spans="2:11">
      <c r="B244" s="20"/>
      <c r="C244" s="20"/>
      <c r="D244">
        <v>240</v>
      </c>
      <c r="E244" s="1">
        <v>50375</v>
      </c>
      <c r="F244" s="2">
        <f t="shared" si="24"/>
        <v>0</v>
      </c>
      <c r="G244" s="2">
        <f t="shared" si="21"/>
        <v>0</v>
      </c>
      <c r="H244" s="2">
        <f t="shared" si="22"/>
        <v>0</v>
      </c>
      <c r="I244" s="16">
        <f t="shared" si="20"/>
        <v>0</v>
      </c>
      <c r="J244" s="2">
        <f t="shared" si="23"/>
        <v>0</v>
      </c>
      <c r="K244" s="2">
        <f t="shared" si="25"/>
        <v>0</v>
      </c>
    </row>
    <row r="245" spans="2:11">
      <c r="B245" s="18"/>
      <c r="C245" s="18"/>
      <c r="D245">
        <v>241</v>
      </c>
      <c r="E245" s="1">
        <v>50406</v>
      </c>
      <c r="F245" s="2">
        <f t="shared" si="24"/>
        <v>0</v>
      </c>
      <c r="G245" s="2">
        <f t="shared" si="21"/>
        <v>0</v>
      </c>
      <c r="H245" s="2">
        <f t="shared" si="22"/>
        <v>0</v>
      </c>
      <c r="I245" s="16">
        <f t="shared" si="20"/>
        <v>0</v>
      </c>
      <c r="J245" s="2">
        <f t="shared" si="23"/>
        <v>0</v>
      </c>
      <c r="K245" s="2">
        <f t="shared" si="25"/>
        <v>0</v>
      </c>
    </row>
    <row r="246" spans="2:11">
      <c r="B246" s="20"/>
      <c r="C246" s="20"/>
      <c r="D246">
        <v>242</v>
      </c>
      <c r="E246" s="1">
        <v>50437</v>
      </c>
      <c r="F246" s="2">
        <f t="shared" si="24"/>
        <v>0</v>
      </c>
      <c r="G246" s="2">
        <f t="shared" si="21"/>
        <v>0</v>
      </c>
      <c r="H246" s="2">
        <f t="shared" si="22"/>
        <v>0</v>
      </c>
      <c r="I246" s="16">
        <f t="shared" si="20"/>
        <v>0</v>
      </c>
      <c r="J246" s="2">
        <f t="shared" si="23"/>
        <v>0</v>
      </c>
      <c r="K246" s="2">
        <f t="shared" si="25"/>
        <v>0</v>
      </c>
    </row>
    <row r="247" spans="2:11">
      <c r="B247" s="18"/>
      <c r="C247" s="18"/>
      <c r="D247">
        <v>243</v>
      </c>
      <c r="E247" s="1">
        <v>50465</v>
      </c>
      <c r="F247" s="2">
        <f t="shared" si="24"/>
        <v>0</v>
      </c>
      <c r="G247" s="2">
        <f t="shared" si="21"/>
        <v>0</v>
      </c>
      <c r="H247" s="2">
        <f t="shared" si="22"/>
        <v>0</v>
      </c>
      <c r="I247" s="16">
        <f t="shared" si="20"/>
        <v>0</v>
      </c>
      <c r="J247" s="2">
        <f t="shared" si="23"/>
        <v>0</v>
      </c>
      <c r="K247" s="2">
        <f t="shared" si="25"/>
        <v>0</v>
      </c>
    </row>
    <row r="248" spans="2:11">
      <c r="B248" s="20"/>
      <c r="C248" s="20"/>
      <c r="D248">
        <v>244</v>
      </c>
      <c r="E248" s="1">
        <v>50496</v>
      </c>
      <c r="F248" s="2">
        <f t="shared" si="24"/>
        <v>0</v>
      </c>
      <c r="G248" s="2">
        <f t="shared" si="21"/>
        <v>0</v>
      </c>
      <c r="H248" s="2">
        <f t="shared" si="22"/>
        <v>0</v>
      </c>
      <c r="I248" s="16">
        <f t="shared" si="20"/>
        <v>0</v>
      </c>
      <c r="J248" s="2">
        <f t="shared" si="23"/>
        <v>0</v>
      </c>
      <c r="K248" s="2">
        <f t="shared" si="25"/>
        <v>0</v>
      </c>
    </row>
    <row r="249" spans="2:11">
      <c r="B249" s="18"/>
      <c r="C249" s="18"/>
      <c r="D249">
        <v>245</v>
      </c>
      <c r="E249" s="1">
        <v>50526</v>
      </c>
      <c r="F249" s="2">
        <f t="shared" si="24"/>
        <v>0</v>
      </c>
      <c r="G249" s="2">
        <f t="shared" si="21"/>
        <v>0</v>
      </c>
      <c r="H249" s="2">
        <f t="shared" si="22"/>
        <v>0</v>
      </c>
      <c r="I249" s="16">
        <f t="shared" si="20"/>
        <v>0</v>
      </c>
      <c r="J249" s="2">
        <f t="shared" si="23"/>
        <v>0</v>
      </c>
      <c r="K249" s="2">
        <f t="shared" si="25"/>
        <v>0</v>
      </c>
    </row>
    <row r="250" spans="2:11">
      <c r="B250" s="20"/>
      <c r="C250" s="20"/>
      <c r="D250">
        <v>246</v>
      </c>
      <c r="E250" s="1">
        <v>50557</v>
      </c>
      <c r="F250" s="2">
        <f t="shared" si="24"/>
        <v>0</v>
      </c>
      <c r="G250" s="2">
        <f t="shared" si="21"/>
        <v>0</v>
      </c>
      <c r="H250" s="2">
        <f t="shared" si="22"/>
        <v>0</v>
      </c>
      <c r="I250" s="16">
        <f t="shared" si="20"/>
        <v>0</v>
      </c>
      <c r="J250" s="2">
        <f t="shared" si="23"/>
        <v>0</v>
      </c>
      <c r="K250" s="2">
        <f t="shared" si="25"/>
        <v>0</v>
      </c>
    </row>
    <row r="251" spans="2:11">
      <c r="B251" s="18"/>
      <c r="C251" s="18"/>
      <c r="D251">
        <v>247</v>
      </c>
      <c r="E251" s="1">
        <v>50587</v>
      </c>
      <c r="F251" s="2">
        <f t="shared" si="24"/>
        <v>0</v>
      </c>
      <c r="G251" s="2">
        <f t="shared" si="21"/>
        <v>0</v>
      </c>
      <c r="H251" s="2">
        <f t="shared" si="22"/>
        <v>0</v>
      </c>
      <c r="I251" s="16">
        <f t="shared" si="20"/>
        <v>0</v>
      </c>
      <c r="J251" s="2">
        <f t="shared" si="23"/>
        <v>0</v>
      </c>
      <c r="K251" s="2">
        <f t="shared" si="25"/>
        <v>0</v>
      </c>
    </row>
    <row r="252" spans="2:11">
      <c r="B252" s="20"/>
      <c r="C252" s="20"/>
      <c r="D252">
        <v>248</v>
      </c>
      <c r="E252" s="1">
        <v>50618</v>
      </c>
      <c r="F252" s="2">
        <f t="shared" si="24"/>
        <v>0</v>
      </c>
      <c r="G252" s="2">
        <f t="shared" si="21"/>
        <v>0</v>
      </c>
      <c r="H252" s="2">
        <f t="shared" si="22"/>
        <v>0</v>
      </c>
      <c r="I252" s="16">
        <f t="shared" si="20"/>
        <v>0</v>
      </c>
      <c r="J252" s="2">
        <f t="shared" si="23"/>
        <v>0</v>
      </c>
      <c r="K252" s="2">
        <f t="shared" si="25"/>
        <v>0</v>
      </c>
    </row>
    <row r="253" spans="2:11">
      <c r="B253" s="18"/>
      <c r="C253" s="18"/>
      <c r="D253">
        <v>249</v>
      </c>
      <c r="E253" s="1">
        <v>50649</v>
      </c>
      <c r="F253" s="2">
        <f t="shared" si="24"/>
        <v>0</v>
      </c>
      <c r="G253" s="2">
        <f t="shared" si="21"/>
        <v>0</v>
      </c>
      <c r="H253" s="2">
        <f t="shared" si="22"/>
        <v>0</v>
      </c>
      <c r="I253" s="16">
        <f t="shared" si="20"/>
        <v>0</v>
      </c>
      <c r="J253" s="2">
        <f t="shared" si="23"/>
        <v>0</v>
      </c>
      <c r="K253" s="2">
        <f t="shared" si="25"/>
        <v>0</v>
      </c>
    </row>
    <row r="254" spans="2:11">
      <c r="B254" s="20"/>
      <c r="C254" s="20"/>
      <c r="D254">
        <v>250</v>
      </c>
      <c r="E254" s="1">
        <v>50679</v>
      </c>
      <c r="F254" s="2">
        <f t="shared" si="24"/>
        <v>0</v>
      </c>
      <c r="G254" s="2">
        <f t="shared" si="21"/>
        <v>0</v>
      </c>
      <c r="H254" s="2">
        <f t="shared" si="22"/>
        <v>0</v>
      </c>
      <c r="I254" s="16">
        <f t="shared" si="20"/>
        <v>0</v>
      </c>
      <c r="J254" s="2">
        <f t="shared" si="23"/>
        <v>0</v>
      </c>
      <c r="K254" s="2">
        <f t="shared" si="25"/>
        <v>0</v>
      </c>
    </row>
    <row r="255" spans="2:11">
      <c r="B255" s="18"/>
      <c r="C255" s="18"/>
      <c r="D255">
        <v>251</v>
      </c>
      <c r="E255" s="1">
        <v>50710</v>
      </c>
      <c r="F255" s="2">
        <f t="shared" si="24"/>
        <v>0</v>
      </c>
      <c r="G255" s="2">
        <f t="shared" si="21"/>
        <v>0</v>
      </c>
      <c r="H255" s="2">
        <f t="shared" si="22"/>
        <v>0</v>
      </c>
      <c r="I255" s="16">
        <f t="shared" si="20"/>
        <v>0</v>
      </c>
      <c r="J255" s="2">
        <f t="shared" si="23"/>
        <v>0</v>
      </c>
      <c r="K255" s="2">
        <f t="shared" si="25"/>
        <v>0</v>
      </c>
    </row>
    <row r="256" spans="2:11">
      <c r="B256" s="20"/>
      <c r="C256" s="20"/>
      <c r="D256">
        <v>252</v>
      </c>
      <c r="E256" s="1">
        <v>50740</v>
      </c>
      <c r="F256" s="2">
        <f t="shared" si="24"/>
        <v>0</v>
      </c>
      <c r="G256" s="2">
        <f t="shared" si="21"/>
        <v>0</v>
      </c>
      <c r="H256" s="2">
        <f t="shared" si="22"/>
        <v>0</v>
      </c>
      <c r="I256" s="16">
        <f t="shared" si="20"/>
        <v>0</v>
      </c>
      <c r="J256" s="2">
        <f t="shared" si="23"/>
        <v>0</v>
      </c>
      <c r="K256" s="2">
        <f t="shared" si="25"/>
        <v>0</v>
      </c>
    </row>
    <row r="257" spans="2:11">
      <c r="B257" s="18"/>
      <c r="C257" s="18"/>
      <c r="D257">
        <v>253</v>
      </c>
      <c r="E257" s="1">
        <v>50771</v>
      </c>
      <c r="F257" s="2">
        <f t="shared" si="24"/>
        <v>0</v>
      </c>
      <c r="G257" s="2">
        <f t="shared" si="21"/>
        <v>0</v>
      </c>
      <c r="H257" s="2">
        <f t="shared" si="22"/>
        <v>0</v>
      </c>
      <c r="I257" s="16">
        <f t="shared" si="20"/>
        <v>0</v>
      </c>
      <c r="J257" s="2">
        <f t="shared" si="23"/>
        <v>0</v>
      </c>
      <c r="K257" s="2">
        <f t="shared" si="25"/>
        <v>0</v>
      </c>
    </row>
    <row r="258" spans="2:11">
      <c r="B258" s="20"/>
      <c r="C258" s="20"/>
      <c r="D258">
        <v>254</v>
      </c>
      <c r="E258" s="1">
        <v>50802</v>
      </c>
      <c r="F258" s="2">
        <f t="shared" si="24"/>
        <v>0</v>
      </c>
      <c r="G258" s="2">
        <f t="shared" si="21"/>
        <v>0</v>
      </c>
      <c r="H258" s="2">
        <f t="shared" si="22"/>
        <v>0</v>
      </c>
      <c r="I258" s="16">
        <f t="shared" si="20"/>
        <v>0</v>
      </c>
      <c r="J258" s="2">
        <f t="shared" si="23"/>
        <v>0</v>
      </c>
      <c r="K258" s="2">
        <f t="shared" si="25"/>
        <v>0</v>
      </c>
    </row>
    <row r="259" spans="2:11">
      <c r="B259" s="18"/>
      <c r="C259" s="18"/>
      <c r="D259">
        <v>255</v>
      </c>
      <c r="E259" s="1">
        <v>50830</v>
      </c>
      <c r="F259" s="2">
        <f t="shared" si="24"/>
        <v>0</v>
      </c>
      <c r="G259" s="2">
        <f t="shared" si="21"/>
        <v>0</v>
      </c>
      <c r="H259" s="2">
        <f t="shared" si="22"/>
        <v>0</v>
      </c>
      <c r="I259" s="16">
        <f t="shared" si="20"/>
        <v>0</v>
      </c>
      <c r="J259" s="2">
        <f t="shared" si="23"/>
        <v>0</v>
      </c>
      <c r="K259" s="2">
        <f t="shared" si="25"/>
        <v>0</v>
      </c>
    </row>
    <row r="260" spans="2:11">
      <c r="B260" s="20"/>
      <c r="C260" s="20"/>
      <c r="D260">
        <v>256</v>
      </c>
      <c r="E260" s="1">
        <v>50861</v>
      </c>
      <c r="F260" s="2">
        <f t="shared" si="24"/>
        <v>0</v>
      </c>
      <c r="G260" s="2">
        <f t="shared" si="21"/>
        <v>0</v>
      </c>
      <c r="H260" s="2">
        <f t="shared" si="22"/>
        <v>0</v>
      </c>
      <c r="I260" s="16">
        <f t="shared" si="20"/>
        <v>0</v>
      </c>
      <c r="J260" s="2">
        <f t="shared" si="23"/>
        <v>0</v>
      </c>
      <c r="K260" s="2">
        <f t="shared" si="25"/>
        <v>0</v>
      </c>
    </row>
    <row r="261" spans="2:11">
      <c r="B261" s="18"/>
      <c r="C261" s="18"/>
      <c r="D261">
        <v>257</v>
      </c>
      <c r="E261" s="1">
        <v>50891</v>
      </c>
      <c r="F261" s="2">
        <f t="shared" si="24"/>
        <v>0</v>
      </c>
      <c r="G261" s="2">
        <f t="shared" si="21"/>
        <v>0</v>
      </c>
      <c r="H261" s="2">
        <f t="shared" si="22"/>
        <v>0</v>
      </c>
      <c r="I261" s="16">
        <f t="shared" ref="I261:I324" si="26">IF(AND(MOD(D261,12)=2, $B$2&gt;0,K261&gt;$B$2),$B$2,IF(K261=0,0,IF(D261&lt;=$B$3,$I$1,0)))</f>
        <v>0</v>
      </c>
      <c r="J261" s="2">
        <f t="shared" si="23"/>
        <v>0</v>
      </c>
      <c r="K261" s="2">
        <f t="shared" si="25"/>
        <v>0</v>
      </c>
    </row>
    <row r="262" spans="2:11">
      <c r="B262" s="20"/>
      <c r="C262" s="20"/>
      <c r="D262">
        <v>258</v>
      </c>
      <c r="E262" s="1">
        <v>50922</v>
      </c>
      <c r="F262" s="2">
        <f t="shared" si="24"/>
        <v>0</v>
      </c>
      <c r="G262" s="2">
        <f t="shared" si="21"/>
        <v>0</v>
      </c>
      <c r="H262" s="2">
        <f t="shared" si="22"/>
        <v>0</v>
      </c>
      <c r="I262" s="16">
        <f t="shared" si="26"/>
        <v>0</v>
      </c>
      <c r="J262" s="2">
        <f t="shared" si="23"/>
        <v>0</v>
      </c>
      <c r="K262" s="2">
        <f t="shared" si="25"/>
        <v>0</v>
      </c>
    </row>
    <row r="263" spans="2:11">
      <c r="B263" s="18"/>
      <c r="C263" s="18"/>
      <c r="D263">
        <v>259</v>
      </c>
      <c r="E263" s="1">
        <v>50952</v>
      </c>
      <c r="F263" s="2">
        <f t="shared" si="24"/>
        <v>0</v>
      </c>
      <c r="G263" s="2">
        <f t="shared" ref="G263:G326" si="27">+F263-H263</f>
        <v>0</v>
      </c>
      <c r="H263" s="2">
        <f t="shared" si="22"/>
        <v>0</v>
      </c>
      <c r="I263" s="16">
        <f t="shared" si="26"/>
        <v>0</v>
      </c>
      <c r="J263" s="2">
        <f t="shared" si="23"/>
        <v>0</v>
      </c>
      <c r="K263" s="2">
        <f t="shared" si="25"/>
        <v>0</v>
      </c>
    </row>
    <row r="264" spans="2:11">
      <c r="B264" s="20"/>
      <c r="C264" s="20"/>
      <c r="D264">
        <v>260</v>
      </c>
      <c r="E264" s="1">
        <v>50983</v>
      </c>
      <c r="F264" s="2">
        <f t="shared" si="24"/>
        <v>0</v>
      </c>
      <c r="G264" s="2">
        <f t="shared" si="27"/>
        <v>0</v>
      </c>
      <c r="H264" s="2">
        <f t="shared" ref="H264:H327" si="28">($G$2/12)*K264</f>
        <v>0</v>
      </c>
      <c r="I264" s="16">
        <f t="shared" si="26"/>
        <v>0</v>
      </c>
      <c r="J264" s="2">
        <f t="shared" ref="J264:J327" si="29">IF(K264=0,0,J263+H264)</f>
        <v>0</v>
      </c>
      <c r="K264" s="2">
        <f t="shared" si="25"/>
        <v>0</v>
      </c>
    </row>
    <row r="265" spans="2:11">
      <c r="B265" s="18"/>
      <c r="C265" s="18"/>
      <c r="D265">
        <v>261</v>
      </c>
      <c r="E265" s="1">
        <v>51014</v>
      </c>
      <c r="F265" s="2">
        <f t="shared" ref="F265:F328" si="30">IF( (K265+20)&lt;$F$5, H265+K265,I265+$G$1*($G$2/12)*(1+($G$2/12))^($G$3*12)/((1+($G$2/12))^($G$3*12)-1))</f>
        <v>0</v>
      </c>
      <c r="G265" s="2">
        <f t="shared" si="27"/>
        <v>0</v>
      </c>
      <c r="H265" s="2">
        <f t="shared" si="28"/>
        <v>0</v>
      </c>
      <c r="I265" s="16">
        <f t="shared" si="26"/>
        <v>0</v>
      </c>
      <c r="J265" s="2">
        <f t="shared" si="29"/>
        <v>0</v>
      </c>
      <c r="K265" s="2">
        <f t="shared" si="25"/>
        <v>0</v>
      </c>
    </row>
    <row r="266" spans="2:11">
      <c r="B266" s="20"/>
      <c r="C266" s="20"/>
      <c r="D266">
        <v>262</v>
      </c>
      <c r="E266" s="1">
        <v>51044</v>
      </c>
      <c r="F266" s="2">
        <f t="shared" si="30"/>
        <v>0</v>
      </c>
      <c r="G266" s="2">
        <f t="shared" si="27"/>
        <v>0</v>
      </c>
      <c r="H266" s="2">
        <f t="shared" si="28"/>
        <v>0</v>
      </c>
      <c r="I266" s="16">
        <f t="shared" si="26"/>
        <v>0</v>
      </c>
      <c r="J266" s="2">
        <f t="shared" si="29"/>
        <v>0</v>
      </c>
      <c r="K266" s="2">
        <f t="shared" ref="K266:K329" si="31">K265-G265</f>
        <v>0</v>
      </c>
    </row>
    <row r="267" spans="2:11">
      <c r="B267" s="18"/>
      <c r="C267" s="18"/>
      <c r="D267">
        <v>263</v>
      </c>
      <c r="E267" s="1">
        <v>51075</v>
      </c>
      <c r="F267" s="2">
        <f t="shared" si="30"/>
        <v>0</v>
      </c>
      <c r="G267" s="2">
        <f t="shared" si="27"/>
        <v>0</v>
      </c>
      <c r="H267" s="2">
        <f t="shared" si="28"/>
        <v>0</v>
      </c>
      <c r="I267" s="16">
        <f t="shared" si="26"/>
        <v>0</v>
      </c>
      <c r="J267" s="2">
        <f t="shared" si="29"/>
        <v>0</v>
      </c>
      <c r="K267" s="2">
        <f t="shared" si="31"/>
        <v>0</v>
      </c>
    </row>
    <row r="268" spans="2:11">
      <c r="B268" s="20"/>
      <c r="C268" s="20"/>
      <c r="D268">
        <v>264</v>
      </c>
      <c r="E268" s="1">
        <v>51105</v>
      </c>
      <c r="F268" s="2">
        <f t="shared" si="30"/>
        <v>0</v>
      </c>
      <c r="G268" s="2">
        <f t="shared" si="27"/>
        <v>0</v>
      </c>
      <c r="H268" s="2">
        <f t="shared" si="28"/>
        <v>0</v>
      </c>
      <c r="I268" s="16">
        <f t="shared" si="26"/>
        <v>0</v>
      </c>
      <c r="J268" s="2">
        <f t="shared" si="29"/>
        <v>0</v>
      </c>
      <c r="K268" s="2">
        <f t="shared" si="31"/>
        <v>0</v>
      </c>
    </row>
    <row r="269" spans="2:11">
      <c r="B269" s="18"/>
      <c r="C269" s="18"/>
      <c r="D269">
        <v>265</v>
      </c>
      <c r="E269" s="1">
        <v>51136</v>
      </c>
      <c r="F269" s="2">
        <f t="shared" si="30"/>
        <v>0</v>
      </c>
      <c r="G269" s="2">
        <f t="shared" si="27"/>
        <v>0</v>
      </c>
      <c r="H269" s="2">
        <f t="shared" si="28"/>
        <v>0</v>
      </c>
      <c r="I269" s="16">
        <f t="shared" si="26"/>
        <v>0</v>
      </c>
      <c r="J269" s="2">
        <f t="shared" si="29"/>
        <v>0</v>
      </c>
      <c r="K269" s="2">
        <f t="shared" si="31"/>
        <v>0</v>
      </c>
    </row>
    <row r="270" spans="2:11">
      <c r="B270" s="20"/>
      <c r="C270" s="20"/>
      <c r="D270">
        <v>266</v>
      </c>
      <c r="E270" s="1">
        <v>51167</v>
      </c>
      <c r="F270" s="2">
        <f t="shared" si="30"/>
        <v>0</v>
      </c>
      <c r="G270" s="2">
        <f t="shared" si="27"/>
        <v>0</v>
      </c>
      <c r="H270" s="2">
        <f t="shared" si="28"/>
        <v>0</v>
      </c>
      <c r="I270" s="16">
        <f t="shared" si="26"/>
        <v>0</v>
      </c>
      <c r="J270" s="2">
        <f t="shared" si="29"/>
        <v>0</v>
      </c>
      <c r="K270" s="2">
        <f t="shared" si="31"/>
        <v>0</v>
      </c>
    </row>
    <row r="271" spans="2:11">
      <c r="B271" s="18"/>
      <c r="C271" s="18"/>
      <c r="D271">
        <v>267</v>
      </c>
      <c r="E271" s="1">
        <v>51196</v>
      </c>
      <c r="F271" s="2">
        <f t="shared" si="30"/>
        <v>0</v>
      </c>
      <c r="G271" s="2">
        <f t="shared" si="27"/>
        <v>0</v>
      </c>
      <c r="H271" s="2">
        <f t="shared" si="28"/>
        <v>0</v>
      </c>
      <c r="I271" s="16">
        <f t="shared" si="26"/>
        <v>0</v>
      </c>
      <c r="J271" s="2">
        <f t="shared" si="29"/>
        <v>0</v>
      </c>
      <c r="K271" s="2">
        <f t="shared" si="31"/>
        <v>0</v>
      </c>
    </row>
    <row r="272" spans="2:11">
      <c r="B272" s="20"/>
      <c r="C272" s="20"/>
      <c r="D272">
        <v>268</v>
      </c>
      <c r="E272" s="1">
        <v>51227</v>
      </c>
      <c r="F272" s="2">
        <f t="shared" si="30"/>
        <v>0</v>
      </c>
      <c r="G272" s="2">
        <f t="shared" si="27"/>
        <v>0</v>
      </c>
      <c r="H272" s="2">
        <f t="shared" si="28"/>
        <v>0</v>
      </c>
      <c r="I272" s="16">
        <f t="shared" si="26"/>
        <v>0</v>
      </c>
      <c r="J272" s="2">
        <f t="shared" si="29"/>
        <v>0</v>
      </c>
      <c r="K272" s="2">
        <f t="shared" si="31"/>
        <v>0</v>
      </c>
    </row>
    <row r="273" spans="2:11">
      <c r="B273" s="18"/>
      <c r="C273" s="18"/>
      <c r="D273">
        <v>269</v>
      </c>
      <c r="E273" s="1">
        <v>51257</v>
      </c>
      <c r="F273" s="2">
        <f t="shared" si="30"/>
        <v>0</v>
      </c>
      <c r="G273" s="2">
        <f t="shared" si="27"/>
        <v>0</v>
      </c>
      <c r="H273" s="2">
        <f t="shared" si="28"/>
        <v>0</v>
      </c>
      <c r="I273" s="16">
        <f t="shared" si="26"/>
        <v>0</v>
      </c>
      <c r="J273" s="2">
        <f t="shared" si="29"/>
        <v>0</v>
      </c>
      <c r="K273" s="2">
        <f t="shared" si="31"/>
        <v>0</v>
      </c>
    </row>
    <row r="274" spans="2:11">
      <c r="B274" s="20"/>
      <c r="C274" s="20"/>
      <c r="D274">
        <v>270</v>
      </c>
      <c r="E274" s="1">
        <v>51288</v>
      </c>
      <c r="F274" s="2">
        <f t="shared" si="30"/>
        <v>0</v>
      </c>
      <c r="G274" s="2">
        <f t="shared" si="27"/>
        <v>0</v>
      </c>
      <c r="H274" s="2">
        <f t="shared" si="28"/>
        <v>0</v>
      </c>
      <c r="I274" s="16">
        <f t="shared" si="26"/>
        <v>0</v>
      </c>
      <c r="J274" s="2">
        <f t="shared" si="29"/>
        <v>0</v>
      </c>
      <c r="K274" s="2">
        <f t="shared" si="31"/>
        <v>0</v>
      </c>
    </row>
    <row r="275" spans="2:11">
      <c r="B275" s="18"/>
      <c r="C275" s="18"/>
      <c r="D275">
        <v>271</v>
      </c>
      <c r="E275" s="1">
        <v>51318</v>
      </c>
      <c r="F275" s="2">
        <f t="shared" si="30"/>
        <v>0</v>
      </c>
      <c r="G275" s="2">
        <f t="shared" si="27"/>
        <v>0</v>
      </c>
      <c r="H275" s="2">
        <f t="shared" si="28"/>
        <v>0</v>
      </c>
      <c r="I275" s="16">
        <f t="shared" si="26"/>
        <v>0</v>
      </c>
      <c r="J275" s="2">
        <f t="shared" si="29"/>
        <v>0</v>
      </c>
      <c r="K275" s="2">
        <f t="shared" si="31"/>
        <v>0</v>
      </c>
    </row>
    <row r="276" spans="2:11">
      <c r="B276" s="20"/>
      <c r="C276" s="20"/>
      <c r="D276">
        <v>272</v>
      </c>
      <c r="E276" s="1">
        <v>51349</v>
      </c>
      <c r="F276" s="2">
        <f t="shared" si="30"/>
        <v>0</v>
      </c>
      <c r="G276" s="2">
        <f t="shared" si="27"/>
        <v>0</v>
      </c>
      <c r="H276" s="2">
        <f t="shared" si="28"/>
        <v>0</v>
      </c>
      <c r="I276" s="16">
        <f t="shared" si="26"/>
        <v>0</v>
      </c>
      <c r="J276" s="2">
        <f t="shared" si="29"/>
        <v>0</v>
      </c>
      <c r="K276" s="2">
        <f t="shared" si="31"/>
        <v>0</v>
      </c>
    </row>
    <row r="277" spans="2:11">
      <c r="B277" s="18"/>
      <c r="C277" s="18"/>
      <c r="D277">
        <v>273</v>
      </c>
      <c r="E277" s="1">
        <v>51380</v>
      </c>
      <c r="F277" s="2">
        <f t="shared" si="30"/>
        <v>0</v>
      </c>
      <c r="G277" s="2">
        <f t="shared" si="27"/>
        <v>0</v>
      </c>
      <c r="H277" s="2">
        <f t="shared" si="28"/>
        <v>0</v>
      </c>
      <c r="I277" s="16">
        <f t="shared" si="26"/>
        <v>0</v>
      </c>
      <c r="J277" s="2">
        <f t="shared" si="29"/>
        <v>0</v>
      </c>
      <c r="K277" s="2">
        <f t="shared" si="31"/>
        <v>0</v>
      </c>
    </row>
    <row r="278" spans="2:11">
      <c r="B278" s="20"/>
      <c r="C278" s="20"/>
      <c r="D278">
        <v>274</v>
      </c>
      <c r="E278" s="1">
        <v>51410</v>
      </c>
      <c r="F278" s="2">
        <f t="shared" si="30"/>
        <v>0</v>
      </c>
      <c r="G278" s="2">
        <f t="shared" si="27"/>
        <v>0</v>
      </c>
      <c r="H278" s="2">
        <f t="shared" si="28"/>
        <v>0</v>
      </c>
      <c r="I278" s="16">
        <f t="shared" si="26"/>
        <v>0</v>
      </c>
      <c r="J278" s="2">
        <f t="shared" si="29"/>
        <v>0</v>
      </c>
      <c r="K278" s="2">
        <f t="shared" si="31"/>
        <v>0</v>
      </c>
    </row>
    <row r="279" spans="2:11">
      <c r="B279" s="18"/>
      <c r="C279" s="18"/>
      <c r="D279">
        <v>275</v>
      </c>
      <c r="E279" s="1">
        <v>51441</v>
      </c>
      <c r="F279" s="2">
        <f t="shared" si="30"/>
        <v>0</v>
      </c>
      <c r="G279" s="2">
        <f t="shared" si="27"/>
        <v>0</v>
      </c>
      <c r="H279" s="2">
        <f t="shared" si="28"/>
        <v>0</v>
      </c>
      <c r="I279" s="16">
        <f t="shared" si="26"/>
        <v>0</v>
      </c>
      <c r="J279" s="2">
        <f t="shared" si="29"/>
        <v>0</v>
      </c>
      <c r="K279" s="2">
        <f t="shared" si="31"/>
        <v>0</v>
      </c>
    </row>
    <row r="280" spans="2:11">
      <c r="B280" s="20"/>
      <c r="C280" s="20"/>
      <c r="D280">
        <v>276</v>
      </c>
      <c r="E280" s="1">
        <v>51471</v>
      </c>
      <c r="F280" s="2">
        <f t="shared" si="30"/>
        <v>0</v>
      </c>
      <c r="G280" s="2">
        <f t="shared" si="27"/>
        <v>0</v>
      </c>
      <c r="H280" s="2">
        <f t="shared" si="28"/>
        <v>0</v>
      </c>
      <c r="I280" s="16">
        <f t="shared" si="26"/>
        <v>0</v>
      </c>
      <c r="J280" s="2">
        <f t="shared" si="29"/>
        <v>0</v>
      </c>
      <c r="K280" s="2">
        <f t="shared" si="31"/>
        <v>0</v>
      </c>
    </row>
    <row r="281" spans="2:11">
      <c r="B281" s="18"/>
      <c r="C281" s="18"/>
      <c r="D281">
        <v>277</v>
      </c>
      <c r="E281" s="1">
        <v>51502</v>
      </c>
      <c r="F281" s="2">
        <f t="shared" si="30"/>
        <v>0</v>
      </c>
      <c r="G281" s="2">
        <f t="shared" si="27"/>
        <v>0</v>
      </c>
      <c r="H281" s="2">
        <f t="shared" si="28"/>
        <v>0</v>
      </c>
      <c r="I281" s="16">
        <f t="shared" si="26"/>
        <v>0</v>
      </c>
      <c r="J281" s="2">
        <f t="shared" si="29"/>
        <v>0</v>
      </c>
      <c r="K281" s="2">
        <f t="shared" si="31"/>
        <v>0</v>
      </c>
    </row>
    <row r="282" spans="2:11">
      <c r="B282" s="20"/>
      <c r="C282" s="20"/>
      <c r="D282">
        <v>278</v>
      </c>
      <c r="E282" s="1">
        <v>51533</v>
      </c>
      <c r="F282" s="2">
        <f t="shared" si="30"/>
        <v>0</v>
      </c>
      <c r="G282" s="2">
        <f t="shared" si="27"/>
        <v>0</v>
      </c>
      <c r="H282" s="2">
        <f t="shared" si="28"/>
        <v>0</v>
      </c>
      <c r="I282" s="16">
        <f t="shared" si="26"/>
        <v>0</v>
      </c>
      <c r="J282" s="2">
        <f t="shared" si="29"/>
        <v>0</v>
      </c>
      <c r="K282" s="2">
        <f t="shared" si="31"/>
        <v>0</v>
      </c>
    </row>
    <row r="283" spans="2:11">
      <c r="B283" s="18"/>
      <c r="C283" s="18"/>
      <c r="D283">
        <v>279</v>
      </c>
      <c r="E283" s="1">
        <v>51561</v>
      </c>
      <c r="F283" s="2">
        <f t="shared" si="30"/>
        <v>0</v>
      </c>
      <c r="G283" s="2">
        <f t="shared" si="27"/>
        <v>0</v>
      </c>
      <c r="H283" s="2">
        <f t="shared" si="28"/>
        <v>0</v>
      </c>
      <c r="I283" s="16">
        <f t="shared" si="26"/>
        <v>0</v>
      </c>
      <c r="J283" s="2">
        <f t="shared" si="29"/>
        <v>0</v>
      </c>
      <c r="K283" s="2">
        <f t="shared" si="31"/>
        <v>0</v>
      </c>
    </row>
    <row r="284" spans="2:11">
      <c r="B284" s="20"/>
      <c r="C284" s="20"/>
      <c r="D284">
        <v>280</v>
      </c>
      <c r="E284" s="1">
        <v>51592</v>
      </c>
      <c r="F284" s="2">
        <f t="shared" si="30"/>
        <v>0</v>
      </c>
      <c r="G284" s="2">
        <f t="shared" si="27"/>
        <v>0</v>
      </c>
      <c r="H284" s="2">
        <f t="shared" si="28"/>
        <v>0</v>
      </c>
      <c r="I284" s="16">
        <f t="shared" si="26"/>
        <v>0</v>
      </c>
      <c r="J284" s="2">
        <f t="shared" si="29"/>
        <v>0</v>
      </c>
      <c r="K284" s="2">
        <f t="shared" si="31"/>
        <v>0</v>
      </c>
    </row>
    <row r="285" spans="2:11">
      <c r="B285" s="18"/>
      <c r="C285" s="18"/>
      <c r="D285">
        <v>281</v>
      </c>
      <c r="E285" s="1">
        <v>51622</v>
      </c>
      <c r="F285" s="2">
        <f t="shared" si="30"/>
        <v>0</v>
      </c>
      <c r="G285" s="2">
        <f t="shared" si="27"/>
        <v>0</v>
      </c>
      <c r="H285" s="2">
        <f t="shared" si="28"/>
        <v>0</v>
      </c>
      <c r="I285" s="16">
        <f t="shared" si="26"/>
        <v>0</v>
      </c>
      <c r="J285" s="2">
        <f t="shared" si="29"/>
        <v>0</v>
      </c>
      <c r="K285" s="2">
        <f t="shared" si="31"/>
        <v>0</v>
      </c>
    </row>
    <row r="286" spans="2:11">
      <c r="B286" s="20"/>
      <c r="C286" s="20"/>
      <c r="D286">
        <v>282</v>
      </c>
      <c r="E286" s="1">
        <v>51653</v>
      </c>
      <c r="F286" s="2">
        <f t="shared" si="30"/>
        <v>0</v>
      </c>
      <c r="G286" s="2">
        <f t="shared" si="27"/>
        <v>0</v>
      </c>
      <c r="H286" s="2">
        <f t="shared" si="28"/>
        <v>0</v>
      </c>
      <c r="I286" s="16">
        <f t="shared" si="26"/>
        <v>0</v>
      </c>
      <c r="J286" s="2">
        <f t="shared" si="29"/>
        <v>0</v>
      </c>
      <c r="K286" s="2">
        <f t="shared" si="31"/>
        <v>0</v>
      </c>
    </row>
    <row r="287" spans="2:11">
      <c r="B287" s="18"/>
      <c r="C287" s="18"/>
      <c r="D287">
        <v>283</v>
      </c>
      <c r="E287" s="1">
        <v>51683</v>
      </c>
      <c r="F287" s="2">
        <f t="shared" si="30"/>
        <v>0</v>
      </c>
      <c r="G287" s="2">
        <f t="shared" si="27"/>
        <v>0</v>
      </c>
      <c r="H287" s="2">
        <f t="shared" si="28"/>
        <v>0</v>
      </c>
      <c r="I287" s="16">
        <f t="shared" si="26"/>
        <v>0</v>
      </c>
      <c r="J287" s="2">
        <f t="shared" si="29"/>
        <v>0</v>
      </c>
      <c r="K287" s="2">
        <f t="shared" si="31"/>
        <v>0</v>
      </c>
    </row>
    <row r="288" spans="2:11">
      <c r="B288" s="20"/>
      <c r="C288" s="20"/>
      <c r="D288">
        <v>284</v>
      </c>
      <c r="E288" s="1">
        <v>51714</v>
      </c>
      <c r="F288" s="2">
        <f t="shared" si="30"/>
        <v>0</v>
      </c>
      <c r="G288" s="2">
        <f t="shared" si="27"/>
        <v>0</v>
      </c>
      <c r="H288" s="2">
        <f t="shared" si="28"/>
        <v>0</v>
      </c>
      <c r="I288" s="16">
        <f t="shared" si="26"/>
        <v>0</v>
      </c>
      <c r="J288" s="2">
        <f t="shared" si="29"/>
        <v>0</v>
      </c>
      <c r="K288" s="2">
        <f t="shared" si="31"/>
        <v>0</v>
      </c>
    </row>
    <row r="289" spans="2:11">
      <c r="B289" s="18"/>
      <c r="C289" s="18"/>
      <c r="D289">
        <v>285</v>
      </c>
      <c r="E289" s="1">
        <v>51745</v>
      </c>
      <c r="F289" s="2">
        <f t="shared" si="30"/>
        <v>0</v>
      </c>
      <c r="G289" s="2">
        <f t="shared" si="27"/>
        <v>0</v>
      </c>
      <c r="H289" s="2">
        <f t="shared" si="28"/>
        <v>0</v>
      </c>
      <c r="I289" s="16">
        <f t="shared" si="26"/>
        <v>0</v>
      </c>
      <c r="J289" s="2">
        <f t="shared" si="29"/>
        <v>0</v>
      </c>
      <c r="K289" s="2">
        <f t="shared" si="31"/>
        <v>0</v>
      </c>
    </row>
    <row r="290" spans="2:11">
      <c r="B290" s="20"/>
      <c r="C290" s="20"/>
      <c r="D290">
        <v>286</v>
      </c>
      <c r="E290" s="1">
        <v>51775</v>
      </c>
      <c r="F290" s="2">
        <f t="shared" si="30"/>
        <v>0</v>
      </c>
      <c r="G290" s="2">
        <f t="shared" si="27"/>
        <v>0</v>
      </c>
      <c r="H290" s="2">
        <f t="shared" si="28"/>
        <v>0</v>
      </c>
      <c r="I290" s="16">
        <f t="shared" si="26"/>
        <v>0</v>
      </c>
      <c r="J290" s="2">
        <f t="shared" si="29"/>
        <v>0</v>
      </c>
      <c r="K290" s="2">
        <f t="shared" si="31"/>
        <v>0</v>
      </c>
    </row>
    <row r="291" spans="2:11">
      <c r="B291" s="18"/>
      <c r="C291" s="18"/>
      <c r="D291">
        <v>287</v>
      </c>
      <c r="E291" s="1">
        <v>51806</v>
      </c>
      <c r="F291" s="2">
        <f t="shared" si="30"/>
        <v>0</v>
      </c>
      <c r="G291" s="2">
        <f t="shared" si="27"/>
        <v>0</v>
      </c>
      <c r="H291" s="2">
        <f t="shared" si="28"/>
        <v>0</v>
      </c>
      <c r="I291" s="16">
        <f t="shared" si="26"/>
        <v>0</v>
      </c>
      <c r="J291" s="2">
        <f t="shared" si="29"/>
        <v>0</v>
      </c>
      <c r="K291" s="2">
        <f t="shared" si="31"/>
        <v>0</v>
      </c>
    </row>
    <row r="292" spans="2:11">
      <c r="B292" s="20"/>
      <c r="C292" s="20"/>
      <c r="D292">
        <v>288</v>
      </c>
      <c r="E292" s="1">
        <v>51836</v>
      </c>
      <c r="F292" s="2">
        <f t="shared" si="30"/>
        <v>0</v>
      </c>
      <c r="G292" s="2">
        <f t="shared" si="27"/>
        <v>0</v>
      </c>
      <c r="H292" s="2">
        <f t="shared" si="28"/>
        <v>0</v>
      </c>
      <c r="I292" s="16">
        <f t="shared" si="26"/>
        <v>0</v>
      </c>
      <c r="J292" s="2">
        <f t="shared" si="29"/>
        <v>0</v>
      </c>
      <c r="K292" s="2">
        <f t="shared" si="31"/>
        <v>0</v>
      </c>
    </row>
    <row r="293" spans="2:11">
      <c r="B293" s="18"/>
      <c r="C293" s="18"/>
      <c r="D293">
        <v>289</v>
      </c>
      <c r="E293" s="1">
        <v>51867</v>
      </c>
      <c r="F293" s="2">
        <f t="shared" si="30"/>
        <v>0</v>
      </c>
      <c r="G293" s="2">
        <f t="shared" si="27"/>
        <v>0</v>
      </c>
      <c r="H293" s="2">
        <f t="shared" si="28"/>
        <v>0</v>
      </c>
      <c r="I293" s="16">
        <f t="shared" si="26"/>
        <v>0</v>
      </c>
      <c r="J293" s="2">
        <f t="shared" si="29"/>
        <v>0</v>
      </c>
      <c r="K293" s="2">
        <f t="shared" si="31"/>
        <v>0</v>
      </c>
    </row>
    <row r="294" spans="2:11">
      <c r="B294" s="20"/>
      <c r="C294" s="20"/>
      <c r="D294">
        <v>290</v>
      </c>
      <c r="E294" s="1">
        <v>51898</v>
      </c>
      <c r="F294" s="2">
        <f t="shared" si="30"/>
        <v>0</v>
      </c>
      <c r="G294" s="2">
        <f t="shared" si="27"/>
        <v>0</v>
      </c>
      <c r="H294" s="2">
        <f t="shared" si="28"/>
        <v>0</v>
      </c>
      <c r="I294" s="16">
        <f t="shared" si="26"/>
        <v>0</v>
      </c>
      <c r="J294" s="2">
        <f t="shared" si="29"/>
        <v>0</v>
      </c>
      <c r="K294" s="2">
        <f t="shared" si="31"/>
        <v>0</v>
      </c>
    </row>
    <row r="295" spans="2:11">
      <c r="B295" s="18"/>
      <c r="C295" s="18"/>
      <c r="D295">
        <v>291</v>
      </c>
      <c r="E295" s="1">
        <v>51926</v>
      </c>
      <c r="F295" s="2">
        <f t="shared" si="30"/>
        <v>0</v>
      </c>
      <c r="G295" s="2">
        <f t="shared" si="27"/>
        <v>0</v>
      </c>
      <c r="H295" s="2">
        <f t="shared" si="28"/>
        <v>0</v>
      </c>
      <c r="I295" s="16">
        <f t="shared" si="26"/>
        <v>0</v>
      </c>
      <c r="J295" s="2">
        <f t="shared" si="29"/>
        <v>0</v>
      </c>
      <c r="K295" s="2">
        <f t="shared" si="31"/>
        <v>0</v>
      </c>
    </row>
    <row r="296" spans="2:11">
      <c r="B296" s="20"/>
      <c r="C296" s="20"/>
      <c r="D296">
        <v>292</v>
      </c>
      <c r="E296" s="1">
        <v>51957</v>
      </c>
      <c r="F296" s="2">
        <f t="shared" si="30"/>
        <v>0</v>
      </c>
      <c r="G296" s="2">
        <f t="shared" si="27"/>
        <v>0</v>
      </c>
      <c r="H296" s="2">
        <f t="shared" si="28"/>
        <v>0</v>
      </c>
      <c r="I296" s="16">
        <f t="shared" si="26"/>
        <v>0</v>
      </c>
      <c r="J296" s="2">
        <f t="shared" si="29"/>
        <v>0</v>
      </c>
      <c r="K296" s="2">
        <f t="shared" si="31"/>
        <v>0</v>
      </c>
    </row>
    <row r="297" spans="2:11">
      <c r="B297" s="18"/>
      <c r="C297" s="18"/>
      <c r="D297">
        <v>293</v>
      </c>
      <c r="E297" s="1">
        <v>51987</v>
      </c>
      <c r="F297" s="2">
        <f t="shared" si="30"/>
        <v>0</v>
      </c>
      <c r="G297" s="2">
        <f t="shared" si="27"/>
        <v>0</v>
      </c>
      <c r="H297" s="2">
        <f t="shared" si="28"/>
        <v>0</v>
      </c>
      <c r="I297" s="16">
        <f t="shared" si="26"/>
        <v>0</v>
      </c>
      <c r="J297" s="2">
        <f t="shared" si="29"/>
        <v>0</v>
      </c>
      <c r="K297" s="2">
        <f t="shared" si="31"/>
        <v>0</v>
      </c>
    </row>
    <row r="298" spans="2:11">
      <c r="B298" s="20"/>
      <c r="C298" s="20"/>
      <c r="D298">
        <v>294</v>
      </c>
      <c r="E298" s="1">
        <v>52018</v>
      </c>
      <c r="F298" s="2">
        <f t="shared" si="30"/>
        <v>0</v>
      </c>
      <c r="G298" s="2">
        <f t="shared" si="27"/>
        <v>0</v>
      </c>
      <c r="H298" s="2">
        <f t="shared" si="28"/>
        <v>0</v>
      </c>
      <c r="I298" s="16">
        <f t="shared" si="26"/>
        <v>0</v>
      </c>
      <c r="J298" s="2">
        <f t="shared" si="29"/>
        <v>0</v>
      </c>
      <c r="K298" s="2">
        <f t="shared" si="31"/>
        <v>0</v>
      </c>
    </row>
    <row r="299" spans="2:11">
      <c r="B299" s="18"/>
      <c r="C299" s="18"/>
      <c r="D299">
        <v>295</v>
      </c>
      <c r="E299" s="1">
        <v>52048</v>
      </c>
      <c r="F299" s="2">
        <f t="shared" si="30"/>
        <v>0</v>
      </c>
      <c r="G299" s="2">
        <f t="shared" si="27"/>
        <v>0</v>
      </c>
      <c r="H299" s="2">
        <f t="shared" si="28"/>
        <v>0</v>
      </c>
      <c r="I299" s="16">
        <f t="shared" si="26"/>
        <v>0</v>
      </c>
      <c r="J299" s="2">
        <f t="shared" si="29"/>
        <v>0</v>
      </c>
      <c r="K299" s="2">
        <f t="shared" si="31"/>
        <v>0</v>
      </c>
    </row>
    <row r="300" spans="2:11">
      <c r="B300" s="20"/>
      <c r="C300" s="20"/>
      <c r="D300">
        <v>296</v>
      </c>
      <c r="E300" s="1">
        <v>52079</v>
      </c>
      <c r="F300" s="2">
        <f t="shared" si="30"/>
        <v>0</v>
      </c>
      <c r="G300" s="2">
        <f t="shared" si="27"/>
        <v>0</v>
      </c>
      <c r="H300" s="2">
        <f t="shared" si="28"/>
        <v>0</v>
      </c>
      <c r="I300" s="16">
        <f t="shared" si="26"/>
        <v>0</v>
      </c>
      <c r="J300" s="2">
        <f t="shared" si="29"/>
        <v>0</v>
      </c>
      <c r="K300" s="2">
        <f t="shared" si="31"/>
        <v>0</v>
      </c>
    </row>
    <row r="301" spans="2:11">
      <c r="B301" s="18"/>
      <c r="C301" s="18"/>
      <c r="D301">
        <v>297</v>
      </c>
      <c r="E301" s="1">
        <v>52110</v>
      </c>
      <c r="F301" s="2">
        <f t="shared" si="30"/>
        <v>0</v>
      </c>
      <c r="G301" s="2">
        <f t="shared" si="27"/>
        <v>0</v>
      </c>
      <c r="H301" s="2">
        <f t="shared" si="28"/>
        <v>0</v>
      </c>
      <c r="I301" s="16">
        <f t="shared" si="26"/>
        <v>0</v>
      </c>
      <c r="J301" s="2">
        <f t="shared" si="29"/>
        <v>0</v>
      </c>
      <c r="K301" s="2">
        <f t="shared" si="31"/>
        <v>0</v>
      </c>
    </row>
    <row r="302" spans="2:11">
      <c r="B302" s="20"/>
      <c r="C302" s="20"/>
      <c r="D302">
        <v>298</v>
      </c>
      <c r="E302" s="1">
        <v>52140</v>
      </c>
      <c r="F302" s="2">
        <f t="shared" si="30"/>
        <v>0</v>
      </c>
      <c r="G302" s="2">
        <f t="shared" si="27"/>
        <v>0</v>
      </c>
      <c r="H302" s="2">
        <f t="shared" si="28"/>
        <v>0</v>
      </c>
      <c r="I302" s="16">
        <f t="shared" si="26"/>
        <v>0</v>
      </c>
      <c r="J302" s="2">
        <f t="shared" si="29"/>
        <v>0</v>
      </c>
      <c r="K302" s="2">
        <f t="shared" si="31"/>
        <v>0</v>
      </c>
    </row>
    <row r="303" spans="2:11">
      <c r="B303" s="18"/>
      <c r="C303" s="18"/>
      <c r="D303">
        <v>299</v>
      </c>
      <c r="E303" s="1">
        <v>52171</v>
      </c>
      <c r="F303" s="2">
        <f t="shared" si="30"/>
        <v>0</v>
      </c>
      <c r="G303" s="2">
        <f t="shared" si="27"/>
        <v>0</v>
      </c>
      <c r="H303" s="2">
        <f t="shared" si="28"/>
        <v>0</v>
      </c>
      <c r="I303" s="16">
        <f t="shared" si="26"/>
        <v>0</v>
      </c>
      <c r="J303" s="2">
        <f t="shared" si="29"/>
        <v>0</v>
      </c>
      <c r="K303" s="2">
        <f t="shared" si="31"/>
        <v>0</v>
      </c>
    </row>
    <row r="304" spans="2:11">
      <c r="B304" s="20"/>
      <c r="C304" s="20"/>
      <c r="D304">
        <v>300</v>
      </c>
      <c r="E304" s="1">
        <v>52201</v>
      </c>
      <c r="F304" s="2">
        <f t="shared" si="30"/>
        <v>0</v>
      </c>
      <c r="G304" s="2">
        <f t="shared" si="27"/>
        <v>0</v>
      </c>
      <c r="H304" s="2">
        <f t="shared" si="28"/>
        <v>0</v>
      </c>
      <c r="I304" s="16">
        <f t="shared" si="26"/>
        <v>0</v>
      </c>
      <c r="J304" s="2">
        <f t="shared" si="29"/>
        <v>0</v>
      </c>
      <c r="K304" s="2">
        <f t="shared" si="31"/>
        <v>0</v>
      </c>
    </row>
    <row r="305" spans="2:11">
      <c r="B305" s="18"/>
      <c r="C305" s="18"/>
      <c r="D305">
        <v>301</v>
      </c>
      <c r="E305" s="1">
        <v>52232</v>
      </c>
      <c r="F305" s="2">
        <f t="shared" si="30"/>
        <v>0</v>
      </c>
      <c r="G305" s="2">
        <f t="shared" si="27"/>
        <v>0</v>
      </c>
      <c r="H305" s="2">
        <f t="shared" si="28"/>
        <v>0</v>
      </c>
      <c r="I305" s="16">
        <f t="shared" si="26"/>
        <v>0</v>
      </c>
      <c r="J305" s="2">
        <f t="shared" si="29"/>
        <v>0</v>
      </c>
      <c r="K305" s="2">
        <f t="shared" si="31"/>
        <v>0</v>
      </c>
    </row>
    <row r="306" spans="2:11">
      <c r="B306" s="20"/>
      <c r="C306" s="20"/>
      <c r="D306">
        <v>302</v>
      </c>
      <c r="E306" s="1">
        <v>52263</v>
      </c>
      <c r="F306" s="2">
        <f t="shared" si="30"/>
        <v>0</v>
      </c>
      <c r="G306" s="2">
        <f t="shared" si="27"/>
        <v>0</v>
      </c>
      <c r="H306" s="2">
        <f t="shared" si="28"/>
        <v>0</v>
      </c>
      <c r="I306" s="16">
        <f t="shared" si="26"/>
        <v>0</v>
      </c>
      <c r="J306" s="2">
        <f t="shared" si="29"/>
        <v>0</v>
      </c>
      <c r="K306" s="2">
        <f t="shared" si="31"/>
        <v>0</v>
      </c>
    </row>
    <row r="307" spans="2:11">
      <c r="B307" s="18"/>
      <c r="C307" s="18"/>
      <c r="D307">
        <v>303</v>
      </c>
      <c r="E307" s="1">
        <v>52291</v>
      </c>
      <c r="F307" s="2">
        <f t="shared" si="30"/>
        <v>0</v>
      </c>
      <c r="G307" s="2">
        <f t="shared" si="27"/>
        <v>0</v>
      </c>
      <c r="H307" s="2">
        <f t="shared" si="28"/>
        <v>0</v>
      </c>
      <c r="I307" s="16">
        <f t="shared" si="26"/>
        <v>0</v>
      </c>
      <c r="J307" s="2">
        <f t="shared" si="29"/>
        <v>0</v>
      </c>
      <c r="K307" s="2">
        <f t="shared" si="31"/>
        <v>0</v>
      </c>
    </row>
    <row r="308" spans="2:11">
      <c r="B308" s="20"/>
      <c r="C308" s="20"/>
      <c r="D308">
        <v>304</v>
      </c>
      <c r="E308" s="1">
        <v>52322</v>
      </c>
      <c r="F308" s="2">
        <f t="shared" si="30"/>
        <v>0</v>
      </c>
      <c r="G308" s="2">
        <f t="shared" si="27"/>
        <v>0</v>
      </c>
      <c r="H308" s="2">
        <f t="shared" si="28"/>
        <v>0</v>
      </c>
      <c r="I308" s="16">
        <f t="shared" si="26"/>
        <v>0</v>
      </c>
      <c r="J308" s="2">
        <f t="shared" si="29"/>
        <v>0</v>
      </c>
      <c r="K308" s="2">
        <f t="shared" si="31"/>
        <v>0</v>
      </c>
    </row>
    <row r="309" spans="2:11">
      <c r="B309" s="18"/>
      <c r="C309" s="18"/>
      <c r="D309">
        <v>305</v>
      </c>
      <c r="E309" s="1">
        <v>52352</v>
      </c>
      <c r="F309" s="2">
        <f t="shared" si="30"/>
        <v>0</v>
      </c>
      <c r="G309" s="2">
        <f t="shared" si="27"/>
        <v>0</v>
      </c>
      <c r="H309" s="2">
        <f t="shared" si="28"/>
        <v>0</v>
      </c>
      <c r="I309" s="16">
        <f t="shared" si="26"/>
        <v>0</v>
      </c>
      <c r="J309" s="2">
        <f t="shared" si="29"/>
        <v>0</v>
      </c>
      <c r="K309" s="2">
        <f t="shared" si="31"/>
        <v>0</v>
      </c>
    </row>
    <row r="310" spans="2:11">
      <c r="B310" s="20"/>
      <c r="C310" s="20"/>
      <c r="D310">
        <v>306</v>
      </c>
      <c r="E310" s="1">
        <v>52383</v>
      </c>
      <c r="F310" s="2">
        <f t="shared" si="30"/>
        <v>0</v>
      </c>
      <c r="G310" s="2">
        <f t="shared" si="27"/>
        <v>0</v>
      </c>
      <c r="H310" s="2">
        <f t="shared" si="28"/>
        <v>0</v>
      </c>
      <c r="I310" s="16">
        <f t="shared" si="26"/>
        <v>0</v>
      </c>
      <c r="J310" s="2">
        <f t="shared" si="29"/>
        <v>0</v>
      </c>
      <c r="K310" s="2">
        <f t="shared" si="31"/>
        <v>0</v>
      </c>
    </row>
    <row r="311" spans="2:11">
      <c r="B311" s="18"/>
      <c r="C311" s="18"/>
      <c r="D311">
        <v>307</v>
      </c>
      <c r="E311" s="1">
        <v>52413</v>
      </c>
      <c r="F311" s="2">
        <f t="shared" si="30"/>
        <v>0</v>
      </c>
      <c r="G311" s="2">
        <f t="shared" si="27"/>
        <v>0</v>
      </c>
      <c r="H311" s="2">
        <f t="shared" si="28"/>
        <v>0</v>
      </c>
      <c r="I311" s="16">
        <f t="shared" si="26"/>
        <v>0</v>
      </c>
      <c r="J311" s="2">
        <f t="shared" si="29"/>
        <v>0</v>
      </c>
      <c r="K311" s="2">
        <f t="shared" si="31"/>
        <v>0</v>
      </c>
    </row>
    <row r="312" spans="2:11">
      <c r="B312" s="20"/>
      <c r="C312" s="20"/>
      <c r="D312">
        <v>308</v>
      </c>
      <c r="E312" s="1">
        <v>52444</v>
      </c>
      <c r="F312" s="2">
        <f t="shared" si="30"/>
        <v>0</v>
      </c>
      <c r="G312" s="2">
        <f t="shared" si="27"/>
        <v>0</v>
      </c>
      <c r="H312" s="2">
        <f t="shared" si="28"/>
        <v>0</v>
      </c>
      <c r="I312" s="16">
        <f t="shared" si="26"/>
        <v>0</v>
      </c>
      <c r="J312" s="2">
        <f t="shared" si="29"/>
        <v>0</v>
      </c>
      <c r="K312" s="2">
        <f t="shared" si="31"/>
        <v>0</v>
      </c>
    </row>
    <row r="313" spans="2:11">
      <c r="B313" s="18"/>
      <c r="C313" s="18"/>
      <c r="D313">
        <v>309</v>
      </c>
      <c r="E313" s="1">
        <v>52475</v>
      </c>
      <c r="F313" s="2">
        <f t="shared" si="30"/>
        <v>0</v>
      </c>
      <c r="G313" s="2">
        <f t="shared" si="27"/>
        <v>0</v>
      </c>
      <c r="H313" s="2">
        <f t="shared" si="28"/>
        <v>0</v>
      </c>
      <c r="I313" s="16">
        <f t="shared" si="26"/>
        <v>0</v>
      </c>
      <c r="J313" s="2">
        <f t="shared" si="29"/>
        <v>0</v>
      </c>
      <c r="K313" s="2">
        <f t="shared" si="31"/>
        <v>0</v>
      </c>
    </row>
    <row r="314" spans="2:11">
      <c r="B314" s="20"/>
      <c r="C314" s="20"/>
      <c r="D314">
        <v>310</v>
      </c>
      <c r="E314" s="1">
        <v>52505</v>
      </c>
      <c r="F314" s="2">
        <f t="shared" si="30"/>
        <v>0</v>
      </c>
      <c r="G314" s="2">
        <f t="shared" si="27"/>
        <v>0</v>
      </c>
      <c r="H314" s="2">
        <f t="shared" si="28"/>
        <v>0</v>
      </c>
      <c r="I314" s="16">
        <f t="shared" si="26"/>
        <v>0</v>
      </c>
      <c r="J314" s="2">
        <f t="shared" si="29"/>
        <v>0</v>
      </c>
      <c r="K314" s="2">
        <f t="shared" si="31"/>
        <v>0</v>
      </c>
    </row>
    <row r="315" spans="2:11">
      <c r="B315" s="18"/>
      <c r="C315" s="18"/>
      <c r="D315">
        <v>311</v>
      </c>
      <c r="E315" s="1">
        <v>52536</v>
      </c>
      <c r="F315" s="2">
        <f t="shared" si="30"/>
        <v>0</v>
      </c>
      <c r="G315" s="2">
        <f t="shared" si="27"/>
        <v>0</v>
      </c>
      <c r="H315" s="2">
        <f t="shared" si="28"/>
        <v>0</v>
      </c>
      <c r="I315" s="16">
        <f t="shared" si="26"/>
        <v>0</v>
      </c>
      <c r="J315" s="2">
        <f t="shared" si="29"/>
        <v>0</v>
      </c>
      <c r="K315" s="2">
        <f t="shared" si="31"/>
        <v>0</v>
      </c>
    </row>
    <row r="316" spans="2:11">
      <c r="B316" s="20"/>
      <c r="C316" s="20"/>
      <c r="D316">
        <v>312</v>
      </c>
      <c r="E316" s="1">
        <v>52566</v>
      </c>
      <c r="F316" s="2">
        <f t="shared" si="30"/>
        <v>0</v>
      </c>
      <c r="G316" s="2">
        <f t="shared" si="27"/>
        <v>0</v>
      </c>
      <c r="H316" s="2">
        <f t="shared" si="28"/>
        <v>0</v>
      </c>
      <c r="I316" s="16">
        <f t="shared" si="26"/>
        <v>0</v>
      </c>
      <c r="J316" s="2">
        <f t="shared" si="29"/>
        <v>0</v>
      </c>
      <c r="K316" s="2">
        <f t="shared" si="31"/>
        <v>0</v>
      </c>
    </row>
    <row r="317" spans="2:11">
      <c r="B317" s="18"/>
      <c r="C317" s="18"/>
      <c r="D317">
        <v>313</v>
      </c>
      <c r="E317" s="1">
        <v>52597</v>
      </c>
      <c r="F317" s="2">
        <f t="shared" si="30"/>
        <v>0</v>
      </c>
      <c r="G317" s="2">
        <f t="shared" si="27"/>
        <v>0</v>
      </c>
      <c r="H317" s="2">
        <f t="shared" si="28"/>
        <v>0</v>
      </c>
      <c r="I317" s="16">
        <f t="shared" si="26"/>
        <v>0</v>
      </c>
      <c r="J317" s="2">
        <f t="shared" si="29"/>
        <v>0</v>
      </c>
      <c r="K317" s="2">
        <f t="shared" si="31"/>
        <v>0</v>
      </c>
    </row>
    <row r="318" spans="2:11">
      <c r="B318" s="20"/>
      <c r="C318" s="20"/>
      <c r="D318">
        <v>314</v>
      </c>
      <c r="E318" s="1">
        <v>52628</v>
      </c>
      <c r="F318" s="2">
        <f t="shared" si="30"/>
        <v>0</v>
      </c>
      <c r="G318" s="2">
        <f t="shared" si="27"/>
        <v>0</v>
      </c>
      <c r="H318" s="2">
        <f t="shared" si="28"/>
        <v>0</v>
      </c>
      <c r="I318" s="16">
        <f t="shared" si="26"/>
        <v>0</v>
      </c>
      <c r="J318" s="2">
        <f t="shared" si="29"/>
        <v>0</v>
      </c>
      <c r="K318" s="2">
        <f t="shared" si="31"/>
        <v>0</v>
      </c>
    </row>
    <row r="319" spans="2:11">
      <c r="B319" s="18"/>
      <c r="C319" s="18"/>
      <c r="D319">
        <v>315</v>
      </c>
      <c r="E319" s="1">
        <v>52657</v>
      </c>
      <c r="F319" s="2">
        <f t="shared" si="30"/>
        <v>0</v>
      </c>
      <c r="G319" s="2">
        <f t="shared" si="27"/>
        <v>0</v>
      </c>
      <c r="H319" s="2">
        <f t="shared" si="28"/>
        <v>0</v>
      </c>
      <c r="I319" s="16">
        <f t="shared" si="26"/>
        <v>0</v>
      </c>
      <c r="J319" s="2">
        <f t="shared" si="29"/>
        <v>0</v>
      </c>
      <c r="K319" s="2">
        <f t="shared" si="31"/>
        <v>0</v>
      </c>
    </row>
    <row r="320" spans="2:11">
      <c r="B320" s="20"/>
      <c r="C320" s="20"/>
      <c r="D320">
        <v>316</v>
      </c>
      <c r="E320" s="1">
        <v>52688</v>
      </c>
      <c r="F320" s="2">
        <f t="shared" si="30"/>
        <v>0</v>
      </c>
      <c r="G320" s="2">
        <f t="shared" si="27"/>
        <v>0</v>
      </c>
      <c r="H320" s="2">
        <f t="shared" si="28"/>
        <v>0</v>
      </c>
      <c r="I320" s="16">
        <f t="shared" si="26"/>
        <v>0</v>
      </c>
      <c r="J320" s="2">
        <f t="shared" si="29"/>
        <v>0</v>
      </c>
      <c r="K320" s="2">
        <f t="shared" si="31"/>
        <v>0</v>
      </c>
    </row>
    <row r="321" spans="2:11">
      <c r="B321" s="18"/>
      <c r="C321" s="18"/>
      <c r="D321">
        <v>317</v>
      </c>
      <c r="E321" s="1">
        <v>52718</v>
      </c>
      <c r="F321" s="2">
        <f t="shared" si="30"/>
        <v>0</v>
      </c>
      <c r="G321" s="2">
        <f t="shared" si="27"/>
        <v>0</v>
      </c>
      <c r="H321" s="2">
        <f t="shared" si="28"/>
        <v>0</v>
      </c>
      <c r="I321" s="16">
        <f t="shared" si="26"/>
        <v>0</v>
      </c>
      <c r="J321" s="2">
        <f t="shared" si="29"/>
        <v>0</v>
      </c>
      <c r="K321" s="2">
        <f t="shared" si="31"/>
        <v>0</v>
      </c>
    </row>
    <row r="322" spans="2:11">
      <c r="B322" s="20"/>
      <c r="C322" s="20"/>
      <c r="D322">
        <v>318</v>
      </c>
      <c r="E322" s="1">
        <v>52749</v>
      </c>
      <c r="F322" s="2">
        <f t="shared" si="30"/>
        <v>0</v>
      </c>
      <c r="G322" s="2">
        <f t="shared" si="27"/>
        <v>0</v>
      </c>
      <c r="H322" s="2">
        <f t="shared" si="28"/>
        <v>0</v>
      </c>
      <c r="I322" s="16">
        <f t="shared" si="26"/>
        <v>0</v>
      </c>
      <c r="J322" s="2">
        <f t="shared" si="29"/>
        <v>0</v>
      </c>
      <c r="K322" s="2">
        <f t="shared" si="31"/>
        <v>0</v>
      </c>
    </row>
    <row r="323" spans="2:11">
      <c r="B323" s="18"/>
      <c r="C323" s="18"/>
      <c r="D323">
        <v>319</v>
      </c>
      <c r="E323" s="1">
        <v>52779</v>
      </c>
      <c r="F323" s="2">
        <f t="shared" si="30"/>
        <v>0</v>
      </c>
      <c r="G323" s="2">
        <f t="shared" si="27"/>
        <v>0</v>
      </c>
      <c r="H323" s="2">
        <f t="shared" si="28"/>
        <v>0</v>
      </c>
      <c r="I323" s="16">
        <f t="shared" si="26"/>
        <v>0</v>
      </c>
      <c r="J323" s="2">
        <f t="shared" si="29"/>
        <v>0</v>
      </c>
      <c r="K323" s="2">
        <f t="shared" si="31"/>
        <v>0</v>
      </c>
    </row>
    <row r="324" spans="2:11">
      <c r="B324" s="20"/>
      <c r="C324" s="20"/>
      <c r="D324">
        <v>320</v>
      </c>
      <c r="E324" s="1">
        <v>52810</v>
      </c>
      <c r="F324" s="2">
        <f t="shared" si="30"/>
        <v>0</v>
      </c>
      <c r="G324" s="2">
        <f t="shared" si="27"/>
        <v>0</v>
      </c>
      <c r="H324" s="2">
        <f t="shared" si="28"/>
        <v>0</v>
      </c>
      <c r="I324" s="16">
        <f t="shared" si="26"/>
        <v>0</v>
      </c>
      <c r="J324" s="2">
        <f t="shared" si="29"/>
        <v>0</v>
      </c>
      <c r="K324" s="2">
        <f t="shared" si="31"/>
        <v>0</v>
      </c>
    </row>
    <row r="325" spans="2:11">
      <c r="B325" s="18"/>
      <c r="C325" s="18"/>
      <c r="D325">
        <v>321</v>
      </c>
      <c r="E325" s="1">
        <v>52841</v>
      </c>
      <c r="F325" s="2">
        <f t="shared" si="30"/>
        <v>0</v>
      </c>
      <c r="G325" s="2">
        <f t="shared" si="27"/>
        <v>0</v>
      </c>
      <c r="H325" s="2">
        <f t="shared" si="28"/>
        <v>0</v>
      </c>
      <c r="I325" s="16">
        <f t="shared" ref="I325:I364" si="32">IF(AND(MOD(D325,12)=2, $B$2&gt;0,K325&gt;$B$2),$B$2,IF(K325=0,0,IF(D325&lt;=$B$3,$I$1,0)))</f>
        <v>0</v>
      </c>
      <c r="J325" s="2">
        <f t="shared" si="29"/>
        <v>0</v>
      </c>
      <c r="K325" s="2">
        <f t="shared" si="31"/>
        <v>0</v>
      </c>
    </row>
    <row r="326" spans="2:11">
      <c r="B326" s="20"/>
      <c r="C326" s="20"/>
      <c r="D326">
        <v>322</v>
      </c>
      <c r="E326" s="1">
        <v>52871</v>
      </c>
      <c r="F326" s="2">
        <f t="shared" si="30"/>
        <v>0</v>
      </c>
      <c r="G326" s="2">
        <f t="shared" si="27"/>
        <v>0</v>
      </c>
      <c r="H326" s="2">
        <f t="shared" si="28"/>
        <v>0</v>
      </c>
      <c r="I326" s="16">
        <f t="shared" si="32"/>
        <v>0</v>
      </c>
      <c r="J326" s="2">
        <f t="shared" si="29"/>
        <v>0</v>
      </c>
      <c r="K326" s="2">
        <f t="shared" si="31"/>
        <v>0</v>
      </c>
    </row>
    <row r="327" spans="2:11">
      <c r="B327" s="18"/>
      <c r="C327" s="18"/>
      <c r="D327">
        <v>323</v>
      </c>
      <c r="E327" s="1">
        <v>52902</v>
      </c>
      <c r="F327" s="2">
        <f t="shared" si="30"/>
        <v>0</v>
      </c>
      <c r="G327" s="2">
        <f t="shared" ref="G327:G364" si="33">+F327-H327</f>
        <v>0</v>
      </c>
      <c r="H327" s="2">
        <f t="shared" si="28"/>
        <v>0</v>
      </c>
      <c r="I327" s="16">
        <f t="shared" si="32"/>
        <v>0</v>
      </c>
      <c r="J327" s="2">
        <f t="shared" si="29"/>
        <v>0</v>
      </c>
      <c r="K327" s="2">
        <f t="shared" si="31"/>
        <v>0</v>
      </c>
    </row>
    <row r="328" spans="2:11">
      <c r="B328" s="20"/>
      <c r="C328" s="20"/>
      <c r="D328">
        <v>324</v>
      </c>
      <c r="E328" s="1">
        <v>52932</v>
      </c>
      <c r="F328" s="2">
        <f t="shared" si="30"/>
        <v>0</v>
      </c>
      <c r="G328" s="2">
        <f t="shared" si="33"/>
        <v>0</v>
      </c>
      <c r="H328" s="2">
        <f t="shared" ref="H328:H364" si="34">($G$2/12)*K328</f>
        <v>0</v>
      </c>
      <c r="I328" s="16">
        <f t="shared" si="32"/>
        <v>0</v>
      </c>
      <c r="J328" s="2">
        <f t="shared" ref="J328:J364" si="35">IF(K328=0,0,J327+H328)</f>
        <v>0</v>
      </c>
      <c r="K328" s="2">
        <f t="shared" si="31"/>
        <v>0</v>
      </c>
    </row>
    <row r="329" spans="2:11">
      <c r="B329" s="18"/>
      <c r="C329" s="18"/>
      <c r="D329">
        <v>325</v>
      </c>
      <c r="E329" s="1">
        <v>52963</v>
      </c>
      <c r="F329" s="2">
        <f t="shared" ref="F329:F364" si="36">IF( (K329+20)&lt;$F$5, H329+K329,I329+$G$1*($G$2/12)*(1+($G$2/12))^($G$3*12)/((1+($G$2/12))^($G$3*12)-1))</f>
        <v>0</v>
      </c>
      <c r="G329" s="2">
        <f t="shared" si="33"/>
        <v>0</v>
      </c>
      <c r="H329" s="2">
        <f t="shared" si="34"/>
        <v>0</v>
      </c>
      <c r="I329" s="16">
        <f t="shared" si="32"/>
        <v>0</v>
      </c>
      <c r="J329" s="2">
        <f t="shared" si="35"/>
        <v>0</v>
      </c>
      <c r="K329" s="2">
        <f t="shared" si="31"/>
        <v>0</v>
      </c>
    </row>
    <row r="330" spans="2:11">
      <c r="B330" s="20"/>
      <c r="C330" s="20"/>
      <c r="D330">
        <v>326</v>
      </c>
      <c r="E330" s="1">
        <v>52994</v>
      </c>
      <c r="F330" s="2">
        <f t="shared" si="36"/>
        <v>0</v>
      </c>
      <c r="G330" s="2">
        <f t="shared" si="33"/>
        <v>0</v>
      </c>
      <c r="H330" s="2">
        <f t="shared" si="34"/>
        <v>0</v>
      </c>
      <c r="I330" s="16">
        <f t="shared" si="32"/>
        <v>0</v>
      </c>
      <c r="J330" s="2">
        <f t="shared" si="35"/>
        <v>0</v>
      </c>
      <c r="K330" s="2">
        <f t="shared" ref="K330:K364" si="37">K329-G329</f>
        <v>0</v>
      </c>
    </row>
    <row r="331" spans="2:11">
      <c r="B331" s="18"/>
      <c r="C331" s="18"/>
      <c r="D331">
        <v>327</v>
      </c>
      <c r="E331" s="1">
        <v>53022</v>
      </c>
      <c r="F331" s="2">
        <f t="shared" si="36"/>
        <v>0</v>
      </c>
      <c r="G331" s="2">
        <f t="shared" si="33"/>
        <v>0</v>
      </c>
      <c r="H331" s="2">
        <f t="shared" si="34"/>
        <v>0</v>
      </c>
      <c r="I331" s="16">
        <f t="shared" si="32"/>
        <v>0</v>
      </c>
      <c r="J331" s="2">
        <f t="shared" si="35"/>
        <v>0</v>
      </c>
      <c r="K331" s="2">
        <f t="shared" si="37"/>
        <v>0</v>
      </c>
    </row>
    <row r="332" spans="2:11">
      <c r="B332" s="20"/>
      <c r="C332" s="20"/>
      <c r="D332">
        <v>328</v>
      </c>
      <c r="E332" s="1">
        <v>53053</v>
      </c>
      <c r="F332" s="2">
        <f t="shared" si="36"/>
        <v>0</v>
      </c>
      <c r="G332" s="2">
        <f t="shared" si="33"/>
        <v>0</v>
      </c>
      <c r="H332" s="2">
        <f t="shared" si="34"/>
        <v>0</v>
      </c>
      <c r="I332" s="16">
        <f t="shared" si="32"/>
        <v>0</v>
      </c>
      <c r="J332" s="2">
        <f t="shared" si="35"/>
        <v>0</v>
      </c>
      <c r="K332" s="2">
        <f t="shared" si="37"/>
        <v>0</v>
      </c>
    </row>
    <row r="333" spans="2:11">
      <c r="B333" s="18"/>
      <c r="C333" s="18"/>
      <c r="D333">
        <v>329</v>
      </c>
      <c r="E333" s="1">
        <v>53083</v>
      </c>
      <c r="F333" s="2">
        <f t="shared" si="36"/>
        <v>0</v>
      </c>
      <c r="G333" s="2">
        <f t="shared" si="33"/>
        <v>0</v>
      </c>
      <c r="H333" s="2">
        <f t="shared" si="34"/>
        <v>0</v>
      </c>
      <c r="I333" s="16">
        <f t="shared" si="32"/>
        <v>0</v>
      </c>
      <c r="J333" s="2">
        <f t="shared" si="35"/>
        <v>0</v>
      </c>
      <c r="K333" s="2">
        <f t="shared" si="37"/>
        <v>0</v>
      </c>
    </row>
    <row r="334" spans="2:11">
      <c r="B334" s="20"/>
      <c r="C334" s="20"/>
      <c r="D334">
        <v>330</v>
      </c>
      <c r="E334" s="1">
        <v>53114</v>
      </c>
      <c r="F334" s="2">
        <f t="shared" si="36"/>
        <v>0</v>
      </c>
      <c r="G334" s="2">
        <f t="shared" si="33"/>
        <v>0</v>
      </c>
      <c r="H334" s="2">
        <f t="shared" si="34"/>
        <v>0</v>
      </c>
      <c r="I334" s="16">
        <f t="shared" si="32"/>
        <v>0</v>
      </c>
      <c r="J334" s="2">
        <f t="shared" si="35"/>
        <v>0</v>
      </c>
      <c r="K334" s="2">
        <f t="shared" si="37"/>
        <v>0</v>
      </c>
    </row>
    <row r="335" spans="2:11">
      <c r="B335" s="18"/>
      <c r="C335" s="18"/>
      <c r="D335">
        <v>331</v>
      </c>
      <c r="E335" s="1">
        <v>53144</v>
      </c>
      <c r="F335" s="2">
        <f t="shared" si="36"/>
        <v>0</v>
      </c>
      <c r="G335" s="2">
        <f t="shared" si="33"/>
        <v>0</v>
      </c>
      <c r="H335" s="2">
        <f t="shared" si="34"/>
        <v>0</v>
      </c>
      <c r="I335" s="16">
        <f t="shared" si="32"/>
        <v>0</v>
      </c>
      <c r="J335" s="2">
        <f t="shared" si="35"/>
        <v>0</v>
      </c>
      <c r="K335" s="2">
        <f t="shared" si="37"/>
        <v>0</v>
      </c>
    </row>
    <row r="336" spans="2:11">
      <c r="B336" s="20"/>
      <c r="C336" s="20"/>
      <c r="D336">
        <v>332</v>
      </c>
      <c r="E336" s="1">
        <v>53175</v>
      </c>
      <c r="F336" s="2">
        <f t="shared" si="36"/>
        <v>0</v>
      </c>
      <c r="G336" s="2">
        <f t="shared" si="33"/>
        <v>0</v>
      </c>
      <c r="H336" s="2">
        <f t="shared" si="34"/>
        <v>0</v>
      </c>
      <c r="I336" s="16">
        <f t="shared" si="32"/>
        <v>0</v>
      </c>
      <c r="J336" s="2">
        <f t="shared" si="35"/>
        <v>0</v>
      </c>
      <c r="K336" s="2">
        <f t="shared" si="37"/>
        <v>0</v>
      </c>
    </row>
    <row r="337" spans="2:11">
      <c r="B337" s="18"/>
      <c r="C337" s="18"/>
      <c r="D337">
        <v>333</v>
      </c>
      <c r="E337" s="1">
        <v>53206</v>
      </c>
      <c r="F337" s="2">
        <f t="shared" si="36"/>
        <v>0</v>
      </c>
      <c r="G337" s="2">
        <f t="shared" si="33"/>
        <v>0</v>
      </c>
      <c r="H337" s="2">
        <f t="shared" si="34"/>
        <v>0</v>
      </c>
      <c r="I337" s="16">
        <f t="shared" si="32"/>
        <v>0</v>
      </c>
      <c r="J337" s="2">
        <f t="shared" si="35"/>
        <v>0</v>
      </c>
      <c r="K337" s="2">
        <f t="shared" si="37"/>
        <v>0</v>
      </c>
    </row>
    <row r="338" spans="2:11">
      <c r="B338" s="20"/>
      <c r="C338" s="20"/>
      <c r="D338">
        <v>334</v>
      </c>
      <c r="E338" s="1">
        <v>53236</v>
      </c>
      <c r="F338" s="2">
        <f t="shared" si="36"/>
        <v>0</v>
      </c>
      <c r="G338" s="2">
        <f t="shared" si="33"/>
        <v>0</v>
      </c>
      <c r="H338" s="2">
        <f t="shared" si="34"/>
        <v>0</v>
      </c>
      <c r="I338" s="16">
        <f t="shared" si="32"/>
        <v>0</v>
      </c>
      <c r="J338" s="2">
        <f t="shared" si="35"/>
        <v>0</v>
      </c>
      <c r="K338" s="2">
        <f t="shared" si="37"/>
        <v>0</v>
      </c>
    </row>
    <row r="339" spans="2:11">
      <c r="B339" s="18"/>
      <c r="C339" s="18"/>
      <c r="D339">
        <v>335</v>
      </c>
      <c r="E339" s="1">
        <v>53267</v>
      </c>
      <c r="F339" s="2">
        <f t="shared" si="36"/>
        <v>0</v>
      </c>
      <c r="G339" s="2">
        <f t="shared" si="33"/>
        <v>0</v>
      </c>
      <c r="H339" s="2">
        <f t="shared" si="34"/>
        <v>0</v>
      </c>
      <c r="I339" s="16">
        <f t="shared" si="32"/>
        <v>0</v>
      </c>
      <c r="J339" s="2">
        <f t="shared" si="35"/>
        <v>0</v>
      </c>
      <c r="K339" s="2">
        <f t="shared" si="37"/>
        <v>0</v>
      </c>
    </row>
    <row r="340" spans="2:11">
      <c r="B340" s="20"/>
      <c r="C340" s="20"/>
      <c r="D340">
        <v>336</v>
      </c>
      <c r="E340" s="1">
        <v>53297</v>
      </c>
      <c r="F340" s="2">
        <f t="shared" si="36"/>
        <v>0</v>
      </c>
      <c r="G340" s="2">
        <f t="shared" si="33"/>
        <v>0</v>
      </c>
      <c r="H340" s="2">
        <f t="shared" si="34"/>
        <v>0</v>
      </c>
      <c r="I340" s="16">
        <f t="shared" si="32"/>
        <v>0</v>
      </c>
      <c r="J340" s="2">
        <f t="shared" si="35"/>
        <v>0</v>
      </c>
      <c r="K340" s="2">
        <f t="shared" si="37"/>
        <v>0</v>
      </c>
    </row>
    <row r="341" spans="2:11">
      <c r="B341" s="18"/>
      <c r="C341" s="18"/>
      <c r="D341">
        <v>337</v>
      </c>
      <c r="E341" s="1">
        <v>53328</v>
      </c>
      <c r="F341" s="2">
        <f t="shared" si="36"/>
        <v>0</v>
      </c>
      <c r="G341" s="2">
        <f t="shared" si="33"/>
        <v>0</v>
      </c>
      <c r="H341" s="2">
        <f t="shared" si="34"/>
        <v>0</v>
      </c>
      <c r="I341" s="16">
        <f t="shared" si="32"/>
        <v>0</v>
      </c>
      <c r="J341" s="2">
        <f t="shared" si="35"/>
        <v>0</v>
      </c>
      <c r="K341" s="2">
        <f t="shared" si="37"/>
        <v>0</v>
      </c>
    </row>
    <row r="342" spans="2:11">
      <c r="B342" s="20"/>
      <c r="C342" s="20"/>
      <c r="D342">
        <v>338</v>
      </c>
      <c r="E342" s="1">
        <v>53359</v>
      </c>
      <c r="F342" s="2">
        <f t="shared" si="36"/>
        <v>0</v>
      </c>
      <c r="G342" s="2">
        <f t="shared" si="33"/>
        <v>0</v>
      </c>
      <c r="H342" s="2">
        <f t="shared" si="34"/>
        <v>0</v>
      </c>
      <c r="I342" s="16">
        <f t="shared" si="32"/>
        <v>0</v>
      </c>
      <c r="J342" s="2">
        <f t="shared" si="35"/>
        <v>0</v>
      </c>
      <c r="K342" s="2">
        <f t="shared" si="37"/>
        <v>0</v>
      </c>
    </row>
    <row r="343" spans="2:11">
      <c r="B343" s="18"/>
      <c r="C343" s="18"/>
      <c r="D343">
        <v>339</v>
      </c>
      <c r="E343" s="1">
        <v>53387</v>
      </c>
      <c r="F343" s="2">
        <f t="shared" si="36"/>
        <v>0</v>
      </c>
      <c r="G343" s="2">
        <f t="shared" si="33"/>
        <v>0</v>
      </c>
      <c r="H343" s="2">
        <f t="shared" si="34"/>
        <v>0</v>
      </c>
      <c r="I343" s="16">
        <f t="shared" si="32"/>
        <v>0</v>
      </c>
      <c r="J343" s="2">
        <f t="shared" si="35"/>
        <v>0</v>
      </c>
      <c r="K343" s="2">
        <f t="shared" si="37"/>
        <v>0</v>
      </c>
    </row>
    <row r="344" spans="2:11">
      <c r="B344" s="20"/>
      <c r="C344" s="20"/>
      <c r="D344">
        <v>340</v>
      </c>
      <c r="E344" s="1">
        <v>53418</v>
      </c>
      <c r="F344" s="2">
        <f t="shared" si="36"/>
        <v>0</v>
      </c>
      <c r="G344" s="2">
        <f t="shared" si="33"/>
        <v>0</v>
      </c>
      <c r="H344" s="2">
        <f t="shared" si="34"/>
        <v>0</v>
      </c>
      <c r="I344" s="16">
        <f t="shared" si="32"/>
        <v>0</v>
      </c>
      <c r="J344" s="2">
        <f t="shared" si="35"/>
        <v>0</v>
      </c>
      <c r="K344" s="2">
        <f t="shared" si="37"/>
        <v>0</v>
      </c>
    </row>
    <row r="345" spans="2:11">
      <c r="B345" s="18"/>
      <c r="C345" s="18"/>
      <c r="D345">
        <v>341</v>
      </c>
      <c r="E345" s="1">
        <v>53448</v>
      </c>
      <c r="F345" s="2">
        <f t="shared" si="36"/>
        <v>0</v>
      </c>
      <c r="G345" s="2">
        <f t="shared" si="33"/>
        <v>0</v>
      </c>
      <c r="H345" s="2">
        <f t="shared" si="34"/>
        <v>0</v>
      </c>
      <c r="I345" s="16">
        <f t="shared" si="32"/>
        <v>0</v>
      </c>
      <c r="J345" s="2">
        <f t="shared" si="35"/>
        <v>0</v>
      </c>
      <c r="K345" s="2">
        <f t="shared" si="37"/>
        <v>0</v>
      </c>
    </row>
    <row r="346" spans="2:11">
      <c r="B346" s="20"/>
      <c r="C346" s="20"/>
      <c r="D346">
        <v>342</v>
      </c>
      <c r="E346" s="1">
        <v>53479</v>
      </c>
      <c r="F346" s="2">
        <f t="shared" si="36"/>
        <v>0</v>
      </c>
      <c r="G346" s="2">
        <f t="shared" si="33"/>
        <v>0</v>
      </c>
      <c r="H346" s="2">
        <f t="shared" si="34"/>
        <v>0</v>
      </c>
      <c r="I346" s="16">
        <f t="shared" si="32"/>
        <v>0</v>
      </c>
      <c r="J346" s="2">
        <f t="shared" si="35"/>
        <v>0</v>
      </c>
      <c r="K346" s="2">
        <f t="shared" si="37"/>
        <v>0</v>
      </c>
    </row>
    <row r="347" spans="2:11">
      <c r="B347" s="18"/>
      <c r="C347" s="18"/>
      <c r="D347">
        <v>343</v>
      </c>
      <c r="E347" s="1">
        <v>53509</v>
      </c>
      <c r="F347" s="2">
        <f t="shared" si="36"/>
        <v>0</v>
      </c>
      <c r="G347" s="2">
        <f t="shared" si="33"/>
        <v>0</v>
      </c>
      <c r="H347" s="2">
        <f t="shared" si="34"/>
        <v>0</v>
      </c>
      <c r="I347" s="16">
        <f t="shared" si="32"/>
        <v>0</v>
      </c>
      <c r="J347" s="2">
        <f t="shared" si="35"/>
        <v>0</v>
      </c>
      <c r="K347" s="2">
        <f t="shared" si="37"/>
        <v>0</v>
      </c>
    </row>
    <row r="348" spans="2:11">
      <c r="B348" s="20"/>
      <c r="C348" s="20"/>
      <c r="D348">
        <v>344</v>
      </c>
      <c r="E348" s="1">
        <v>53540</v>
      </c>
      <c r="F348" s="2">
        <f t="shared" si="36"/>
        <v>0</v>
      </c>
      <c r="G348" s="2">
        <f t="shared" si="33"/>
        <v>0</v>
      </c>
      <c r="H348" s="2">
        <f t="shared" si="34"/>
        <v>0</v>
      </c>
      <c r="I348" s="16">
        <f t="shared" si="32"/>
        <v>0</v>
      </c>
      <c r="J348" s="2">
        <f t="shared" si="35"/>
        <v>0</v>
      </c>
      <c r="K348" s="2">
        <f t="shared" si="37"/>
        <v>0</v>
      </c>
    </row>
    <row r="349" spans="2:11">
      <c r="B349" s="18"/>
      <c r="C349" s="18"/>
      <c r="D349">
        <v>345</v>
      </c>
      <c r="E349" s="1">
        <v>53571</v>
      </c>
      <c r="F349" s="2">
        <f t="shared" si="36"/>
        <v>0</v>
      </c>
      <c r="G349" s="2">
        <f t="shared" si="33"/>
        <v>0</v>
      </c>
      <c r="H349" s="2">
        <f t="shared" si="34"/>
        <v>0</v>
      </c>
      <c r="I349" s="16">
        <f t="shared" si="32"/>
        <v>0</v>
      </c>
      <c r="J349" s="2">
        <f t="shared" si="35"/>
        <v>0</v>
      </c>
      <c r="K349" s="2">
        <f t="shared" si="37"/>
        <v>0</v>
      </c>
    </row>
    <row r="350" spans="2:11">
      <c r="B350" s="20"/>
      <c r="C350" s="20"/>
      <c r="D350">
        <v>346</v>
      </c>
      <c r="E350" s="1">
        <v>53601</v>
      </c>
      <c r="F350" s="2">
        <f t="shared" si="36"/>
        <v>0</v>
      </c>
      <c r="G350" s="2">
        <f t="shared" si="33"/>
        <v>0</v>
      </c>
      <c r="H350" s="2">
        <f t="shared" si="34"/>
        <v>0</v>
      </c>
      <c r="I350" s="16">
        <f t="shared" si="32"/>
        <v>0</v>
      </c>
      <c r="J350" s="2">
        <f t="shared" si="35"/>
        <v>0</v>
      </c>
      <c r="K350" s="2">
        <f t="shared" si="37"/>
        <v>0</v>
      </c>
    </row>
    <row r="351" spans="2:11">
      <c r="B351" s="18"/>
      <c r="C351" s="18"/>
      <c r="D351">
        <v>347</v>
      </c>
      <c r="E351" s="1">
        <v>53632</v>
      </c>
      <c r="F351" s="2">
        <f t="shared" si="36"/>
        <v>0</v>
      </c>
      <c r="G351" s="2">
        <f t="shared" si="33"/>
        <v>0</v>
      </c>
      <c r="H351" s="2">
        <f t="shared" si="34"/>
        <v>0</v>
      </c>
      <c r="I351" s="16">
        <f t="shared" si="32"/>
        <v>0</v>
      </c>
      <c r="J351" s="2">
        <f t="shared" si="35"/>
        <v>0</v>
      </c>
      <c r="K351" s="2">
        <f t="shared" si="37"/>
        <v>0</v>
      </c>
    </row>
    <row r="352" spans="2:11">
      <c r="B352" s="20"/>
      <c r="C352" s="20"/>
      <c r="D352">
        <v>348</v>
      </c>
      <c r="E352" s="1">
        <v>53662</v>
      </c>
      <c r="F352" s="2">
        <f t="shared" si="36"/>
        <v>0</v>
      </c>
      <c r="G352" s="2">
        <f t="shared" si="33"/>
        <v>0</v>
      </c>
      <c r="H352" s="2">
        <f t="shared" si="34"/>
        <v>0</v>
      </c>
      <c r="I352" s="16">
        <f t="shared" si="32"/>
        <v>0</v>
      </c>
      <c r="J352" s="2">
        <f t="shared" si="35"/>
        <v>0</v>
      </c>
      <c r="K352" s="2">
        <f t="shared" si="37"/>
        <v>0</v>
      </c>
    </row>
    <row r="353" spans="2:11">
      <c r="B353" s="18"/>
      <c r="C353" s="18"/>
      <c r="D353">
        <v>349</v>
      </c>
      <c r="E353" s="1">
        <v>53693</v>
      </c>
      <c r="F353" s="2">
        <f t="shared" si="36"/>
        <v>0</v>
      </c>
      <c r="G353" s="2">
        <f t="shared" si="33"/>
        <v>0</v>
      </c>
      <c r="H353" s="2">
        <f t="shared" si="34"/>
        <v>0</v>
      </c>
      <c r="I353" s="16">
        <f t="shared" si="32"/>
        <v>0</v>
      </c>
      <c r="J353" s="2">
        <f t="shared" si="35"/>
        <v>0</v>
      </c>
      <c r="K353" s="2">
        <f t="shared" si="37"/>
        <v>0</v>
      </c>
    </row>
    <row r="354" spans="2:11">
      <c r="B354" s="20"/>
      <c r="C354" s="20"/>
      <c r="D354">
        <v>350</v>
      </c>
      <c r="E354" s="1">
        <v>53724</v>
      </c>
      <c r="F354" s="2">
        <f t="shared" si="36"/>
        <v>0</v>
      </c>
      <c r="G354" s="2">
        <f t="shared" si="33"/>
        <v>0</v>
      </c>
      <c r="H354" s="2">
        <f t="shared" si="34"/>
        <v>0</v>
      </c>
      <c r="I354" s="16">
        <f t="shared" si="32"/>
        <v>0</v>
      </c>
      <c r="J354" s="2">
        <f t="shared" si="35"/>
        <v>0</v>
      </c>
      <c r="K354" s="2">
        <f t="shared" si="37"/>
        <v>0</v>
      </c>
    </row>
    <row r="355" spans="2:11">
      <c r="B355" s="18"/>
      <c r="C355" s="18"/>
      <c r="D355">
        <v>351</v>
      </c>
      <c r="E355" s="1">
        <v>53752</v>
      </c>
      <c r="F355" s="2">
        <f t="shared" si="36"/>
        <v>0</v>
      </c>
      <c r="G355" s="2">
        <f t="shared" si="33"/>
        <v>0</v>
      </c>
      <c r="H355" s="2">
        <f t="shared" si="34"/>
        <v>0</v>
      </c>
      <c r="I355" s="16">
        <f t="shared" si="32"/>
        <v>0</v>
      </c>
      <c r="J355" s="2">
        <f t="shared" si="35"/>
        <v>0</v>
      </c>
      <c r="K355" s="2">
        <f t="shared" si="37"/>
        <v>0</v>
      </c>
    </row>
    <row r="356" spans="2:11">
      <c r="B356" s="20"/>
      <c r="C356" s="20"/>
      <c r="D356">
        <v>352</v>
      </c>
      <c r="E356" s="1">
        <v>53783</v>
      </c>
      <c r="F356" s="2">
        <f t="shared" si="36"/>
        <v>0</v>
      </c>
      <c r="G356" s="2">
        <f t="shared" si="33"/>
        <v>0</v>
      </c>
      <c r="H356" s="2">
        <f t="shared" si="34"/>
        <v>0</v>
      </c>
      <c r="I356" s="16">
        <f t="shared" si="32"/>
        <v>0</v>
      </c>
      <c r="J356" s="2">
        <f t="shared" si="35"/>
        <v>0</v>
      </c>
      <c r="K356" s="2">
        <f t="shared" si="37"/>
        <v>0</v>
      </c>
    </row>
    <row r="357" spans="2:11">
      <c r="B357" s="18"/>
      <c r="C357" s="18"/>
      <c r="D357">
        <v>353</v>
      </c>
      <c r="E357" s="1">
        <v>53813</v>
      </c>
      <c r="F357" s="2">
        <f t="shared" si="36"/>
        <v>0</v>
      </c>
      <c r="G357" s="2">
        <f t="shared" si="33"/>
        <v>0</v>
      </c>
      <c r="H357" s="2">
        <f t="shared" si="34"/>
        <v>0</v>
      </c>
      <c r="I357" s="16">
        <f t="shared" si="32"/>
        <v>0</v>
      </c>
      <c r="J357" s="2">
        <f t="shared" si="35"/>
        <v>0</v>
      </c>
      <c r="K357" s="2">
        <f t="shared" si="37"/>
        <v>0</v>
      </c>
    </row>
    <row r="358" spans="2:11">
      <c r="B358" s="20"/>
      <c r="C358" s="20"/>
      <c r="D358">
        <v>354</v>
      </c>
      <c r="E358" s="1">
        <v>53844</v>
      </c>
      <c r="F358" s="2">
        <f t="shared" si="36"/>
        <v>0</v>
      </c>
      <c r="G358" s="2">
        <f t="shared" si="33"/>
        <v>0</v>
      </c>
      <c r="H358" s="2">
        <f t="shared" si="34"/>
        <v>0</v>
      </c>
      <c r="I358" s="16">
        <f t="shared" si="32"/>
        <v>0</v>
      </c>
      <c r="J358" s="2">
        <f t="shared" si="35"/>
        <v>0</v>
      </c>
      <c r="K358" s="2">
        <f t="shared" si="37"/>
        <v>0</v>
      </c>
    </row>
    <row r="359" spans="2:11">
      <c r="B359" s="18"/>
      <c r="C359" s="18"/>
      <c r="D359">
        <v>355</v>
      </c>
      <c r="E359" s="1">
        <v>53874</v>
      </c>
      <c r="F359" s="2">
        <f t="shared" si="36"/>
        <v>0</v>
      </c>
      <c r="G359" s="2">
        <f t="shared" si="33"/>
        <v>0</v>
      </c>
      <c r="H359" s="2">
        <f t="shared" si="34"/>
        <v>0</v>
      </c>
      <c r="I359" s="16">
        <f t="shared" si="32"/>
        <v>0</v>
      </c>
      <c r="J359" s="2">
        <f t="shared" si="35"/>
        <v>0</v>
      </c>
      <c r="K359" s="2">
        <f t="shared" si="37"/>
        <v>0</v>
      </c>
    </row>
    <row r="360" spans="2:11">
      <c r="B360" s="20"/>
      <c r="C360" s="20"/>
      <c r="D360">
        <v>356</v>
      </c>
      <c r="E360" s="1">
        <v>53905</v>
      </c>
      <c r="F360" s="2">
        <f t="shared" si="36"/>
        <v>0</v>
      </c>
      <c r="G360" s="2">
        <f t="shared" si="33"/>
        <v>0</v>
      </c>
      <c r="H360" s="2">
        <f t="shared" si="34"/>
        <v>0</v>
      </c>
      <c r="I360" s="16">
        <f t="shared" si="32"/>
        <v>0</v>
      </c>
      <c r="J360" s="2">
        <f t="shared" si="35"/>
        <v>0</v>
      </c>
      <c r="K360" s="2">
        <f t="shared" si="37"/>
        <v>0</v>
      </c>
    </row>
    <row r="361" spans="2:11">
      <c r="B361" s="18"/>
      <c r="C361" s="18"/>
      <c r="D361">
        <v>357</v>
      </c>
      <c r="E361" s="1">
        <v>53936</v>
      </c>
      <c r="F361" s="2">
        <f t="shared" si="36"/>
        <v>0</v>
      </c>
      <c r="G361" s="2">
        <f t="shared" si="33"/>
        <v>0</v>
      </c>
      <c r="H361" s="2">
        <f t="shared" si="34"/>
        <v>0</v>
      </c>
      <c r="I361" s="16">
        <f t="shared" si="32"/>
        <v>0</v>
      </c>
      <c r="J361" s="2">
        <f t="shared" si="35"/>
        <v>0</v>
      </c>
      <c r="K361" s="2">
        <f t="shared" si="37"/>
        <v>0</v>
      </c>
    </row>
    <row r="362" spans="2:11">
      <c r="B362" s="20"/>
      <c r="C362" s="20"/>
      <c r="D362">
        <v>358</v>
      </c>
      <c r="E362" s="1">
        <v>53966</v>
      </c>
      <c r="F362" s="2">
        <f t="shared" si="36"/>
        <v>0</v>
      </c>
      <c r="G362" s="2">
        <f t="shared" si="33"/>
        <v>0</v>
      </c>
      <c r="H362" s="2">
        <f t="shared" si="34"/>
        <v>0</v>
      </c>
      <c r="I362" s="16">
        <f t="shared" si="32"/>
        <v>0</v>
      </c>
      <c r="J362" s="2">
        <f t="shared" si="35"/>
        <v>0</v>
      </c>
      <c r="K362" s="2">
        <f t="shared" si="37"/>
        <v>0</v>
      </c>
    </row>
    <row r="363" spans="2:11">
      <c r="B363" s="18"/>
      <c r="C363" s="18"/>
      <c r="D363">
        <v>359</v>
      </c>
      <c r="E363" s="1">
        <v>53997</v>
      </c>
      <c r="F363" s="2">
        <f t="shared" si="36"/>
        <v>0</v>
      </c>
      <c r="G363" s="2">
        <f t="shared" si="33"/>
        <v>0</v>
      </c>
      <c r="H363" s="2">
        <f t="shared" si="34"/>
        <v>0</v>
      </c>
      <c r="I363" s="16">
        <f t="shared" si="32"/>
        <v>0</v>
      </c>
      <c r="J363" s="2">
        <f t="shared" si="35"/>
        <v>0</v>
      </c>
      <c r="K363" s="2">
        <f t="shared" si="37"/>
        <v>0</v>
      </c>
    </row>
    <row r="364" spans="2:11">
      <c r="B364" s="20"/>
      <c r="C364" s="20"/>
      <c r="D364">
        <v>360</v>
      </c>
      <c r="E364" s="1">
        <v>54027</v>
      </c>
      <c r="F364" s="2">
        <f t="shared" si="36"/>
        <v>0</v>
      </c>
      <c r="G364" s="2">
        <f t="shared" si="33"/>
        <v>0</v>
      </c>
      <c r="H364" s="2">
        <f t="shared" si="34"/>
        <v>0</v>
      </c>
      <c r="I364" s="16">
        <f t="shared" si="32"/>
        <v>0</v>
      </c>
      <c r="J364" s="2">
        <f t="shared" si="35"/>
        <v>0</v>
      </c>
      <c r="K364" s="2">
        <f t="shared" si="3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S47"/>
  <sheetViews>
    <sheetView topLeftCell="B1" zoomScale="130" zoomScaleNormal="130" workbookViewId="0">
      <selection activeCell="N3" sqref="N3"/>
    </sheetView>
  </sheetViews>
  <sheetFormatPr defaultColWidth="8.85546875" defaultRowHeight="15"/>
  <cols>
    <col min="1" max="1" width="6.5703125" style="15" customWidth="1"/>
    <col min="2" max="2" width="9.140625" style="15" customWidth="1"/>
    <col min="3" max="3" width="11" style="15" customWidth="1"/>
    <col min="4" max="4" width="12.7109375" style="15" customWidth="1"/>
    <col min="5" max="5" width="10.5703125" style="15" customWidth="1"/>
    <col min="6" max="6" width="9.7109375" style="15" customWidth="1"/>
    <col min="7" max="7" width="7.85546875" style="15" customWidth="1"/>
    <col min="8" max="8" width="10.7109375" style="15" customWidth="1"/>
    <col min="9" max="9" width="11.42578125" style="15" customWidth="1"/>
    <col min="10" max="10" width="11.7109375" style="15" customWidth="1"/>
    <col min="11" max="11" width="10.28515625" style="15" customWidth="1"/>
    <col min="12" max="12" width="10.85546875" style="15" customWidth="1"/>
    <col min="13" max="15" width="9.85546875" style="15" customWidth="1"/>
    <col min="16" max="16" width="7.5703125" style="15" customWidth="1"/>
    <col min="17" max="17" width="10.7109375" style="15" customWidth="1"/>
    <col min="18" max="18" width="8.85546875" style="15" customWidth="1"/>
    <col min="19" max="19" width="8.5703125" style="15" customWidth="1"/>
    <col min="20" max="16384" width="8.85546875" style="15"/>
  </cols>
  <sheetData>
    <row r="2" spans="1:19" s="14" customFormat="1" ht="45">
      <c r="A2" s="14" t="s">
        <v>32</v>
      </c>
      <c r="B2" s="14" t="s">
        <v>34</v>
      </c>
      <c r="C2" s="14" t="s">
        <v>35</v>
      </c>
      <c r="D2" s="14" t="s">
        <v>52</v>
      </c>
      <c r="E2" s="14" t="s">
        <v>36</v>
      </c>
      <c r="F2" s="14" t="s">
        <v>37</v>
      </c>
      <c r="G2" s="14" t="s">
        <v>38</v>
      </c>
      <c r="H2" s="14" t="s">
        <v>39</v>
      </c>
      <c r="I2" s="14" t="s">
        <v>40</v>
      </c>
      <c r="J2" s="14" t="s">
        <v>41</v>
      </c>
      <c r="K2" s="14" t="s">
        <v>42</v>
      </c>
      <c r="L2" s="14" t="s">
        <v>43</v>
      </c>
      <c r="M2" s="14" t="s">
        <v>44</v>
      </c>
      <c r="N2" s="14" t="s">
        <v>136</v>
      </c>
      <c r="O2" s="14" t="s">
        <v>45</v>
      </c>
      <c r="P2" s="14" t="s">
        <v>46</v>
      </c>
      <c r="Q2" s="14" t="s">
        <v>47</v>
      </c>
      <c r="R2" s="14" t="s">
        <v>21</v>
      </c>
      <c r="S2" s="14" t="s">
        <v>51</v>
      </c>
    </row>
    <row r="3" spans="1:19">
      <c r="A3" s="22">
        <f>'Data Input'!C2</f>
        <v>2016</v>
      </c>
      <c r="B3" s="64">
        <f>12*'Data Input'!$E$4</f>
        <v>3600</v>
      </c>
      <c r="C3" s="64">
        <f>12*'Data Input'!$F$4</f>
        <v>3000</v>
      </c>
      <c r="D3" s="64">
        <f>('Data Input'!F24+100)*12</f>
        <v>7800</v>
      </c>
      <c r="E3" s="64">
        <f>12*'Data Input'!$H$4</f>
        <v>1200</v>
      </c>
      <c r="F3" s="64">
        <f>12*'Data Input'!$I$4</f>
        <v>720</v>
      </c>
      <c r="G3" s="64">
        <f>12*'Data Input'!$J$4</f>
        <v>2250</v>
      </c>
      <c r="H3" s="64">
        <f>12*'Data Input'!$K$4</f>
        <v>4800</v>
      </c>
      <c r="I3" s="64">
        <f>12*'Data Input'!$L$4</f>
        <v>1200</v>
      </c>
      <c r="J3" s="64">
        <f>12*'Data Input'!$M$4</f>
        <v>1200</v>
      </c>
      <c r="K3" s="64">
        <f>12*'Data Input'!$N$4</f>
        <v>2400</v>
      </c>
      <c r="L3" s="64">
        <f>12*'Data Input'!$O$4</f>
        <v>2400</v>
      </c>
      <c r="M3" s="64">
        <f>12*'Data Input'!$P$4</f>
        <v>1200</v>
      </c>
      <c r="N3" s="64">
        <f>12*'Data Input'!$Q$4</f>
        <v>1200</v>
      </c>
      <c r="O3" s="64">
        <f>12*'Data Input'!$R$4</f>
        <v>1200</v>
      </c>
      <c r="P3" s="64">
        <f>12*'Data Input'!$S$4</f>
        <v>2400</v>
      </c>
      <c r="Q3" s="64">
        <f>12*'Data Input'!$T$4</f>
        <v>1200</v>
      </c>
      <c r="R3" s="64">
        <f>SUM(Table12[[#This Row],[Utilities]:[Misc. Housing costs]])</f>
        <v>37770</v>
      </c>
      <c r="S3" s="65">
        <f>Table12[[#This Row],[Total]]/12</f>
        <v>3147.5</v>
      </c>
    </row>
    <row r="4" spans="1:19">
      <c r="A4" s="21">
        <f>A3+1</f>
        <v>2017</v>
      </c>
      <c r="B4" s="64">
        <f>12*'Data Input'!$E$4</f>
        <v>3600</v>
      </c>
      <c r="C4" s="64">
        <f>12*'Data Input'!$F$4</f>
        <v>3000</v>
      </c>
      <c r="D4" s="64">
        <f>('Data Input'!F25+100)*12</f>
        <v>7800</v>
      </c>
      <c r="E4" s="64">
        <f>12*'Data Input'!$H$4</f>
        <v>1200</v>
      </c>
      <c r="F4" s="66">
        <f>12*'Data Input'!$I$4</f>
        <v>720</v>
      </c>
      <c r="G4" s="64">
        <f>12*'Data Input'!$J$4</f>
        <v>2250</v>
      </c>
      <c r="H4" s="64">
        <f>12*'Data Input'!$K$4</f>
        <v>4800</v>
      </c>
      <c r="I4" s="64">
        <f>12*'Data Input'!$L$4</f>
        <v>1200</v>
      </c>
      <c r="J4" s="64">
        <f>12*'Data Input'!$M$4</f>
        <v>1200</v>
      </c>
      <c r="K4" s="64">
        <f>12*'Data Input'!$N$4</f>
        <v>2400</v>
      </c>
      <c r="L4" s="66">
        <f>12*'Data Input'!$O$4</f>
        <v>2400</v>
      </c>
      <c r="M4" s="64">
        <f>12*'Data Input'!$P$4</f>
        <v>1200</v>
      </c>
      <c r="N4" s="64">
        <f>12*'Data Input'!$Q$4</f>
        <v>1200</v>
      </c>
      <c r="O4" s="64">
        <f>12*'Data Input'!$R$4</f>
        <v>1200</v>
      </c>
      <c r="P4" s="64">
        <f>12*'Data Input'!$S$4</f>
        <v>2400</v>
      </c>
      <c r="Q4" s="64">
        <f>12*'Data Input'!$T$4</f>
        <v>1200</v>
      </c>
      <c r="R4" s="66">
        <f>SUM(Table12[[#This Row],[Utilities]:[Misc. Housing costs]])</f>
        <v>37770</v>
      </c>
      <c r="S4" s="65">
        <f>Table12[[#This Row],[Total]]/12</f>
        <v>3147.5</v>
      </c>
    </row>
    <row r="5" spans="1:19">
      <c r="A5" s="21">
        <f t="shared" ref="A5:A47" si="0">A4+1</f>
        <v>2018</v>
      </c>
      <c r="B5" s="64">
        <f>12*'Data Input'!$E$4</f>
        <v>3600</v>
      </c>
      <c r="C5" s="64">
        <f>12*'Data Input'!$F$4</f>
        <v>3000</v>
      </c>
      <c r="D5" s="64">
        <f>('Data Input'!F26+100)*12</f>
        <v>7800</v>
      </c>
      <c r="E5" s="64">
        <f>12*'Data Input'!$H$4</f>
        <v>1200</v>
      </c>
      <c r="F5" s="67">
        <f>12*'Data Input'!$I$4</f>
        <v>720</v>
      </c>
      <c r="G5" s="64">
        <f>12*'Data Input'!$J$4</f>
        <v>2250</v>
      </c>
      <c r="H5" s="64">
        <f>12*'Data Input'!$K$4</f>
        <v>4800</v>
      </c>
      <c r="I5" s="64">
        <f>12*'Data Input'!$L$4</f>
        <v>1200</v>
      </c>
      <c r="J5" s="64">
        <f>12*'Data Input'!$M$4</f>
        <v>1200</v>
      </c>
      <c r="K5" s="64">
        <f>12*'Data Input'!$N$4</f>
        <v>2400</v>
      </c>
      <c r="L5" s="67">
        <f>12*'Data Input'!$O$4</f>
        <v>2400</v>
      </c>
      <c r="M5" s="64">
        <f>12*'Data Input'!$P$4</f>
        <v>1200</v>
      </c>
      <c r="N5" s="64">
        <f>12*'Data Input'!$Q$4</f>
        <v>1200</v>
      </c>
      <c r="O5" s="64">
        <f>12*'Data Input'!$R$4</f>
        <v>1200</v>
      </c>
      <c r="P5" s="64">
        <f>12*'Data Input'!$S$4</f>
        <v>2400</v>
      </c>
      <c r="Q5" s="64">
        <f>12*'Data Input'!$T$4</f>
        <v>1200</v>
      </c>
      <c r="R5" s="66">
        <f>SUM(Table12[[#This Row],[Utilities]:[Misc. Housing costs]])</f>
        <v>37770</v>
      </c>
      <c r="S5" s="65">
        <f>Table12[[#This Row],[Total]]/12</f>
        <v>3147.5</v>
      </c>
    </row>
    <row r="6" spans="1:19">
      <c r="A6" s="21">
        <f t="shared" si="0"/>
        <v>2019</v>
      </c>
      <c r="B6" s="64">
        <f>12*'Data Input'!$E$4</f>
        <v>3600</v>
      </c>
      <c r="C6" s="64">
        <f>12*'Data Input'!$F$4</f>
        <v>3000</v>
      </c>
      <c r="D6" s="64">
        <f>('Data Input'!F27+100)*12</f>
        <v>7800</v>
      </c>
      <c r="E6" s="64">
        <f>12*'Data Input'!$H$4</f>
        <v>1200</v>
      </c>
      <c r="F6" s="66">
        <f>12*'Data Input'!$I$4</f>
        <v>720</v>
      </c>
      <c r="G6" s="64">
        <f>12*'Data Input'!$J$4</f>
        <v>2250</v>
      </c>
      <c r="H6" s="64">
        <f>12*'Data Input'!$K$4</f>
        <v>4800</v>
      </c>
      <c r="I6" s="64">
        <f>12*'Data Input'!$L$4</f>
        <v>1200</v>
      </c>
      <c r="J6" s="64">
        <f>12*'Data Input'!$M$4</f>
        <v>1200</v>
      </c>
      <c r="K6" s="64">
        <f>12*'Data Input'!$N$4</f>
        <v>2400</v>
      </c>
      <c r="L6" s="66">
        <f>12*'Data Input'!$O$4</f>
        <v>2400</v>
      </c>
      <c r="M6" s="64">
        <f>12*'Data Input'!$P$4</f>
        <v>1200</v>
      </c>
      <c r="N6" s="64">
        <f>12*'Data Input'!$Q$4</f>
        <v>1200</v>
      </c>
      <c r="O6" s="64">
        <f>12*'Data Input'!$R$4</f>
        <v>1200</v>
      </c>
      <c r="P6" s="64">
        <f>12*'Data Input'!$S$4</f>
        <v>2400</v>
      </c>
      <c r="Q6" s="64">
        <f>12*'Data Input'!$T$4</f>
        <v>1200</v>
      </c>
      <c r="R6" s="66">
        <f>SUM(Table12[[#This Row],[Utilities]:[Misc. Housing costs]])</f>
        <v>37770</v>
      </c>
      <c r="S6" s="65">
        <f>Table12[[#This Row],[Total]]/12</f>
        <v>3147.5</v>
      </c>
    </row>
    <row r="7" spans="1:19">
      <c r="A7" s="21">
        <f t="shared" si="0"/>
        <v>2020</v>
      </c>
      <c r="B7" s="64">
        <f>12*'Data Input'!$E$4</f>
        <v>3600</v>
      </c>
      <c r="C7" s="64">
        <f>12*'Data Input'!$F$4</f>
        <v>3000</v>
      </c>
      <c r="D7" s="64">
        <f>('Data Input'!F28+100)*12</f>
        <v>7800</v>
      </c>
      <c r="E7" s="64">
        <f>12*'Data Input'!$H$4</f>
        <v>1200</v>
      </c>
      <c r="F7" s="66">
        <f>12*'Data Input'!$I$4</f>
        <v>720</v>
      </c>
      <c r="G7" s="64">
        <f>12*'Data Input'!$J$4</f>
        <v>2250</v>
      </c>
      <c r="H7" s="64">
        <f>12*'Data Input'!$K$4</f>
        <v>4800</v>
      </c>
      <c r="I7" s="64">
        <f>12*'Data Input'!$L$4</f>
        <v>1200</v>
      </c>
      <c r="J7" s="64">
        <f>12*'Data Input'!$M$4</f>
        <v>1200</v>
      </c>
      <c r="K7" s="64">
        <f>12*'Data Input'!$N$4</f>
        <v>2400</v>
      </c>
      <c r="L7" s="66">
        <f>12*'Data Input'!$O$4</f>
        <v>2400</v>
      </c>
      <c r="M7" s="64">
        <f>12*'Data Input'!$P$4</f>
        <v>1200</v>
      </c>
      <c r="N7" s="64">
        <f>12*'Data Input'!$Q$4</f>
        <v>1200</v>
      </c>
      <c r="O7" s="64">
        <f>12*'Data Input'!$R$4</f>
        <v>1200</v>
      </c>
      <c r="P7" s="64">
        <f>12*'Data Input'!$S$4</f>
        <v>2400</v>
      </c>
      <c r="Q7" s="64">
        <f>12*'Data Input'!$T$4</f>
        <v>1200</v>
      </c>
      <c r="R7" s="66">
        <f>SUM(Table12[[#This Row],[Utilities]:[Misc. Housing costs]])</f>
        <v>37770</v>
      </c>
      <c r="S7" s="65">
        <f>Table12[[#This Row],[Total]]/12</f>
        <v>3147.5</v>
      </c>
    </row>
    <row r="8" spans="1:19">
      <c r="A8" s="21">
        <f t="shared" si="0"/>
        <v>2021</v>
      </c>
      <c r="B8" s="64">
        <f>12*'Data Input'!$E$4</f>
        <v>3600</v>
      </c>
      <c r="C8" s="64">
        <f>12*'Data Input'!$F$4</f>
        <v>3000</v>
      </c>
      <c r="D8" s="64">
        <f>('Data Input'!F29+100)*12</f>
        <v>4200</v>
      </c>
      <c r="E8" s="64">
        <f>12*'Data Input'!$H$4</f>
        <v>1200</v>
      </c>
      <c r="F8" s="66">
        <f>12*'Data Input'!$I$4</f>
        <v>720</v>
      </c>
      <c r="G8" s="64">
        <f>12*'Data Input'!$J$4</f>
        <v>2250</v>
      </c>
      <c r="H8" s="64">
        <f>12*'Data Input'!$K$4</f>
        <v>4800</v>
      </c>
      <c r="I8" s="64">
        <f>12*'Data Input'!$L$4</f>
        <v>1200</v>
      </c>
      <c r="J8" s="64">
        <f>12*'Data Input'!$M$4</f>
        <v>1200</v>
      </c>
      <c r="K8" s="64">
        <f>12*'Data Input'!$N$4</f>
        <v>2400</v>
      </c>
      <c r="L8" s="66">
        <f>12*'Data Input'!$O$4</f>
        <v>2400</v>
      </c>
      <c r="M8" s="64">
        <f>12*'Data Input'!$P$4</f>
        <v>1200</v>
      </c>
      <c r="N8" s="64">
        <f>12*'Data Input'!$Q$4</f>
        <v>1200</v>
      </c>
      <c r="O8" s="64">
        <f>12*'Data Input'!$R$4</f>
        <v>1200</v>
      </c>
      <c r="P8" s="64">
        <f>12*'Data Input'!$S$4</f>
        <v>2400</v>
      </c>
      <c r="Q8" s="64">
        <f>12*'Data Input'!$T$4</f>
        <v>1200</v>
      </c>
      <c r="R8" s="66">
        <f>SUM(Table12[[#This Row],[Utilities]:[Misc. Housing costs]])</f>
        <v>34170</v>
      </c>
      <c r="S8" s="65">
        <f>Table12[[#This Row],[Total]]/12</f>
        <v>2847.5</v>
      </c>
    </row>
    <row r="9" spans="1:19">
      <c r="A9" s="21">
        <f t="shared" si="0"/>
        <v>2022</v>
      </c>
      <c r="B9" s="64">
        <f>12*'Data Input'!$E$4</f>
        <v>3600</v>
      </c>
      <c r="C9" s="64">
        <f>12*'Data Input'!$F$4</f>
        <v>3000</v>
      </c>
      <c r="D9" s="64">
        <f>('Data Input'!F30+100)*12</f>
        <v>4200</v>
      </c>
      <c r="E9" s="64">
        <f>12*'Data Input'!$H$4</f>
        <v>1200</v>
      </c>
      <c r="F9" s="66">
        <f>12*'Data Input'!$I$4</f>
        <v>720</v>
      </c>
      <c r="G9" s="64">
        <f>12*'Data Input'!$J$4</f>
        <v>2250</v>
      </c>
      <c r="H9" s="64">
        <f>12*'Data Input'!$K$4</f>
        <v>4800</v>
      </c>
      <c r="I9" s="64">
        <f>12*'Data Input'!$L$4</f>
        <v>1200</v>
      </c>
      <c r="J9" s="64">
        <f>12*'Data Input'!$M$4</f>
        <v>1200</v>
      </c>
      <c r="K9" s="64">
        <f>12*'Data Input'!$N$4</f>
        <v>2400</v>
      </c>
      <c r="L9" s="66">
        <f>12*'Data Input'!$O$4</f>
        <v>2400</v>
      </c>
      <c r="M9" s="64">
        <f>12*'Data Input'!$P$4</f>
        <v>1200</v>
      </c>
      <c r="N9" s="64">
        <f>12*'Data Input'!$Q$4</f>
        <v>1200</v>
      </c>
      <c r="O9" s="64">
        <f>12*'Data Input'!$R$4</f>
        <v>1200</v>
      </c>
      <c r="P9" s="64">
        <f>12*'Data Input'!$S$4</f>
        <v>2400</v>
      </c>
      <c r="Q9" s="64">
        <f>12*'Data Input'!$T$4</f>
        <v>1200</v>
      </c>
      <c r="R9" s="66">
        <f>SUM(Table12[[#This Row],[Utilities]:[Misc. Housing costs]])</f>
        <v>34170</v>
      </c>
      <c r="S9" s="65">
        <f>Table12[[#This Row],[Total]]/12</f>
        <v>2847.5</v>
      </c>
    </row>
    <row r="10" spans="1:19">
      <c r="A10" s="21">
        <f t="shared" si="0"/>
        <v>2023</v>
      </c>
      <c r="B10" s="64">
        <f>12*'Data Input'!$E$4</f>
        <v>3600</v>
      </c>
      <c r="C10" s="64">
        <f>12*'Data Input'!$F$4</f>
        <v>3000</v>
      </c>
      <c r="D10" s="64">
        <f>('Data Input'!F31+100)*12</f>
        <v>1200</v>
      </c>
      <c r="E10" s="64">
        <f>12*'Data Input'!$H$4</f>
        <v>1200</v>
      </c>
      <c r="F10" s="66">
        <f>12*'Data Input'!$I$4</f>
        <v>720</v>
      </c>
      <c r="G10" s="64">
        <f>12*'Data Input'!$J$4</f>
        <v>2250</v>
      </c>
      <c r="H10" s="64">
        <f>12*'Data Input'!$K$4</f>
        <v>4800</v>
      </c>
      <c r="I10" s="64">
        <f>12*'Data Input'!$L$4</f>
        <v>1200</v>
      </c>
      <c r="J10" s="64">
        <f>12*'Data Input'!$M$4</f>
        <v>1200</v>
      </c>
      <c r="K10" s="64">
        <f>12*'Data Input'!$N$4</f>
        <v>2400</v>
      </c>
      <c r="L10" s="66">
        <f>12*'Data Input'!$O$4</f>
        <v>2400</v>
      </c>
      <c r="M10" s="64">
        <f>12*'Data Input'!$P$4</f>
        <v>1200</v>
      </c>
      <c r="N10" s="64">
        <f>12*'Data Input'!$Q$4</f>
        <v>1200</v>
      </c>
      <c r="O10" s="64">
        <f>12*'Data Input'!$R$4</f>
        <v>1200</v>
      </c>
      <c r="P10" s="64">
        <f>12*'Data Input'!$S$4</f>
        <v>2400</v>
      </c>
      <c r="Q10" s="64">
        <f>12*'Data Input'!$T$4</f>
        <v>1200</v>
      </c>
      <c r="R10" s="66">
        <f>SUM(Table12[[#This Row],[Utilities]:[Misc. Housing costs]])</f>
        <v>31170</v>
      </c>
      <c r="S10" s="65">
        <f>Table12[[#This Row],[Total]]/12</f>
        <v>2597.5</v>
      </c>
    </row>
    <row r="11" spans="1:19">
      <c r="A11" s="21">
        <f t="shared" si="0"/>
        <v>2024</v>
      </c>
      <c r="B11" s="64">
        <f>12*'Data Input'!$E$4</f>
        <v>3600</v>
      </c>
      <c r="C11" s="64">
        <f>12*'Data Input'!$F$4</f>
        <v>3000</v>
      </c>
      <c r="D11" s="64">
        <f>('Data Input'!F32+100)*12</f>
        <v>1200</v>
      </c>
      <c r="E11" s="64">
        <f>12*'Data Input'!$H$4</f>
        <v>1200</v>
      </c>
      <c r="F11" s="66">
        <f>12*'Data Input'!$I$4</f>
        <v>720</v>
      </c>
      <c r="G11" s="64">
        <f>12*'Data Input'!$J$4</f>
        <v>2250</v>
      </c>
      <c r="H11" s="64">
        <f>12*'Data Input'!$K$4</f>
        <v>4800</v>
      </c>
      <c r="I11" s="64">
        <f>12*'Data Input'!$L$4</f>
        <v>1200</v>
      </c>
      <c r="J11" s="64">
        <f>12*'Data Input'!$M$4</f>
        <v>1200</v>
      </c>
      <c r="K11" s="64">
        <f>12*'Data Input'!$N$4</f>
        <v>2400</v>
      </c>
      <c r="L11" s="66">
        <f>12*'Data Input'!$O$4</f>
        <v>2400</v>
      </c>
      <c r="M11" s="64">
        <f>12*'Data Input'!$P$4</f>
        <v>1200</v>
      </c>
      <c r="N11" s="64">
        <f>12*'Data Input'!$Q$4</f>
        <v>1200</v>
      </c>
      <c r="O11" s="64">
        <f>12*'Data Input'!$R$4</f>
        <v>1200</v>
      </c>
      <c r="P11" s="64">
        <f>12*'Data Input'!$S$4</f>
        <v>2400</v>
      </c>
      <c r="Q11" s="64">
        <f>12*'Data Input'!$T$4</f>
        <v>1200</v>
      </c>
      <c r="R11" s="66">
        <f>SUM(Table12[[#This Row],[Utilities]:[Misc. Housing costs]])</f>
        <v>31170</v>
      </c>
      <c r="S11" s="65">
        <f>Table12[[#This Row],[Total]]/12</f>
        <v>2597.5</v>
      </c>
    </row>
    <row r="12" spans="1:19">
      <c r="A12" s="21">
        <f t="shared" si="0"/>
        <v>2025</v>
      </c>
      <c r="B12" s="64">
        <f>12*'Data Input'!$E$4</f>
        <v>3600</v>
      </c>
      <c r="C12" s="64">
        <f>12*'Data Input'!$F$4</f>
        <v>3000</v>
      </c>
      <c r="D12" s="64">
        <f>('Data Input'!F33+100)*12</f>
        <v>1200</v>
      </c>
      <c r="E12" s="64">
        <f>12*'Data Input'!$H$4</f>
        <v>1200</v>
      </c>
      <c r="F12" s="66">
        <f>12*'Data Input'!$I$4</f>
        <v>720</v>
      </c>
      <c r="G12" s="64">
        <f>12*'Data Input'!$J$4</f>
        <v>2250</v>
      </c>
      <c r="H12" s="64">
        <f>12*'Data Input'!$K$4</f>
        <v>4800</v>
      </c>
      <c r="I12" s="64">
        <f>12*'Data Input'!$L$4</f>
        <v>1200</v>
      </c>
      <c r="J12" s="64">
        <f>12*'Data Input'!$M$4</f>
        <v>1200</v>
      </c>
      <c r="K12" s="64">
        <f>12*'Data Input'!$N$4</f>
        <v>2400</v>
      </c>
      <c r="L12" s="66">
        <f>12*'Data Input'!$O$4</f>
        <v>2400</v>
      </c>
      <c r="M12" s="64">
        <f>12*'Data Input'!$P$4</f>
        <v>1200</v>
      </c>
      <c r="N12" s="64">
        <f>12*'Data Input'!$Q$4</f>
        <v>1200</v>
      </c>
      <c r="O12" s="64">
        <f>12*'Data Input'!$R$4</f>
        <v>1200</v>
      </c>
      <c r="P12" s="64">
        <f>12*'Data Input'!$S$4</f>
        <v>2400</v>
      </c>
      <c r="Q12" s="64">
        <f>12*'Data Input'!$T$4</f>
        <v>1200</v>
      </c>
      <c r="R12" s="66">
        <f>SUM(Table12[[#This Row],[Utilities]:[Misc. Housing costs]])</f>
        <v>31170</v>
      </c>
      <c r="S12" s="65">
        <f>Table12[[#This Row],[Total]]/12</f>
        <v>2597.5</v>
      </c>
    </row>
    <row r="13" spans="1:19">
      <c r="A13" s="21">
        <f t="shared" si="0"/>
        <v>2026</v>
      </c>
      <c r="B13" s="64">
        <f>12*'Data Input'!$E$4</f>
        <v>3600</v>
      </c>
      <c r="C13" s="64">
        <f>12*'Data Input'!$F$4</f>
        <v>3000</v>
      </c>
      <c r="D13" s="64">
        <f>('Data Input'!F34+100)*12</f>
        <v>1200</v>
      </c>
      <c r="E13" s="64">
        <f>12*'Data Input'!$H$4</f>
        <v>1200</v>
      </c>
      <c r="F13" s="66">
        <f>12*'Data Input'!$I$4</f>
        <v>720</v>
      </c>
      <c r="G13" s="64">
        <f>12*'Data Input'!$J$4</f>
        <v>2250</v>
      </c>
      <c r="H13" s="64">
        <f>12*'Data Input'!$K$4</f>
        <v>4800</v>
      </c>
      <c r="I13" s="64">
        <f>12*'Data Input'!$L$4</f>
        <v>1200</v>
      </c>
      <c r="J13" s="64">
        <f>12*'Data Input'!$M$4</f>
        <v>1200</v>
      </c>
      <c r="K13" s="64">
        <f>12*'Data Input'!$N$4</f>
        <v>2400</v>
      </c>
      <c r="L13" s="66">
        <f>12*'Data Input'!$O$4</f>
        <v>2400</v>
      </c>
      <c r="M13" s="64">
        <f>12*'Data Input'!$P$4</f>
        <v>1200</v>
      </c>
      <c r="N13" s="64">
        <f>12*'Data Input'!$Q$4</f>
        <v>1200</v>
      </c>
      <c r="O13" s="64">
        <f>12*'Data Input'!$R$4</f>
        <v>1200</v>
      </c>
      <c r="P13" s="64">
        <f>12*'Data Input'!$S$4</f>
        <v>2400</v>
      </c>
      <c r="Q13" s="64">
        <f>12*'Data Input'!$T$4</f>
        <v>1200</v>
      </c>
      <c r="R13" s="66">
        <f>SUM(Table12[[#This Row],[Utilities]:[Misc. Housing costs]])</f>
        <v>31170</v>
      </c>
      <c r="S13" s="65">
        <f>Table12[[#This Row],[Total]]/12</f>
        <v>2597.5</v>
      </c>
    </row>
    <row r="14" spans="1:19">
      <c r="A14" s="21">
        <f t="shared" si="0"/>
        <v>2027</v>
      </c>
      <c r="B14" s="64">
        <f>12*'Data Input'!$E$4</f>
        <v>3600</v>
      </c>
      <c r="C14" s="64">
        <f>12*'Data Input'!$F$4</f>
        <v>3000</v>
      </c>
      <c r="D14" s="64">
        <f>('Data Input'!F35+100)*12</f>
        <v>1200</v>
      </c>
      <c r="E14" s="64">
        <f>12*'Data Input'!$H$4</f>
        <v>1200</v>
      </c>
      <c r="F14" s="66">
        <f>12*'Data Input'!$I$4</f>
        <v>720</v>
      </c>
      <c r="G14" s="64">
        <f>12*'Data Input'!$J$4</f>
        <v>2250</v>
      </c>
      <c r="H14" s="64">
        <f>12*'Data Input'!$K$4</f>
        <v>4800</v>
      </c>
      <c r="I14" s="64">
        <f>12*'Data Input'!$L$4</f>
        <v>1200</v>
      </c>
      <c r="J14" s="64">
        <f>12*'Data Input'!$M$4</f>
        <v>1200</v>
      </c>
      <c r="K14" s="64">
        <f>12*'Data Input'!$N$4</f>
        <v>2400</v>
      </c>
      <c r="L14" s="66">
        <f>12*'Data Input'!$O$4</f>
        <v>2400</v>
      </c>
      <c r="M14" s="64">
        <f>12*'Data Input'!$P$4</f>
        <v>1200</v>
      </c>
      <c r="N14" s="64">
        <f>12*'Data Input'!$Q$4</f>
        <v>1200</v>
      </c>
      <c r="O14" s="64">
        <f>12*'Data Input'!$R$4</f>
        <v>1200</v>
      </c>
      <c r="P14" s="64">
        <f>12*'Data Input'!$S$4</f>
        <v>2400</v>
      </c>
      <c r="Q14" s="64">
        <f>12*'Data Input'!$T$4</f>
        <v>1200</v>
      </c>
      <c r="R14" s="66">
        <f>SUM(Table12[[#This Row],[Utilities]:[Misc. Housing costs]])</f>
        <v>31170</v>
      </c>
      <c r="S14" s="65">
        <f>Table12[[#This Row],[Total]]/12</f>
        <v>2597.5</v>
      </c>
    </row>
    <row r="15" spans="1:19">
      <c r="A15" s="21">
        <f t="shared" si="0"/>
        <v>2028</v>
      </c>
      <c r="B15" s="64">
        <f>12*'Data Input'!$E$4</f>
        <v>3600</v>
      </c>
      <c r="C15" s="64">
        <f>12*'Data Input'!$F$4</f>
        <v>3000</v>
      </c>
      <c r="D15" s="64">
        <f>('Data Input'!F36+100)*12</f>
        <v>1200</v>
      </c>
      <c r="E15" s="64">
        <f>12*'Data Input'!$H$4</f>
        <v>1200</v>
      </c>
      <c r="F15" s="66">
        <f>12*'Data Input'!$I$4</f>
        <v>720</v>
      </c>
      <c r="G15" s="64">
        <f>12*'Data Input'!$J$4</f>
        <v>2250</v>
      </c>
      <c r="H15" s="64">
        <f>12*'Data Input'!$K$4</f>
        <v>4800</v>
      </c>
      <c r="I15" s="64">
        <f>12*'Data Input'!$L$4</f>
        <v>1200</v>
      </c>
      <c r="J15" s="64">
        <f>12*'Data Input'!$M$4</f>
        <v>1200</v>
      </c>
      <c r="K15" s="64">
        <f>12*'Data Input'!$N$4</f>
        <v>2400</v>
      </c>
      <c r="L15" s="66">
        <f>12*'Data Input'!$O$4</f>
        <v>2400</v>
      </c>
      <c r="M15" s="64">
        <f>12*'Data Input'!$P$4</f>
        <v>1200</v>
      </c>
      <c r="N15" s="64">
        <f>12*'Data Input'!$Q$4</f>
        <v>1200</v>
      </c>
      <c r="O15" s="64">
        <f>12*'Data Input'!$R$4</f>
        <v>1200</v>
      </c>
      <c r="P15" s="64">
        <f>12*'Data Input'!$S$4</f>
        <v>2400</v>
      </c>
      <c r="Q15" s="64">
        <f>12*'Data Input'!$T$4</f>
        <v>1200</v>
      </c>
      <c r="R15" s="66">
        <f>SUM(Table12[[#This Row],[Utilities]:[Misc. Housing costs]])</f>
        <v>31170</v>
      </c>
      <c r="S15" s="65">
        <f>Table12[[#This Row],[Total]]/12</f>
        <v>2597.5</v>
      </c>
    </row>
    <row r="16" spans="1:19">
      <c r="A16" s="21">
        <f t="shared" si="0"/>
        <v>2029</v>
      </c>
      <c r="B16" s="64">
        <f>12*'Data Input'!$E$4</f>
        <v>3600</v>
      </c>
      <c r="C16" s="64">
        <f>12*'Data Input'!$F$4</f>
        <v>3000</v>
      </c>
      <c r="D16" s="64">
        <f>('Data Input'!F37+100)*12</f>
        <v>1200</v>
      </c>
      <c r="E16" s="64">
        <f>12*'Data Input'!$H$4</f>
        <v>1200</v>
      </c>
      <c r="F16" s="66">
        <f>12*'Data Input'!$I$4</f>
        <v>720</v>
      </c>
      <c r="G16" s="64">
        <f>12*'Data Input'!$J$4</f>
        <v>2250</v>
      </c>
      <c r="H16" s="64">
        <f>12*'Data Input'!$K$4</f>
        <v>4800</v>
      </c>
      <c r="I16" s="64">
        <f>12*'Data Input'!$L$4</f>
        <v>1200</v>
      </c>
      <c r="J16" s="64">
        <f>12*'Data Input'!$M$4</f>
        <v>1200</v>
      </c>
      <c r="K16" s="64">
        <f>12*'Data Input'!$N$4</f>
        <v>2400</v>
      </c>
      <c r="L16" s="66">
        <f>12*'Data Input'!$O$4</f>
        <v>2400</v>
      </c>
      <c r="M16" s="64">
        <f>12*'Data Input'!$P$4</f>
        <v>1200</v>
      </c>
      <c r="N16" s="64">
        <f>12*'Data Input'!$Q$4</f>
        <v>1200</v>
      </c>
      <c r="O16" s="64">
        <f>12*'Data Input'!$R$4</f>
        <v>1200</v>
      </c>
      <c r="P16" s="64">
        <f>12*'Data Input'!$S$4</f>
        <v>2400</v>
      </c>
      <c r="Q16" s="64">
        <f>12*'Data Input'!$T$4</f>
        <v>1200</v>
      </c>
      <c r="R16" s="66">
        <f>SUM(Table12[[#This Row],[Utilities]:[Misc. Housing costs]])</f>
        <v>31170</v>
      </c>
      <c r="S16" s="65">
        <f>Table12[[#This Row],[Total]]/12</f>
        <v>2597.5</v>
      </c>
    </row>
    <row r="17" spans="1:19">
      <c r="A17" s="21">
        <f t="shared" si="0"/>
        <v>2030</v>
      </c>
      <c r="B17" s="64">
        <f>12*'Data Input'!$E$4</f>
        <v>3600</v>
      </c>
      <c r="C17" s="64">
        <f>12*'Data Input'!$F$4</f>
        <v>3000</v>
      </c>
      <c r="D17" s="64">
        <f>('Data Input'!F38+100)*12</f>
        <v>1200</v>
      </c>
      <c r="E17" s="64">
        <f>12*'Data Input'!$H$4</f>
        <v>1200</v>
      </c>
      <c r="F17" s="66">
        <f>12*'Data Input'!$I$4</f>
        <v>720</v>
      </c>
      <c r="G17" s="64">
        <f>12*'Data Input'!$J$4</f>
        <v>2250</v>
      </c>
      <c r="H17" s="64">
        <f>12*'Data Input'!$K$4</f>
        <v>4800</v>
      </c>
      <c r="I17" s="64">
        <f>12*'Data Input'!$L$4</f>
        <v>1200</v>
      </c>
      <c r="J17" s="64">
        <f>12*'Data Input'!$M$4</f>
        <v>1200</v>
      </c>
      <c r="K17" s="64">
        <f>12*'Data Input'!$N$4</f>
        <v>2400</v>
      </c>
      <c r="L17" s="66">
        <f>12*'Data Input'!$O$4</f>
        <v>2400</v>
      </c>
      <c r="M17" s="64">
        <f>12*'Data Input'!$P$4</f>
        <v>1200</v>
      </c>
      <c r="N17" s="64">
        <f>12*'Data Input'!$Q$4</f>
        <v>1200</v>
      </c>
      <c r="O17" s="64">
        <f>12*'Data Input'!$R$4</f>
        <v>1200</v>
      </c>
      <c r="P17" s="64">
        <f>12*'Data Input'!$S$4</f>
        <v>2400</v>
      </c>
      <c r="Q17" s="64">
        <f>12*'Data Input'!$T$4</f>
        <v>1200</v>
      </c>
      <c r="R17" s="66">
        <f>SUM(Table12[[#This Row],[Utilities]:[Misc. Housing costs]])</f>
        <v>31170</v>
      </c>
      <c r="S17" s="65">
        <f>Table12[[#This Row],[Total]]/12</f>
        <v>2597.5</v>
      </c>
    </row>
    <row r="18" spans="1:19">
      <c r="A18" s="21">
        <f t="shared" si="0"/>
        <v>2031</v>
      </c>
      <c r="B18" s="64">
        <f>12*'Data Input'!$E$4</f>
        <v>3600</v>
      </c>
      <c r="C18" s="64">
        <f>12*'Data Input'!$F$4</f>
        <v>3000</v>
      </c>
      <c r="D18" s="64">
        <f>('Data Input'!F39+100)*12</f>
        <v>1200</v>
      </c>
      <c r="E18" s="64">
        <f>12*'Data Input'!$H$4</f>
        <v>1200</v>
      </c>
      <c r="F18" s="66">
        <f>12*'Data Input'!$I$4</f>
        <v>720</v>
      </c>
      <c r="G18" s="64">
        <f>12*'Data Input'!$J$4</f>
        <v>2250</v>
      </c>
      <c r="H18" s="64">
        <f>12*'Data Input'!$K$4</f>
        <v>4800</v>
      </c>
      <c r="I18" s="64">
        <f>12*'Data Input'!$L$4</f>
        <v>1200</v>
      </c>
      <c r="J18" s="64">
        <f>12*'Data Input'!$M$4</f>
        <v>1200</v>
      </c>
      <c r="K18" s="64">
        <f>12*'Data Input'!$N$4</f>
        <v>2400</v>
      </c>
      <c r="L18" s="66">
        <f>12*'Data Input'!$O$4</f>
        <v>2400</v>
      </c>
      <c r="M18" s="64">
        <f>12*'Data Input'!$P$4</f>
        <v>1200</v>
      </c>
      <c r="N18" s="64">
        <f>12*'Data Input'!$Q$4</f>
        <v>1200</v>
      </c>
      <c r="O18" s="64">
        <f>12*'Data Input'!$R$4</f>
        <v>1200</v>
      </c>
      <c r="P18" s="64">
        <f>12*'Data Input'!$S$4</f>
        <v>2400</v>
      </c>
      <c r="Q18" s="64">
        <f>12*'Data Input'!$T$4</f>
        <v>1200</v>
      </c>
      <c r="R18" s="66">
        <f>SUM(Table12[[#This Row],[Utilities]:[Misc. Housing costs]])</f>
        <v>31170</v>
      </c>
      <c r="S18" s="65">
        <f>Table12[[#This Row],[Total]]/12</f>
        <v>2597.5</v>
      </c>
    </row>
    <row r="19" spans="1:19">
      <c r="A19" s="21">
        <f t="shared" si="0"/>
        <v>2032</v>
      </c>
      <c r="B19" s="64">
        <f>12*'Data Input'!$E$4</f>
        <v>3600</v>
      </c>
      <c r="C19" s="64">
        <f>12*'Data Input'!$F$4</f>
        <v>3000</v>
      </c>
      <c r="D19" s="64">
        <f>('Data Input'!F40+100)*12</f>
        <v>1200</v>
      </c>
      <c r="E19" s="64">
        <f>12*'Data Input'!$H$4</f>
        <v>1200</v>
      </c>
      <c r="F19" s="66">
        <f>12*'Data Input'!$I$4</f>
        <v>720</v>
      </c>
      <c r="G19" s="64">
        <f>12*'Data Input'!$J$4</f>
        <v>2250</v>
      </c>
      <c r="H19" s="64">
        <f>12*'Data Input'!$K$4</f>
        <v>4800</v>
      </c>
      <c r="I19" s="64">
        <f>12*'Data Input'!$L$4</f>
        <v>1200</v>
      </c>
      <c r="J19" s="64">
        <f>12*'Data Input'!$M$4</f>
        <v>1200</v>
      </c>
      <c r="K19" s="64">
        <f>12*'Data Input'!$N$4</f>
        <v>2400</v>
      </c>
      <c r="L19" s="66">
        <f>12*'Data Input'!$O$4</f>
        <v>2400</v>
      </c>
      <c r="M19" s="64">
        <f>12*'Data Input'!$P$4</f>
        <v>1200</v>
      </c>
      <c r="N19" s="64">
        <f>12*'Data Input'!$Q$4</f>
        <v>1200</v>
      </c>
      <c r="O19" s="64">
        <f>12*'Data Input'!$R$4</f>
        <v>1200</v>
      </c>
      <c r="P19" s="64">
        <f>12*'Data Input'!$S$4</f>
        <v>2400</v>
      </c>
      <c r="Q19" s="64">
        <f>12*'Data Input'!$T$4</f>
        <v>1200</v>
      </c>
      <c r="R19" s="66">
        <f>SUM(Table12[[#This Row],[Utilities]:[Misc. Housing costs]])</f>
        <v>31170</v>
      </c>
      <c r="S19" s="65">
        <f>Table12[[#This Row],[Total]]/12</f>
        <v>2597.5</v>
      </c>
    </row>
    <row r="20" spans="1:19">
      <c r="A20" s="21">
        <f t="shared" si="0"/>
        <v>2033</v>
      </c>
      <c r="B20" s="64">
        <f>12*'Data Input'!$E$4</f>
        <v>3600</v>
      </c>
      <c r="C20" s="64">
        <f>12*'Data Input'!$F$4</f>
        <v>3000</v>
      </c>
      <c r="D20" s="64">
        <f>('Data Input'!F41+100)*12</f>
        <v>1200</v>
      </c>
      <c r="E20" s="64">
        <f>12*'Data Input'!$H$4</f>
        <v>1200</v>
      </c>
      <c r="F20" s="66">
        <f>12*'Data Input'!$I$4</f>
        <v>720</v>
      </c>
      <c r="G20" s="64">
        <f>12*'Data Input'!$J$4</f>
        <v>2250</v>
      </c>
      <c r="H20" s="64">
        <f>12*'Data Input'!$K$4</f>
        <v>4800</v>
      </c>
      <c r="I20" s="64">
        <f>12*'Data Input'!$L$4</f>
        <v>1200</v>
      </c>
      <c r="J20" s="64">
        <f>12*'Data Input'!$M$4</f>
        <v>1200</v>
      </c>
      <c r="K20" s="64">
        <f>12*'Data Input'!$N$4</f>
        <v>2400</v>
      </c>
      <c r="L20" s="66">
        <f>12*'Data Input'!$O$4</f>
        <v>2400</v>
      </c>
      <c r="M20" s="64">
        <f>12*'Data Input'!$P$4</f>
        <v>1200</v>
      </c>
      <c r="N20" s="64">
        <f>12*'Data Input'!$Q$4</f>
        <v>1200</v>
      </c>
      <c r="O20" s="64">
        <f>12*'Data Input'!$R$4</f>
        <v>1200</v>
      </c>
      <c r="P20" s="64">
        <f>12*'Data Input'!$S$4</f>
        <v>2400</v>
      </c>
      <c r="Q20" s="64">
        <f>12*'Data Input'!$T$4</f>
        <v>1200</v>
      </c>
      <c r="R20" s="66">
        <f>SUM(Table12[[#This Row],[Utilities]:[Misc. Housing costs]])</f>
        <v>31170</v>
      </c>
      <c r="S20" s="65">
        <f>Table12[[#This Row],[Total]]/12</f>
        <v>2597.5</v>
      </c>
    </row>
    <row r="21" spans="1:19">
      <c r="A21" s="21">
        <f t="shared" si="0"/>
        <v>2034</v>
      </c>
      <c r="B21" s="64">
        <f>12*'Data Input'!$E$4</f>
        <v>3600</v>
      </c>
      <c r="C21" s="64">
        <f>12*'Data Input'!$F$4</f>
        <v>3000</v>
      </c>
      <c r="D21" s="64">
        <f>('Data Input'!F42+100)*12</f>
        <v>1200</v>
      </c>
      <c r="E21" s="64">
        <f>12*'Data Input'!$H$4</f>
        <v>1200</v>
      </c>
      <c r="F21" s="66">
        <f>12*'Data Input'!$I$4</f>
        <v>720</v>
      </c>
      <c r="G21" s="64">
        <f>12*'Data Input'!$J$4</f>
        <v>2250</v>
      </c>
      <c r="H21" s="64">
        <f>12*'Data Input'!$K$4</f>
        <v>4800</v>
      </c>
      <c r="I21" s="64">
        <f>12*'Data Input'!$L$4</f>
        <v>1200</v>
      </c>
      <c r="J21" s="64">
        <f>12*'Data Input'!$M$4</f>
        <v>1200</v>
      </c>
      <c r="K21" s="64">
        <f>12*'Data Input'!$N$4</f>
        <v>2400</v>
      </c>
      <c r="L21" s="66">
        <f>12*'Data Input'!$O$4</f>
        <v>2400</v>
      </c>
      <c r="M21" s="64">
        <f>12*'Data Input'!$P$4</f>
        <v>1200</v>
      </c>
      <c r="N21" s="64">
        <f>12*'Data Input'!$Q$4</f>
        <v>1200</v>
      </c>
      <c r="O21" s="64">
        <f>12*'Data Input'!$R$4</f>
        <v>1200</v>
      </c>
      <c r="P21" s="64">
        <f>12*'Data Input'!$S$4</f>
        <v>2400</v>
      </c>
      <c r="Q21" s="64">
        <f>12*'Data Input'!$T$4</f>
        <v>1200</v>
      </c>
      <c r="R21" s="66">
        <f>SUM(Table12[[#This Row],[Utilities]:[Misc. Housing costs]])</f>
        <v>31170</v>
      </c>
      <c r="S21" s="65">
        <f>Table12[[#This Row],[Total]]/12</f>
        <v>2597.5</v>
      </c>
    </row>
    <row r="22" spans="1:19">
      <c r="A22" s="21">
        <f t="shared" si="0"/>
        <v>2035</v>
      </c>
      <c r="B22" s="64">
        <f>12*'Data Input'!$E$4</f>
        <v>3600</v>
      </c>
      <c r="C22" s="64">
        <f>12*'Data Input'!$F$4</f>
        <v>3000</v>
      </c>
      <c r="D22" s="64">
        <f>('Data Input'!F43+100)*12</f>
        <v>1200</v>
      </c>
      <c r="E22" s="64">
        <f>12*'Data Input'!$H$4</f>
        <v>1200</v>
      </c>
      <c r="F22" s="66">
        <f>12*'Data Input'!$I$4</f>
        <v>720</v>
      </c>
      <c r="G22" s="64">
        <f>12*'Data Input'!$J$4</f>
        <v>2250</v>
      </c>
      <c r="H22" s="64">
        <f>12*'Data Input'!$K$4</f>
        <v>4800</v>
      </c>
      <c r="I22" s="64">
        <f>12*'Data Input'!$L$4</f>
        <v>1200</v>
      </c>
      <c r="J22" s="64">
        <f>12*'Data Input'!$M$4</f>
        <v>1200</v>
      </c>
      <c r="K22" s="64">
        <f>12*'Data Input'!$N$4</f>
        <v>2400</v>
      </c>
      <c r="L22" s="66">
        <f>12*'Data Input'!$O$4</f>
        <v>2400</v>
      </c>
      <c r="M22" s="64">
        <f>12*'Data Input'!$P$4</f>
        <v>1200</v>
      </c>
      <c r="N22" s="64">
        <f>12*'Data Input'!$Q$4</f>
        <v>1200</v>
      </c>
      <c r="O22" s="64">
        <f>12*'Data Input'!$R$4</f>
        <v>1200</v>
      </c>
      <c r="P22" s="64">
        <f>12*'Data Input'!$S$4</f>
        <v>2400</v>
      </c>
      <c r="Q22" s="64">
        <f>12*'Data Input'!$T$4</f>
        <v>1200</v>
      </c>
      <c r="R22" s="66">
        <f>SUM(Table12[[#This Row],[Utilities]:[Misc. Housing costs]])</f>
        <v>31170</v>
      </c>
      <c r="S22" s="65">
        <f>Table12[[#This Row],[Total]]/12</f>
        <v>2597.5</v>
      </c>
    </row>
    <row r="23" spans="1:19">
      <c r="A23" s="21">
        <f t="shared" si="0"/>
        <v>2036</v>
      </c>
      <c r="B23" s="64">
        <f>12*'Data Input'!$E$4</f>
        <v>3600</v>
      </c>
      <c r="C23" s="64">
        <f>12*'Data Input'!$F$4</f>
        <v>3000</v>
      </c>
      <c r="D23" s="64">
        <f>('Data Input'!F44+100)*12</f>
        <v>1200</v>
      </c>
      <c r="E23" s="64">
        <f>12*'Data Input'!$H$4</f>
        <v>1200</v>
      </c>
      <c r="F23" s="66">
        <f>12*'Data Input'!$I$4</f>
        <v>720</v>
      </c>
      <c r="G23" s="64">
        <f>12*'Data Input'!$J$4</f>
        <v>2250</v>
      </c>
      <c r="H23" s="64">
        <f>12*'Data Input'!$K$4</f>
        <v>4800</v>
      </c>
      <c r="I23" s="64">
        <f>12*'Data Input'!$L$4</f>
        <v>1200</v>
      </c>
      <c r="J23" s="64">
        <f>12*'Data Input'!$M$4</f>
        <v>1200</v>
      </c>
      <c r="K23" s="64">
        <f>12*'Data Input'!$N$4</f>
        <v>2400</v>
      </c>
      <c r="L23" s="66">
        <f>12*'Data Input'!$O$4</f>
        <v>2400</v>
      </c>
      <c r="M23" s="64">
        <f>12*'Data Input'!$P$4</f>
        <v>1200</v>
      </c>
      <c r="N23" s="64">
        <f>12*'Data Input'!$Q$4</f>
        <v>1200</v>
      </c>
      <c r="O23" s="64">
        <f>12*'Data Input'!$R$4</f>
        <v>1200</v>
      </c>
      <c r="P23" s="64">
        <f>12*'Data Input'!$S$4</f>
        <v>2400</v>
      </c>
      <c r="Q23" s="64">
        <f>12*'Data Input'!$T$4</f>
        <v>1200</v>
      </c>
      <c r="R23" s="66">
        <f>SUM(Table12[[#This Row],[Utilities]:[Misc. Housing costs]])</f>
        <v>31170</v>
      </c>
      <c r="S23" s="65">
        <f>Table12[[#This Row],[Total]]/12</f>
        <v>2597.5</v>
      </c>
    </row>
    <row r="24" spans="1:19">
      <c r="A24" s="21">
        <f t="shared" si="0"/>
        <v>2037</v>
      </c>
      <c r="B24" s="64">
        <f>12*'Data Input'!$E$4</f>
        <v>3600</v>
      </c>
      <c r="C24" s="64">
        <f>12*'Data Input'!$F$4</f>
        <v>3000</v>
      </c>
      <c r="D24" s="64">
        <f>('Data Input'!F45+100)*12</f>
        <v>1200</v>
      </c>
      <c r="E24" s="64">
        <f>12*'Data Input'!$H$4</f>
        <v>1200</v>
      </c>
      <c r="F24" s="66">
        <f>12*'Data Input'!$I$4</f>
        <v>720</v>
      </c>
      <c r="G24" s="64">
        <f>12*'Data Input'!$J$4</f>
        <v>2250</v>
      </c>
      <c r="H24" s="64">
        <f>12*'Data Input'!$K$4</f>
        <v>4800</v>
      </c>
      <c r="I24" s="64">
        <f>12*'Data Input'!$L$4</f>
        <v>1200</v>
      </c>
      <c r="J24" s="64">
        <f>12*'Data Input'!$M$4</f>
        <v>1200</v>
      </c>
      <c r="K24" s="64">
        <f>12*'Data Input'!$N$4</f>
        <v>2400</v>
      </c>
      <c r="L24" s="66">
        <f>12*'Data Input'!$O$4</f>
        <v>2400</v>
      </c>
      <c r="M24" s="64">
        <f>12*'Data Input'!$P$4</f>
        <v>1200</v>
      </c>
      <c r="N24" s="64">
        <f>12*'Data Input'!$Q$4</f>
        <v>1200</v>
      </c>
      <c r="O24" s="64">
        <f>12*'Data Input'!$R$4</f>
        <v>1200</v>
      </c>
      <c r="P24" s="64">
        <f>12*'Data Input'!$S$4</f>
        <v>2400</v>
      </c>
      <c r="Q24" s="64">
        <f>12*'Data Input'!$T$4</f>
        <v>1200</v>
      </c>
      <c r="R24" s="66">
        <f>SUM(Table12[[#This Row],[Utilities]:[Misc. Housing costs]])</f>
        <v>31170</v>
      </c>
      <c r="S24" s="65">
        <f>Table12[[#This Row],[Total]]/12</f>
        <v>2597.5</v>
      </c>
    </row>
    <row r="25" spans="1:19">
      <c r="A25" s="21">
        <f t="shared" si="0"/>
        <v>2038</v>
      </c>
      <c r="B25" s="64">
        <f>12*'Data Input'!$E$4</f>
        <v>3600</v>
      </c>
      <c r="C25" s="64">
        <f>12*'Data Input'!$F$4</f>
        <v>3000</v>
      </c>
      <c r="D25" s="64">
        <f>('Data Input'!F46+100)*12</f>
        <v>1200</v>
      </c>
      <c r="E25" s="64">
        <f>12*'Data Input'!$H$4</f>
        <v>1200</v>
      </c>
      <c r="F25" s="66">
        <f>12*'Data Input'!$I$4</f>
        <v>720</v>
      </c>
      <c r="G25" s="64">
        <f>12*'Data Input'!$J$4</f>
        <v>2250</v>
      </c>
      <c r="H25" s="64">
        <f>12*'Data Input'!$K$4</f>
        <v>4800</v>
      </c>
      <c r="I25" s="64">
        <f>12*'Data Input'!$L$4</f>
        <v>1200</v>
      </c>
      <c r="J25" s="64">
        <f>12*'Data Input'!$M$4</f>
        <v>1200</v>
      </c>
      <c r="K25" s="64">
        <f>12*'Data Input'!$N$4</f>
        <v>2400</v>
      </c>
      <c r="L25" s="66">
        <f>12*'Data Input'!$O$4</f>
        <v>2400</v>
      </c>
      <c r="M25" s="64">
        <f>12*'Data Input'!$P$4</f>
        <v>1200</v>
      </c>
      <c r="N25" s="64">
        <f>12*'Data Input'!$Q$4</f>
        <v>1200</v>
      </c>
      <c r="O25" s="64">
        <f>12*'Data Input'!$R$4</f>
        <v>1200</v>
      </c>
      <c r="P25" s="64">
        <f>12*'Data Input'!$S$4</f>
        <v>2400</v>
      </c>
      <c r="Q25" s="64">
        <f>12*'Data Input'!$T$4</f>
        <v>1200</v>
      </c>
      <c r="R25" s="66">
        <f>SUM(Table12[[#This Row],[Utilities]:[Misc. Housing costs]])</f>
        <v>31170</v>
      </c>
      <c r="S25" s="65">
        <f>Table12[[#This Row],[Total]]/12</f>
        <v>2597.5</v>
      </c>
    </row>
    <row r="26" spans="1:19">
      <c r="A26" s="21">
        <f t="shared" si="0"/>
        <v>2039</v>
      </c>
      <c r="B26" s="64">
        <f>12*'Data Input'!$E$4</f>
        <v>3600</v>
      </c>
      <c r="C26" s="64">
        <f>12*'Data Input'!$F$4</f>
        <v>3000</v>
      </c>
      <c r="D26" s="64">
        <f>('Data Input'!F47+100)*12</f>
        <v>1200</v>
      </c>
      <c r="E26" s="64">
        <f>12*'Data Input'!$H$4</f>
        <v>1200</v>
      </c>
      <c r="F26" s="66">
        <f>12*'Data Input'!$I$4</f>
        <v>720</v>
      </c>
      <c r="G26" s="64">
        <f>12*'Data Input'!$J$4</f>
        <v>2250</v>
      </c>
      <c r="H26" s="64">
        <f>12*'Data Input'!$K$4</f>
        <v>4800</v>
      </c>
      <c r="I26" s="64">
        <f>12*'Data Input'!$L$4</f>
        <v>1200</v>
      </c>
      <c r="J26" s="64">
        <f>12*'Data Input'!$M$4</f>
        <v>1200</v>
      </c>
      <c r="K26" s="64">
        <f>12*'Data Input'!$N$4</f>
        <v>2400</v>
      </c>
      <c r="L26" s="66">
        <f>12*'Data Input'!$O$4</f>
        <v>2400</v>
      </c>
      <c r="M26" s="64">
        <f>12*'Data Input'!$P$4</f>
        <v>1200</v>
      </c>
      <c r="N26" s="64">
        <f>12*'Data Input'!$Q$4</f>
        <v>1200</v>
      </c>
      <c r="O26" s="64">
        <f>12*'Data Input'!$R$4</f>
        <v>1200</v>
      </c>
      <c r="P26" s="64">
        <f>12*'Data Input'!$S$4</f>
        <v>2400</v>
      </c>
      <c r="Q26" s="64">
        <f>12*'Data Input'!$T$4</f>
        <v>1200</v>
      </c>
      <c r="R26" s="66">
        <f>SUM(Table12[[#This Row],[Utilities]:[Misc. Housing costs]])</f>
        <v>31170</v>
      </c>
      <c r="S26" s="65">
        <f>Table12[[#This Row],[Total]]/12</f>
        <v>2597.5</v>
      </c>
    </row>
    <row r="27" spans="1:19">
      <c r="A27" s="21">
        <f t="shared" si="0"/>
        <v>2040</v>
      </c>
      <c r="B27" s="64">
        <f>12*'Data Input'!$E$4</f>
        <v>3600</v>
      </c>
      <c r="C27" s="64">
        <f>12*'Data Input'!$F$4</f>
        <v>3000</v>
      </c>
      <c r="D27" s="64">
        <f>('Data Input'!F48+100)*12</f>
        <v>1200</v>
      </c>
      <c r="E27" s="64">
        <f>12*'Data Input'!$H$4</f>
        <v>1200</v>
      </c>
      <c r="F27" s="66">
        <f>12*'Data Input'!$I$4</f>
        <v>720</v>
      </c>
      <c r="G27" s="64">
        <f>12*'Data Input'!$J$4</f>
        <v>2250</v>
      </c>
      <c r="H27" s="64">
        <f>12*'Data Input'!$K$4</f>
        <v>4800</v>
      </c>
      <c r="I27" s="64">
        <f>12*'Data Input'!$L$4</f>
        <v>1200</v>
      </c>
      <c r="J27" s="64">
        <f>12*'Data Input'!$M$4</f>
        <v>1200</v>
      </c>
      <c r="K27" s="64">
        <f>12*'Data Input'!$N$4</f>
        <v>2400</v>
      </c>
      <c r="L27" s="66">
        <f>12*'Data Input'!$O$4</f>
        <v>2400</v>
      </c>
      <c r="M27" s="64">
        <f>12*'Data Input'!$P$4</f>
        <v>1200</v>
      </c>
      <c r="N27" s="64">
        <f>12*'Data Input'!$Q$4</f>
        <v>1200</v>
      </c>
      <c r="O27" s="64">
        <f>12*'Data Input'!$R$4</f>
        <v>1200</v>
      </c>
      <c r="P27" s="64">
        <f>12*'Data Input'!$S$4</f>
        <v>2400</v>
      </c>
      <c r="Q27" s="64">
        <f>12*'Data Input'!$T$4</f>
        <v>1200</v>
      </c>
      <c r="R27" s="66">
        <f>SUM(Table12[[#This Row],[Utilities]:[Misc. Housing costs]])</f>
        <v>31170</v>
      </c>
      <c r="S27" s="65">
        <f>Table12[[#This Row],[Total]]/12</f>
        <v>2597.5</v>
      </c>
    </row>
    <row r="28" spans="1:19">
      <c r="A28" s="21">
        <f t="shared" si="0"/>
        <v>2041</v>
      </c>
      <c r="B28" s="64">
        <f>12*'Data Input'!$E$4</f>
        <v>3600</v>
      </c>
      <c r="C28" s="64">
        <f>12*'Data Input'!$F$4</f>
        <v>3000</v>
      </c>
      <c r="D28" s="64">
        <f>('Data Input'!F49+100)*12</f>
        <v>1200</v>
      </c>
      <c r="E28" s="64">
        <f>12*'Data Input'!$H$4</f>
        <v>1200</v>
      </c>
      <c r="F28" s="66">
        <f>12*'Data Input'!$I$4</f>
        <v>720</v>
      </c>
      <c r="G28" s="64">
        <f>12*'Data Input'!$J$4</f>
        <v>2250</v>
      </c>
      <c r="H28" s="64">
        <f>12*'Data Input'!$K$4</f>
        <v>4800</v>
      </c>
      <c r="I28" s="64">
        <f>12*'Data Input'!$L$4</f>
        <v>1200</v>
      </c>
      <c r="J28" s="64">
        <f>12*'Data Input'!$M$4</f>
        <v>1200</v>
      </c>
      <c r="K28" s="64">
        <f>12*'Data Input'!$N$4</f>
        <v>2400</v>
      </c>
      <c r="L28" s="66">
        <f>12*'Data Input'!$O$4</f>
        <v>2400</v>
      </c>
      <c r="M28" s="64">
        <f>12*'Data Input'!$P$4</f>
        <v>1200</v>
      </c>
      <c r="N28" s="64">
        <f>12*'Data Input'!$Q$4</f>
        <v>1200</v>
      </c>
      <c r="O28" s="64">
        <f>12*'Data Input'!$R$4</f>
        <v>1200</v>
      </c>
      <c r="P28" s="64">
        <f>12*'Data Input'!$S$4</f>
        <v>2400</v>
      </c>
      <c r="Q28" s="64">
        <f>12*'Data Input'!$T$4</f>
        <v>1200</v>
      </c>
      <c r="R28" s="66">
        <f>SUM(Table12[[#This Row],[Utilities]:[Misc. Housing costs]])</f>
        <v>31170</v>
      </c>
      <c r="S28" s="65">
        <f>Table12[[#This Row],[Total]]/12</f>
        <v>2597.5</v>
      </c>
    </row>
    <row r="29" spans="1:19">
      <c r="A29" s="21">
        <f t="shared" si="0"/>
        <v>2042</v>
      </c>
      <c r="B29" s="64">
        <f>12*'Data Input'!$E$4</f>
        <v>3600</v>
      </c>
      <c r="C29" s="64">
        <f>12*'Data Input'!$F$4</f>
        <v>3000</v>
      </c>
      <c r="D29" s="64">
        <f>('Data Input'!F50+100)*12</f>
        <v>1200</v>
      </c>
      <c r="E29" s="64">
        <f>12*'Data Input'!$H$4</f>
        <v>1200</v>
      </c>
      <c r="F29" s="66">
        <f>12*'Data Input'!$I$4</f>
        <v>720</v>
      </c>
      <c r="G29" s="64">
        <f>12*'Data Input'!$J$4</f>
        <v>2250</v>
      </c>
      <c r="H29" s="64">
        <f>12*'Data Input'!$K$4</f>
        <v>4800</v>
      </c>
      <c r="I29" s="64">
        <f>12*'Data Input'!$L$4</f>
        <v>1200</v>
      </c>
      <c r="J29" s="64">
        <f>12*'Data Input'!$M$4</f>
        <v>1200</v>
      </c>
      <c r="K29" s="64">
        <f>12*'Data Input'!$N$4</f>
        <v>2400</v>
      </c>
      <c r="L29" s="66">
        <f>12*'Data Input'!$O$4</f>
        <v>2400</v>
      </c>
      <c r="M29" s="64">
        <f>12*'Data Input'!$P$4</f>
        <v>1200</v>
      </c>
      <c r="N29" s="64">
        <f>12*'Data Input'!$Q$4</f>
        <v>1200</v>
      </c>
      <c r="O29" s="64">
        <f>12*'Data Input'!$R$4</f>
        <v>1200</v>
      </c>
      <c r="P29" s="64">
        <f>12*'Data Input'!$S$4</f>
        <v>2400</v>
      </c>
      <c r="Q29" s="64">
        <f>12*'Data Input'!$T$4</f>
        <v>1200</v>
      </c>
      <c r="R29" s="66">
        <f>SUM(Table12[[#This Row],[Utilities]:[Misc. Housing costs]])</f>
        <v>31170</v>
      </c>
      <c r="S29" s="65">
        <f>Table12[[#This Row],[Total]]/12</f>
        <v>2597.5</v>
      </c>
    </row>
    <row r="30" spans="1:19">
      <c r="A30" s="21">
        <f t="shared" si="0"/>
        <v>2043</v>
      </c>
      <c r="B30" s="64">
        <f>12*'Data Input'!$E$4</f>
        <v>3600</v>
      </c>
      <c r="C30" s="64">
        <f>12*'Data Input'!$F$4</f>
        <v>3000</v>
      </c>
      <c r="D30" s="64">
        <f>('Data Input'!F51+100)*12</f>
        <v>1200</v>
      </c>
      <c r="E30" s="64">
        <f>12*'Data Input'!$H$4</f>
        <v>1200</v>
      </c>
      <c r="F30" s="66">
        <f>12*'Data Input'!$I$4</f>
        <v>720</v>
      </c>
      <c r="G30" s="64">
        <f>12*'Data Input'!$J$4</f>
        <v>2250</v>
      </c>
      <c r="H30" s="64">
        <f>12*'Data Input'!$K$4</f>
        <v>4800</v>
      </c>
      <c r="I30" s="64">
        <f>12*'Data Input'!$L$4</f>
        <v>1200</v>
      </c>
      <c r="J30" s="64">
        <f>12*'Data Input'!$M$4</f>
        <v>1200</v>
      </c>
      <c r="K30" s="64">
        <f>12*'Data Input'!$N$4</f>
        <v>2400</v>
      </c>
      <c r="L30" s="66">
        <f>12*'Data Input'!$O$4</f>
        <v>2400</v>
      </c>
      <c r="M30" s="64">
        <f>12*'Data Input'!$P$4</f>
        <v>1200</v>
      </c>
      <c r="N30" s="64">
        <f>12*'Data Input'!$Q$4</f>
        <v>1200</v>
      </c>
      <c r="O30" s="64">
        <f>12*'Data Input'!$R$4</f>
        <v>1200</v>
      </c>
      <c r="P30" s="64">
        <f>12*'Data Input'!$S$4</f>
        <v>2400</v>
      </c>
      <c r="Q30" s="64">
        <f>12*'Data Input'!$T$4</f>
        <v>1200</v>
      </c>
      <c r="R30" s="66">
        <f>SUM(Table12[[#This Row],[Utilities]:[Misc. Housing costs]])</f>
        <v>31170</v>
      </c>
      <c r="S30" s="65">
        <f>Table12[[#This Row],[Total]]/12</f>
        <v>2597.5</v>
      </c>
    </row>
    <row r="31" spans="1:19">
      <c r="A31" s="21">
        <f t="shared" si="0"/>
        <v>2044</v>
      </c>
      <c r="B31" s="64">
        <f>12*'Data Input'!$E$4</f>
        <v>3600</v>
      </c>
      <c r="C31" s="64">
        <f>12*'Data Input'!$F$4</f>
        <v>3000</v>
      </c>
      <c r="D31" s="64">
        <f>('Data Input'!F52+100)*12</f>
        <v>1200</v>
      </c>
      <c r="E31" s="64">
        <f>12*'Data Input'!$H$4</f>
        <v>1200</v>
      </c>
      <c r="F31" s="66">
        <f>12*'Data Input'!$I$4</f>
        <v>720</v>
      </c>
      <c r="G31" s="64">
        <f>12*'Data Input'!$J$4</f>
        <v>2250</v>
      </c>
      <c r="H31" s="64">
        <f>12*'Data Input'!$K$4</f>
        <v>4800</v>
      </c>
      <c r="I31" s="64">
        <f>12*'Data Input'!$L$4</f>
        <v>1200</v>
      </c>
      <c r="J31" s="64">
        <f>12*'Data Input'!$M$4</f>
        <v>1200</v>
      </c>
      <c r="K31" s="64">
        <f>12*'Data Input'!$N$4</f>
        <v>2400</v>
      </c>
      <c r="L31" s="66">
        <f>12*'Data Input'!$O$4</f>
        <v>2400</v>
      </c>
      <c r="M31" s="64">
        <f>12*'Data Input'!$P$4</f>
        <v>1200</v>
      </c>
      <c r="N31" s="64">
        <f>12*'Data Input'!$Q$4</f>
        <v>1200</v>
      </c>
      <c r="O31" s="64">
        <f>12*'Data Input'!$R$4</f>
        <v>1200</v>
      </c>
      <c r="P31" s="64">
        <f>12*'Data Input'!$S$4</f>
        <v>2400</v>
      </c>
      <c r="Q31" s="64">
        <f>12*'Data Input'!$T$4</f>
        <v>1200</v>
      </c>
      <c r="R31" s="66">
        <f>SUM(Table12[[#This Row],[Utilities]:[Misc. Housing costs]])</f>
        <v>31170</v>
      </c>
      <c r="S31" s="65">
        <f>Table12[[#This Row],[Total]]/12</f>
        <v>2597.5</v>
      </c>
    </row>
    <row r="32" spans="1:19">
      <c r="A32" s="21">
        <f t="shared" si="0"/>
        <v>2045</v>
      </c>
      <c r="B32" s="64">
        <f>12*'Data Input'!$E$4</f>
        <v>3600</v>
      </c>
      <c r="C32" s="64">
        <f>12*'Data Input'!$F$4</f>
        <v>3000</v>
      </c>
      <c r="D32" s="64">
        <f>('Data Input'!F53+100)*12</f>
        <v>1200</v>
      </c>
      <c r="E32" s="64">
        <f>12*'Data Input'!$H$4</f>
        <v>1200</v>
      </c>
      <c r="F32" s="66">
        <f>12*'Data Input'!$I$4</f>
        <v>720</v>
      </c>
      <c r="G32" s="64">
        <f>12*'Data Input'!$J$4</f>
        <v>2250</v>
      </c>
      <c r="H32" s="64">
        <f>12*'Data Input'!$K$4</f>
        <v>4800</v>
      </c>
      <c r="I32" s="64">
        <f>12*'Data Input'!$L$4</f>
        <v>1200</v>
      </c>
      <c r="J32" s="64">
        <f>12*'Data Input'!$M$4</f>
        <v>1200</v>
      </c>
      <c r="K32" s="64">
        <f>12*'Data Input'!$N$4</f>
        <v>2400</v>
      </c>
      <c r="L32" s="66">
        <f>12*'Data Input'!$O$4</f>
        <v>2400</v>
      </c>
      <c r="M32" s="64">
        <f>12*'Data Input'!$P$4</f>
        <v>1200</v>
      </c>
      <c r="N32" s="64">
        <f>12*'Data Input'!$Q$4</f>
        <v>1200</v>
      </c>
      <c r="O32" s="64">
        <f>12*'Data Input'!$R$4</f>
        <v>1200</v>
      </c>
      <c r="P32" s="64">
        <f>12*'Data Input'!$S$4</f>
        <v>2400</v>
      </c>
      <c r="Q32" s="64">
        <f>12*'Data Input'!$T$4</f>
        <v>1200</v>
      </c>
      <c r="R32" s="66">
        <f>SUM(Table12[[#This Row],[Utilities]:[Misc. Housing costs]])</f>
        <v>31170</v>
      </c>
      <c r="S32" s="65">
        <f>Table12[[#This Row],[Total]]/12</f>
        <v>2597.5</v>
      </c>
    </row>
    <row r="33" spans="1:19">
      <c r="A33" s="21">
        <f t="shared" si="0"/>
        <v>2046</v>
      </c>
      <c r="B33" s="64">
        <f>12*'Data Input'!$E$4</f>
        <v>3600</v>
      </c>
      <c r="C33" s="64">
        <f>12*'Data Input'!$F$4</f>
        <v>3000</v>
      </c>
      <c r="D33" s="64">
        <f>('Data Input'!F54+100)*12</f>
        <v>1200</v>
      </c>
      <c r="E33" s="64">
        <f>12*'Data Input'!$H$4</f>
        <v>1200</v>
      </c>
      <c r="F33" s="66">
        <f>12*'Data Input'!$I$4</f>
        <v>720</v>
      </c>
      <c r="G33" s="64">
        <f>12*'Data Input'!$J$4</f>
        <v>2250</v>
      </c>
      <c r="H33" s="64">
        <f>12*'Data Input'!$K$4</f>
        <v>4800</v>
      </c>
      <c r="I33" s="64">
        <f>12*'Data Input'!$L$4</f>
        <v>1200</v>
      </c>
      <c r="J33" s="64">
        <f>12*'Data Input'!$M$4</f>
        <v>1200</v>
      </c>
      <c r="K33" s="64">
        <f>12*'Data Input'!$N$4</f>
        <v>2400</v>
      </c>
      <c r="L33" s="66">
        <f>12*'Data Input'!$O$4</f>
        <v>2400</v>
      </c>
      <c r="M33" s="64">
        <f>12*'Data Input'!$P$4</f>
        <v>1200</v>
      </c>
      <c r="N33" s="64">
        <f>12*'Data Input'!$Q$4</f>
        <v>1200</v>
      </c>
      <c r="O33" s="64">
        <f>12*'Data Input'!$R$4</f>
        <v>1200</v>
      </c>
      <c r="P33" s="64">
        <f>12*'Data Input'!$S$4</f>
        <v>2400</v>
      </c>
      <c r="Q33" s="64">
        <f>12*'Data Input'!$T$4</f>
        <v>1200</v>
      </c>
      <c r="R33" s="66">
        <f>SUM(Table12[[#This Row],[Utilities]:[Misc. Housing costs]])</f>
        <v>31170</v>
      </c>
      <c r="S33" s="65">
        <f>Table12[[#This Row],[Total]]/12</f>
        <v>2597.5</v>
      </c>
    </row>
    <row r="34" spans="1:19">
      <c r="A34" s="21">
        <f t="shared" si="0"/>
        <v>2047</v>
      </c>
      <c r="B34" s="64">
        <f>12*'Data Input'!$E$4</f>
        <v>3600</v>
      </c>
      <c r="C34" s="64">
        <f>12*'Data Input'!$F$4</f>
        <v>3000</v>
      </c>
      <c r="D34" s="64">
        <f>('Data Input'!F55+100)*12</f>
        <v>1200</v>
      </c>
      <c r="E34" s="64">
        <f>12*'Data Input'!$H$4</f>
        <v>1200</v>
      </c>
      <c r="F34" s="66">
        <f>12*'Data Input'!$I$4</f>
        <v>720</v>
      </c>
      <c r="G34" s="64">
        <f>12*'Data Input'!$J$4</f>
        <v>2250</v>
      </c>
      <c r="H34" s="64">
        <f>12*'Data Input'!$K$4</f>
        <v>4800</v>
      </c>
      <c r="I34" s="64">
        <f>12*'Data Input'!$L$4</f>
        <v>1200</v>
      </c>
      <c r="J34" s="64">
        <f>12*'Data Input'!$M$4</f>
        <v>1200</v>
      </c>
      <c r="K34" s="64">
        <f>12*'Data Input'!$N$4</f>
        <v>2400</v>
      </c>
      <c r="L34" s="66">
        <f>12*'Data Input'!$O$4</f>
        <v>2400</v>
      </c>
      <c r="M34" s="64">
        <f>12*'Data Input'!$P$4</f>
        <v>1200</v>
      </c>
      <c r="N34" s="64">
        <f>12*'Data Input'!$Q$4</f>
        <v>1200</v>
      </c>
      <c r="O34" s="64">
        <f>12*'Data Input'!$R$4</f>
        <v>1200</v>
      </c>
      <c r="P34" s="64">
        <f>12*'Data Input'!$S$4</f>
        <v>2400</v>
      </c>
      <c r="Q34" s="64">
        <f>12*'Data Input'!$T$4</f>
        <v>1200</v>
      </c>
      <c r="R34" s="66">
        <f>SUM(Table12[[#This Row],[Utilities]:[Misc. Housing costs]])</f>
        <v>31170</v>
      </c>
      <c r="S34" s="65">
        <f>Table12[[#This Row],[Total]]/12</f>
        <v>2597.5</v>
      </c>
    </row>
    <row r="35" spans="1:19">
      <c r="A35" s="21">
        <f t="shared" si="0"/>
        <v>2048</v>
      </c>
      <c r="B35" s="64">
        <f>12*'Data Input'!$E$4</f>
        <v>3600</v>
      </c>
      <c r="C35" s="64">
        <f>12*'Data Input'!$F$4</f>
        <v>3000</v>
      </c>
      <c r="D35" s="64">
        <f>('Data Input'!F56+100)*12</f>
        <v>1200</v>
      </c>
      <c r="E35" s="64">
        <f>12*'Data Input'!$H$4</f>
        <v>1200</v>
      </c>
      <c r="F35" s="66">
        <f>12*'Data Input'!$I$4</f>
        <v>720</v>
      </c>
      <c r="G35" s="64">
        <f>12*'Data Input'!$J$4</f>
        <v>2250</v>
      </c>
      <c r="H35" s="64">
        <f>12*'Data Input'!$K$4</f>
        <v>4800</v>
      </c>
      <c r="I35" s="64">
        <f>12*'Data Input'!$L$4</f>
        <v>1200</v>
      </c>
      <c r="J35" s="64">
        <f>12*'Data Input'!$M$4</f>
        <v>1200</v>
      </c>
      <c r="K35" s="64">
        <f>12*'Data Input'!$N$4</f>
        <v>2400</v>
      </c>
      <c r="L35" s="66">
        <f>12*'Data Input'!$O$4</f>
        <v>2400</v>
      </c>
      <c r="M35" s="64">
        <f>12*'Data Input'!$P$4</f>
        <v>1200</v>
      </c>
      <c r="N35" s="64">
        <f>12*'Data Input'!$Q$4</f>
        <v>1200</v>
      </c>
      <c r="O35" s="64">
        <f>12*'Data Input'!$R$4</f>
        <v>1200</v>
      </c>
      <c r="P35" s="64">
        <f>12*'Data Input'!$S$4</f>
        <v>2400</v>
      </c>
      <c r="Q35" s="64">
        <f>12*'Data Input'!$T$4</f>
        <v>1200</v>
      </c>
      <c r="R35" s="66">
        <f>SUM(Table12[[#This Row],[Utilities]:[Misc. Housing costs]])</f>
        <v>31170</v>
      </c>
      <c r="S35" s="65">
        <f>Table12[[#This Row],[Total]]/12</f>
        <v>2597.5</v>
      </c>
    </row>
    <row r="36" spans="1:19">
      <c r="A36" s="21">
        <f t="shared" si="0"/>
        <v>2049</v>
      </c>
      <c r="B36" s="64">
        <f>12*'Data Input'!$E$4</f>
        <v>3600</v>
      </c>
      <c r="C36" s="64">
        <f>12*'Data Input'!$F$4</f>
        <v>3000</v>
      </c>
      <c r="D36" s="64">
        <f>('Data Input'!F57+100)*12</f>
        <v>1200</v>
      </c>
      <c r="E36" s="64">
        <f>12*'Data Input'!$H$4</f>
        <v>1200</v>
      </c>
      <c r="F36" s="66">
        <f>12*'Data Input'!$I$4</f>
        <v>720</v>
      </c>
      <c r="G36" s="64">
        <f>12*'Data Input'!$J$4</f>
        <v>2250</v>
      </c>
      <c r="H36" s="64">
        <f>12*'Data Input'!$K$4</f>
        <v>4800</v>
      </c>
      <c r="I36" s="64">
        <f>12*'Data Input'!$L$4</f>
        <v>1200</v>
      </c>
      <c r="J36" s="64">
        <f>12*'Data Input'!$M$4</f>
        <v>1200</v>
      </c>
      <c r="K36" s="64">
        <f>12*'Data Input'!$N$4</f>
        <v>2400</v>
      </c>
      <c r="L36" s="66">
        <f>12*'Data Input'!$O$4</f>
        <v>2400</v>
      </c>
      <c r="M36" s="64">
        <f>12*'Data Input'!$P$4</f>
        <v>1200</v>
      </c>
      <c r="N36" s="64">
        <f>12*'Data Input'!$Q$4</f>
        <v>1200</v>
      </c>
      <c r="O36" s="64">
        <f>12*'Data Input'!$R$4</f>
        <v>1200</v>
      </c>
      <c r="P36" s="64">
        <f>12*'Data Input'!$S$4</f>
        <v>2400</v>
      </c>
      <c r="Q36" s="64">
        <f>12*'Data Input'!$T$4</f>
        <v>1200</v>
      </c>
      <c r="R36" s="66">
        <f>SUM(Table12[[#This Row],[Utilities]:[Misc. Housing costs]])</f>
        <v>31170</v>
      </c>
      <c r="S36" s="65">
        <f>Table12[[#This Row],[Total]]/12</f>
        <v>2597.5</v>
      </c>
    </row>
    <row r="37" spans="1:19">
      <c r="A37" s="21">
        <f t="shared" si="0"/>
        <v>2050</v>
      </c>
      <c r="B37" s="64">
        <f>12*'Data Input'!$E$4</f>
        <v>3600</v>
      </c>
      <c r="C37" s="64">
        <f>12*'Data Input'!$F$4</f>
        <v>3000</v>
      </c>
      <c r="D37" s="64">
        <f>('Data Input'!F58+100)*12</f>
        <v>1200</v>
      </c>
      <c r="E37" s="64">
        <f>12*'Data Input'!$H$4</f>
        <v>1200</v>
      </c>
      <c r="F37" s="66">
        <f>12*'Data Input'!$I$4</f>
        <v>720</v>
      </c>
      <c r="G37" s="64">
        <f>12*'Data Input'!$J$4</f>
        <v>2250</v>
      </c>
      <c r="H37" s="64">
        <f>12*'Data Input'!$K$4</f>
        <v>4800</v>
      </c>
      <c r="I37" s="64">
        <f>12*'Data Input'!$L$4</f>
        <v>1200</v>
      </c>
      <c r="J37" s="64">
        <f>12*'Data Input'!$M$4</f>
        <v>1200</v>
      </c>
      <c r="K37" s="64">
        <f>12*'Data Input'!$N$4</f>
        <v>2400</v>
      </c>
      <c r="L37" s="66">
        <f>12*'Data Input'!$O$4</f>
        <v>2400</v>
      </c>
      <c r="M37" s="64">
        <f>12*'Data Input'!$P$4</f>
        <v>1200</v>
      </c>
      <c r="N37" s="64">
        <f>12*'Data Input'!$Q$4</f>
        <v>1200</v>
      </c>
      <c r="O37" s="64">
        <f>12*'Data Input'!$R$4</f>
        <v>1200</v>
      </c>
      <c r="P37" s="64">
        <f>12*'Data Input'!$S$4</f>
        <v>2400</v>
      </c>
      <c r="Q37" s="64">
        <f>12*'Data Input'!$T$4</f>
        <v>1200</v>
      </c>
      <c r="R37" s="66">
        <f>SUM(Table12[[#This Row],[Utilities]:[Misc. Housing costs]])</f>
        <v>31170</v>
      </c>
      <c r="S37" s="65">
        <f>Table12[[#This Row],[Total]]/12</f>
        <v>2597.5</v>
      </c>
    </row>
    <row r="38" spans="1:19">
      <c r="A38" s="21">
        <f t="shared" si="0"/>
        <v>2051</v>
      </c>
      <c r="B38" s="64">
        <f>12*'Data Input'!$E$4</f>
        <v>3600</v>
      </c>
      <c r="C38" s="64">
        <f>12*'Data Input'!$F$4</f>
        <v>3000</v>
      </c>
      <c r="D38" s="64">
        <f>('Data Input'!F59+100)*12</f>
        <v>1200</v>
      </c>
      <c r="E38" s="64">
        <f>12*'Data Input'!$H$4</f>
        <v>1200</v>
      </c>
      <c r="F38" s="66">
        <f>12*'Data Input'!$I$4</f>
        <v>720</v>
      </c>
      <c r="G38" s="64">
        <f>12*'Data Input'!$J$4</f>
        <v>2250</v>
      </c>
      <c r="H38" s="64">
        <f>12*'Data Input'!$K$4</f>
        <v>4800</v>
      </c>
      <c r="I38" s="64">
        <f>12*'Data Input'!$L$4</f>
        <v>1200</v>
      </c>
      <c r="J38" s="64">
        <f>12*'Data Input'!$M$4</f>
        <v>1200</v>
      </c>
      <c r="K38" s="64">
        <f>12*'Data Input'!$N$4</f>
        <v>2400</v>
      </c>
      <c r="L38" s="66">
        <f>12*'Data Input'!$O$4</f>
        <v>2400</v>
      </c>
      <c r="M38" s="64">
        <f>12*'Data Input'!$P$4</f>
        <v>1200</v>
      </c>
      <c r="N38" s="64">
        <f>12*'Data Input'!$Q$4</f>
        <v>1200</v>
      </c>
      <c r="O38" s="64">
        <f>12*'Data Input'!$R$4</f>
        <v>1200</v>
      </c>
      <c r="P38" s="64">
        <f>12*'Data Input'!$S$4</f>
        <v>2400</v>
      </c>
      <c r="Q38" s="64">
        <f>12*'Data Input'!$T$4</f>
        <v>1200</v>
      </c>
      <c r="R38" s="66">
        <f>SUM(Table12[[#This Row],[Utilities]:[Misc. Housing costs]])</f>
        <v>31170</v>
      </c>
      <c r="S38" s="65">
        <f>Table12[[#This Row],[Total]]/12</f>
        <v>2597.5</v>
      </c>
    </row>
    <row r="39" spans="1:19">
      <c r="A39" s="21">
        <f t="shared" si="0"/>
        <v>2052</v>
      </c>
      <c r="B39" s="64">
        <f>12*'Data Input'!$E$4</f>
        <v>3600</v>
      </c>
      <c r="C39" s="64">
        <f>12*'Data Input'!$F$4</f>
        <v>3000</v>
      </c>
      <c r="D39" s="64">
        <f>('Data Input'!F60+100)*12</f>
        <v>1200</v>
      </c>
      <c r="E39" s="64">
        <f>12*'Data Input'!$H$4</f>
        <v>1200</v>
      </c>
      <c r="F39" s="66">
        <f>12*'Data Input'!$I$4</f>
        <v>720</v>
      </c>
      <c r="G39" s="64">
        <f>12*'Data Input'!$J$4</f>
        <v>2250</v>
      </c>
      <c r="H39" s="64">
        <f>12*'Data Input'!$K$4</f>
        <v>4800</v>
      </c>
      <c r="I39" s="64">
        <f>12*'Data Input'!$L$4</f>
        <v>1200</v>
      </c>
      <c r="J39" s="64">
        <f>12*'Data Input'!$M$4</f>
        <v>1200</v>
      </c>
      <c r="K39" s="64">
        <f>12*'Data Input'!$N$4</f>
        <v>2400</v>
      </c>
      <c r="L39" s="66">
        <f>12*'Data Input'!$O$4</f>
        <v>2400</v>
      </c>
      <c r="M39" s="64">
        <f>12*'Data Input'!$P$4</f>
        <v>1200</v>
      </c>
      <c r="N39" s="64">
        <f>12*'Data Input'!$Q$4</f>
        <v>1200</v>
      </c>
      <c r="O39" s="64">
        <f>12*'Data Input'!$R$4</f>
        <v>1200</v>
      </c>
      <c r="P39" s="64">
        <f>12*'Data Input'!$S$4</f>
        <v>2400</v>
      </c>
      <c r="Q39" s="64">
        <f>12*'Data Input'!$T$4</f>
        <v>1200</v>
      </c>
      <c r="R39" s="66">
        <f>SUM(Table12[[#This Row],[Utilities]:[Misc. Housing costs]])</f>
        <v>31170</v>
      </c>
      <c r="S39" s="65">
        <f>Table12[[#This Row],[Total]]/12</f>
        <v>2597.5</v>
      </c>
    </row>
    <row r="40" spans="1:19">
      <c r="A40" s="21">
        <f t="shared" si="0"/>
        <v>2053</v>
      </c>
      <c r="B40" s="64">
        <f>12*'Data Input'!$E$4</f>
        <v>3600</v>
      </c>
      <c r="C40" s="64">
        <f>12*'Data Input'!$F$4</f>
        <v>3000</v>
      </c>
      <c r="D40" s="64">
        <f>('Data Input'!F61+100)*12</f>
        <v>1200</v>
      </c>
      <c r="E40" s="64">
        <f>12*'Data Input'!$H$4</f>
        <v>1200</v>
      </c>
      <c r="F40" s="66">
        <f>12*'Data Input'!$I$4</f>
        <v>720</v>
      </c>
      <c r="G40" s="64">
        <f>12*'Data Input'!$J$4</f>
        <v>2250</v>
      </c>
      <c r="H40" s="64">
        <f>12*'Data Input'!$K$4</f>
        <v>4800</v>
      </c>
      <c r="I40" s="64">
        <f>12*'Data Input'!$L$4</f>
        <v>1200</v>
      </c>
      <c r="J40" s="64">
        <f>12*'Data Input'!$M$4</f>
        <v>1200</v>
      </c>
      <c r="K40" s="64">
        <f>12*'Data Input'!$N$4</f>
        <v>2400</v>
      </c>
      <c r="L40" s="66">
        <f>12*'Data Input'!$O$4</f>
        <v>2400</v>
      </c>
      <c r="M40" s="64">
        <f>12*'Data Input'!$P$4</f>
        <v>1200</v>
      </c>
      <c r="N40" s="64">
        <f>12*'Data Input'!$Q$4</f>
        <v>1200</v>
      </c>
      <c r="O40" s="64">
        <f>12*'Data Input'!$R$4</f>
        <v>1200</v>
      </c>
      <c r="P40" s="64">
        <f>12*'Data Input'!$S$4</f>
        <v>2400</v>
      </c>
      <c r="Q40" s="64">
        <f>12*'Data Input'!$T$4</f>
        <v>1200</v>
      </c>
      <c r="R40" s="66">
        <f>SUM(Table12[[#This Row],[Utilities]:[Misc. Housing costs]])</f>
        <v>31170</v>
      </c>
      <c r="S40" s="65">
        <f>Table12[[#This Row],[Total]]/12</f>
        <v>2597.5</v>
      </c>
    </row>
    <row r="41" spans="1:19">
      <c r="A41" s="21">
        <f t="shared" si="0"/>
        <v>2054</v>
      </c>
      <c r="B41" s="64">
        <f>12*'Data Input'!$E$4</f>
        <v>3600</v>
      </c>
      <c r="C41" s="64">
        <f>12*'Data Input'!$F$4</f>
        <v>3000</v>
      </c>
      <c r="D41" s="64">
        <f>('Data Input'!F62+100)*12</f>
        <v>1200</v>
      </c>
      <c r="E41" s="64">
        <f>12*'Data Input'!$H$4</f>
        <v>1200</v>
      </c>
      <c r="F41" s="66">
        <f>12*'Data Input'!$I$4</f>
        <v>720</v>
      </c>
      <c r="G41" s="64">
        <f>12*'Data Input'!$J$4</f>
        <v>2250</v>
      </c>
      <c r="H41" s="64">
        <f>12*'Data Input'!$K$4</f>
        <v>4800</v>
      </c>
      <c r="I41" s="64">
        <f>12*'Data Input'!$L$4</f>
        <v>1200</v>
      </c>
      <c r="J41" s="64">
        <f>12*'Data Input'!$M$4</f>
        <v>1200</v>
      </c>
      <c r="K41" s="64">
        <f>12*'Data Input'!$N$4</f>
        <v>2400</v>
      </c>
      <c r="L41" s="66">
        <f>12*'Data Input'!$O$4</f>
        <v>2400</v>
      </c>
      <c r="M41" s="64">
        <f>12*'Data Input'!$P$4</f>
        <v>1200</v>
      </c>
      <c r="N41" s="64">
        <f>12*'Data Input'!$Q$4</f>
        <v>1200</v>
      </c>
      <c r="O41" s="64">
        <f>12*'Data Input'!$R$4</f>
        <v>1200</v>
      </c>
      <c r="P41" s="64">
        <f>12*'Data Input'!$S$4</f>
        <v>2400</v>
      </c>
      <c r="Q41" s="64">
        <f>12*'Data Input'!$T$4</f>
        <v>1200</v>
      </c>
      <c r="R41" s="66">
        <f>SUM(Table12[[#This Row],[Utilities]:[Misc. Housing costs]])</f>
        <v>31170</v>
      </c>
      <c r="S41" s="65">
        <f>Table12[[#This Row],[Total]]/12</f>
        <v>2597.5</v>
      </c>
    </row>
    <row r="42" spans="1:19">
      <c r="A42" s="21">
        <f t="shared" si="0"/>
        <v>2055</v>
      </c>
      <c r="B42" s="64">
        <f>12*'Data Input'!$E$4</f>
        <v>3600</v>
      </c>
      <c r="C42" s="64">
        <f>12*'Data Input'!$F$4</f>
        <v>3000</v>
      </c>
      <c r="D42" s="64">
        <f>('Data Input'!F63+100)*12</f>
        <v>1200</v>
      </c>
      <c r="E42" s="64">
        <f>12*'Data Input'!$H$4</f>
        <v>1200</v>
      </c>
      <c r="F42" s="66">
        <f>12*'Data Input'!$I$4</f>
        <v>720</v>
      </c>
      <c r="G42" s="64">
        <f>12*'Data Input'!$J$4</f>
        <v>2250</v>
      </c>
      <c r="H42" s="64">
        <f>12*'Data Input'!$K$4</f>
        <v>4800</v>
      </c>
      <c r="I42" s="64">
        <f>12*'Data Input'!$L$4</f>
        <v>1200</v>
      </c>
      <c r="J42" s="64">
        <f>12*'Data Input'!$M$4</f>
        <v>1200</v>
      </c>
      <c r="K42" s="64">
        <f>12*'Data Input'!$N$4</f>
        <v>2400</v>
      </c>
      <c r="L42" s="66">
        <f>12*'Data Input'!$O$4</f>
        <v>2400</v>
      </c>
      <c r="M42" s="64">
        <f>12*'Data Input'!$P$4</f>
        <v>1200</v>
      </c>
      <c r="N42" s="64">
        <f>12*'Data Input'!$Q$4</f>
        <v>1200</v>
      </c>
      <c r="O42" s="64">
        <f>12*'Data Input'!$R$4</f>
        <v>1200</v>
      </c>
      <c r="P42" s="64">
        <f>12*'Data Input'!$S$4</f>
        <v>2400</v>
      </c>
      <c r="Q42" s="64">
        <f>12*'Data Input'!$T$4</f>
        <v>1200</v>
      </c>
      <c r="R42" s="66">
        <f>SUM(Table12[[#This Row],[Utilities]:[Misc. Housing costs]])</f>
        <v>31170</v>
      </c>
      <c r="S42" s="65">
        <f>Table12[[#This Row],[Total]]/12</f>
        <v>2597.5</v>
      </c>
    </row>
    <row r="43" spans="1:19">
      <c r="A43" s="21">
        <f t="shared" si="0"/>
        <v>2056</v>
      </c>
      <c r="B43" s="64">
        <f>12*'Data Input'!$E$4</f>
        <v>3600</v>
      </c>
      <c r="C43" s="64">
        <f>12*'Data Input'!$F$4</f>
        <v>3000</v>
      </c>
      <c r="D43" s="64">
        <f>('Data Input'!F64+100)*12</f>
        <v>1200</v>
      </c>
      <c r="E43" s="64">
        <f>12*'Data Input'!$H$4</f>
        <v>1200</v>
      </c>
      <c r="F43" s="66">
        <f>12*'Data Input'!$I$4</f>
        <v>720</v>
      </c>
      <c r="G43" s="64">
        <f>12*'Data Input'!$J$4</f>
        <v>2250</v>
      </c>
      <c r="H43" s="64">
        <f>12*'Data Input'!$K$4</f>
        <v>4800</v>
      </c>
      <c r="I43" s="64">
        <f>12*'Data Input'!$L$4</f>
        <v>1200</v>
      </c>
      <c r="J43" s="64">
        <f>12*'Data Input'!$M$4</f>
        <v>1200</v>
      </c>
      <c r="K43" s="64">
        <f>12*'Data Input'!$N$4</f>
        <v>2400</v>
      </c>
      <c r="L43" s="66">
        <f>12*'Data Input'!$O$4</f>
        <v>2400</v>
      </c>
      <c r="M43" s="64">
        <f>12*'Data Input'!$P$4</f>
        <v>1200</v>
      </c>
      <c r="N43" s="64">
        <f>12*'Data Input'!$Q$4</f>
        <v>1200</v>
      </c>
      <c r="O43" s="64">
        <f>12*'Data Input'!$R$4</f>
        <v>1200</v>
      </c>
      <c r="P43" s="64">
        <f>12*'Data Input'!$S$4</f>
        <v>2400</v>
      </c>
      <c r="Q43" s="64">
        <f>12*'Data Input'!$T$4</f>
        <v>1200</v>
      </c>
      <c r="R43" s="66">
        <f>SUM(Table12[[#This Row],[Utilities]:[Misc. Housing costs]])</f>
        <v>31170</v>
      </c>
      <c r="S43" s="65">
        <f>Table12[[#This Row],[Total]]/12</f>
        <v>2597.5</v>
      </c>
    </row>
    <row r="44" spans="1:19">
      <c r="A44" s="21">
        <f t="shared" si="0"/>
        <v>2057</v>
      </c>
      <c r="B44" s="64">
        <f>12*'Data Input'!$E$4</f>
        <v>3600</v>
      </c>
      <c r="C44" s="64">
        <f>12*'Data Input'!$F$4</f>
        <v>3000</v>
      </c>
      <c r="D44" s="64">
        <f>('Data Input'!F65+100)*12</f>
        <v>1200</v>
      </c>
      <c r="E44" s="64">
        <f>12*'Data Input'!$H$4</f>
        <v>1200</v>
      </c>
      <c r="F44" s="66">
        <f>12*'Data Input'!$I$4</f>
        <v>720</v>
      </c>
      <c r="G44" s="64">
        <f>12*'Data Input'!$J$4</f>
        <v>2250</v>
      </c>
      <c r="H44" s="64">
        <f>12*'Data Input'!$K$4</f>
        <v>4800</v>
      </c>
      <c r="I44" s="64">
        <f>12*'Data Input'!$L$4</f>
        <v>1200</v>
      </c>
      <c r="J44" s="64">
        <f>12*'Data Input'!$M$4</f>
        <v>1200</v>
      </c>
      <c r="K44" s="64">
        <f>12*'Data Input'!$N$4</f>
        <v>2400</v>
      </c>
      <c r="L44" s="66">
        <f>12*'Data Input'!$O$4</f>
        <v>2400</v>
      </c>
      <c r="M44" s="64">
        <f>12*'Data Input'!$P$4</f>
        <v>1200</v>
      </c>
      <c r="N44" s="64">
        <f>12*'Data Input'!$Q$4</f>
        <v>1200</v>
      </c>
      <c r="O44" s="64">
        <f>12*'Data Input'!$R$4</f>
        <v>1200</v>
      </c>
      <c r="P44" s="64">
        <f>12*'Data Input'!$S$4</f>
        <v>2400</v>
      </c>
      <c r="Q44" s="64">
        <f>12*'Data Input'!$T$4</f>
        <v>1200</v>
      </c>
      <c r="R44" s="66">
        <f>SUM(Table12[[#This Row],[Utilities]:[Misc. Housing costs]])</f>
        <v>31170</v>
      </c>
      <c r="S44" s="65">
        <f>Table12[[#This Row],[Total]]/12</f>
        <v>2597.5</v>
      </c>
    </row>
    <row r="45" spans="1:19">
      <c r="A45" s="21">
        <f t="shared" si="0"/>
        <v>2058</v>
      </c>
      <c r="B45" s="64">
        <f>12*'Data Input'!$E$4</f>
        <v>3600</v>
      </c>
      <c r="C45" s="64">
        <f>12*'Data Input'!$F$4</f>
        <v>3000</v>
      </c>
      <c r="D45" s="64">
        <f>('Data Input'!F66+100)*12</f>
        <v>1200</v>
      </c>
      <c r="E45" s="64">
        <f>12*'Data Input'!$H$4</f>
        <v>1200</v>
      </c>
      <c r="F45" s="66">
        <f>12*'Data Input'!$I$4</f>
        <v>720</v>
      </c>
      <c r="G45" s="64">
        <f>12*'Data Input'!$J$4</f>
        <v>2250</v>
      </c>
      <c r="H45" s="64">
        <f>12*'Data Input'!$K$4</f>
        <v>4800</v>
      </c>
      <c r="I45" s="64">
        <f>12*'Data Input'!$L$4</f>
        <v>1200</v>
      </c>
      <c r="J45" s="64">
        <f>12*'Data Input'!$M$4</f>
        <v>1200</v>
      </c>
      <c r="K45" s="64">
        <f>12*'Data Input'!$N$4</f>
        <v>2400</v>
      </c>
      <c r="L45" s="66">
        <f>12*'Data Input'!$O$4</f>
        <v>2400</v>
      </c>
      <c r="M45" s="64">
        <f>12*'Data Input'!$P$4</f>
        <v>1200</v>
      </c>
      <c r="N45" s="64">
        <f>12*'Data Input'!$Q$4</f>
        <v>1200</v>
      </c>
      <c r="O45" s="64">
        <f>12*'Data Input'!$R$4</f>
        <v>1200</v>
      </c>
      <c r="P45" s="64">
        <f>12*'Data Input'!$S$4</f>
        <v>2400</v>
      </c>
      <c r="Q45" s="64">
        <f>12*'Data Input'!$T$4</f>
        <v>1200</v>
      </c>
      <c r="R45" s="66">
        <f>SUM(Table12[[#This Row],[Utilities]:[Misc. Housing costs]])</f>
        <v>31170</v>
      </c>
      <c r="S45" s="65">
        <f>Table12[[#This Row],[Total]]/12</f>
        <v>2597.5</v>
      </c>
    </row>
    <row r="46" spans="1:19">
      <c r="A46" s="21">
        <f t="shared" si="0"/>
        <v>2059</v>
      </c>
      <c r="B46" s="64">
        <f>12*'Data Input'!$E$4</f>
        <v>3600</v>
      </c>
      <c r="C46" s="64">
        <f>12*'Data Input'!$F$4</f>
        <v>3000</v>
      </c>
      <c r="D46" s="64">
        <f>('Data Input'!F67+100)*12</f>
        <v>1200</v>
      </c>
      <c r="E46" s="64">
        <f>12*'Data Input'!$H$4</f>
        <v>1200</v>
      </c>
      <c r="F46" s="66">
        <f>12*'Data Input'!$I$4</f>
        <v>720</v>
      </c>
      <c r="G46" s="64">
        <f>12*'Data Input'!$J$4</f>
        <v>2250</v>
      </c>
      <c r="H46" s="64">
        <f>12*'Data Input'!$K$4</f>
        <v>4800</v>
      </c>
      <c r="I46" s="64">
        <f>12*'Data Input'!$L$4</f>
        <v>1200</v>
      </c>
      <c r="J46" s="64">
        <f>12*'Data Input'!$M$4</f>
        <v>1200</v>
      </c>
      <c r="K46" s="64">
        <f>12*'Data Input'!$N$4</f>
        <v>2400</v>
      </c>
      <c r="L46" s="66">
        <f>12*'Data Input'!$O$4</f>
        <v>2400</v>
      </c>
      <c r="M46" s="64">
        <f>12*'Data Input'!$P$4</f>
        <v>1200</v>
      </c>
      <c r="N46" s="64">
        <f>12*'Data Input'!$Q$4</f>
        <v>1200</v>
      </c>
      <c r="O46" s="64">
        <f>12*'Data Input'!$R$4</f>
        <v>1200</v>
      </c>
      <c r="P46" s="64">
        <f>12*'Data Input'!$S$4</f>
        <v>2400</v>
      </c>
      <c r="Q46" s="64">
        <f>12*'Data Input'!$T$4</f>
        <v>1200</v>
      </c>
      <c r="R46" s="66">
        <f>SUM(Table12[[#This Row],[Utilities]:[Misc. Housing costs]])</f>
        <v>31170</v>
      </c>
      <c r="S46" s="65">
        <f>Table12[[#This Row],[Total]]/12</f>
        <v>2597.5</v>
      </c>
    </row>
    <row r="47" spans="1:19">
      <c r="A47" s="21">
        <f t="shared" si="0"/>
        <v>2060</v>
      </c>
      <c r="B47" s="64">
        <f>12*'Data Input'!$E$4</f>
        <v>3600</v>
      </c>
      <c r="C47" s="64">
        <f>12*'Data Input'!$F$4</f>
        <v>3000</v>
      </c>
      <c r="D47" s="64">
        <f>('Data Input'!F68+100)*12</f>
        <v>1200</v>
      </c>
      <c r="E47" s="64">
        <f>12*'Data Input'!$H$4</f>
        <v>1200</v>
      </c>
      <c r="F47" s="66">
        <f>12*'Data Input'!$I$4</f>
        <v>720</v>
      </c>
      <c r="G47" s="64">
        <f>12*'Data Input'!$J$4</f>
        <v>2250</v>
      </c>
      <c r="H47" s="64">
        <f>12*'Data Input'!$K$4</f>
        <v>4800</v>
      </c>
      <c r="I47" s="64">
        <f>12*'Data Input'!$L$4</f>
        <v>1200</v>
      </c>
      <c r="J47" s="64">
        <f>12*'Data Input'!$M$4</f>
        <v>1200</v>
      </c>
      <c r="K47" s="64">
        <f>12*'Data Input'!$N$4</f>
        <v>2400</v>
      </c>
      <c r="L47" s="66">
        <f>12*'Data Input'!$O$4</f>
        <v>2400</v>
      </c>
      <c r="M47" s="64">
        <f>12*'Data Input'!$P$4</f>
        <v>1200</v>
      </c>
      <c r="N47" s="64">
        <f>12*'Data Input'!$Q$4</f>
        <v>1200</v>
      </c>
      <c r="O47" s="64">
        <f>12*'Data Input'!$R$4</f>
        <v>1200</v>
      </c>
      <c r="P47" s="64">
        <f>12*'Data Input'!$S$4</f>
        <v>2400</v>
      </c>
      <c r="Q47" s="64">
        <f>12*'Data Input'!$T$4</f>
        <v>1200</v>
      </c>
      <c r="R47" s="66">
        <f>SUM(Table12[[#This Row],[Utilities]:[Misc. Housing costs]])</f>
        <v>31170</v>
      </c>
      <c r="S47" s="65">
        <f>Table12[[#This Row],[Total]]/12</f>
        <v>2597.5</v>
      </c>
    </row>
  </sheetData>
  <pageMargins left="0.7" right="0.7" top="0.75" bottom="0.75" header="0.3" footer="0.3"/>
  <pageSetup orientation="portrait" horizontalDpi="200" verticalDpi="20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115" zoomScaleNormal="115" workbookViewId="0">
      <selection activeCell="B6" sqref="B6"/>
    </sheetView>
  </sheetViews>
  <sheetFormatPr defaultRowHeight="15"/>
  <cols>
    <col min="1" max="1" width="7.5703125" customWidth="1"/>
    <col min="2" max="2" width="16" customWidth="1"/>
    <col min="3" max="3" width="14.85546875" customWidth="1"/>
    <col min="4" max="4" width="11.7109375" customWidth="1"/>
    <col min="5" max="5" width="20" customWidth="1"/>
    <col min="6" max="6" width="52.5703125" customWidth="1"/>
    <col min="7" max="7" width="14.85546875" style="17" customWidth="1"/>
    <col min="8" max="8" width="14.28515625" customWidth="1"/>
    <col min="9" max="9" width="17.5703125" customWidth="1"/>
  </cols>
  <sheetData>
    <row r="1" spans="2:12">
      <c r="E1" s="37"/>
      <c r="F1" s="37"/>
      <c r="G1" s="37"/>
      <c r="H1" s="37"/>
      <c r="I1" s="37"/>
      <c r="J1" s="17"/>
      <c r="K1" s="17"/>
      <c r="L1" s="17"/>
    </row>
    <row r="2" spans="2:12" ht="30">
      <c r="B2" s="106" t="s">
        <v>68</v>
      </c>
      <c r="C2" s="106"/>
      <c r="E2" s="36" t="s">
        <v>48</v>
      </c>
      <c r="F2" s="36" t="s">
        <v>18</v>
      </c>
      <c r="G2" s="31" t="s">
        <v>73</v>
      </c>
      <c r="H2" s="36" t="s">
        <v>71</v>
      </c>
      <c r="I2" s="36" t="s">
        <v>72</v>
      </c>
      <c r="J2" s="36" t="s">
        <v>18</v>
      </c>
      <c r="K2" s="17"/>
      <c r="L2" s="43"/>
    </row>
    <row r="3" spans="2:12" ht="30">
      <c r="B3" s="32" t="s">
        <v>67</v>
      </c>
      <c r="C3" s="89">
        <v>6300</v>
      </c>
      <c r="E3" s="36" t="s">
        <v>100</v>
      </c>
      <c r="F3" s="39">
        <v>0.1</v>
      </c>
      <c r="G3" s="40">
        <v>0</v>
      </c>
      <c r="H3" s="40">
        <v>18550</v>
      </c>
      <c r="I3" s="40">
        <v>0</v>
      </c>
      <c r="J3" s="41">
        <v>0.1</v>
      </c>
      <c r="K3" s="17"/>
      <c r="L3" s="17"/>
    </row>
    <row r="4" spans="2:12" ht="30">
      <c r="B4" s="32" t="s">
        <v>69</v>
      </c>
      <c r="C4" s="89">
        <v>4050</v>
      </c>
      <c r="E4" s="36" t="s">
        <v>101</v>
      </c>
      <c r="F4" s="36" t="s">
        <v>102</v>
      </c>
      <c r="G4" s="40">
        <v>1855</v>
      </c>
      <c r="H4" s="40">
        <v>75300</v>
      </c>
      <c r="I4" s="40">
        <v>18551</v>
      </c>
      <c r="J4" s="41">
        <v>0.15</v>
      </c>
      <c r="K4" s="17"/>
      <c r="L4" s="17"/>
    </row>
    <row r="5" spans="2:12" ht="30">
      <c r="B5" s="49" t="s">
        <v>138</v>
      </c>
      <c r="C5" s="89">
        <v>1050</v>
      </c>
      <c r="E5" s="36" t="s">
        <v>103</v>
      </c>
      <c r="F5" s="36" t="s">
        <v>104</v>
      </c>
      <c r="G5" s="40">
        <v>10367.5</v>
      </c>
      <c r="H5" s="40">
        <v>151900</v>
      </c>
      <c r="I5" s="40">
        <v>75301</v>
      </c>
      <c r="J5" s="41">
        <v>0.25</v>
      </c>
      <c r="K5" s="17"/>
      <c r="L5" s="17"/>
    </row>
    <row r="6" spans="2:12" ht="30">
      <c r="B6" s="32" t="s">
        <v>137</v>
      </c>
      <c r="C6" s="89">
        <f>C3*2</f>
        <v>12600</v>
      </c>
      <c r="E6" s="36" t="s">
        <v>105</v>
      </c>
      <c r="F6" s="36" t="s">
        <v>106</v>
      </c>
      <c r="G6" s="40">
        <v>29517.5</v>
      </c>
      <c r="H6" s="40">
        <v>231450</v>
      </c>
      <c r="I6" s="40">
        <v>151901</v>
      </c>
      <c r="J6" s="41">
        <v>0.28000000000000003</v>
      </c>
      <c r="K6" s="17"/>
      <c r="L6" s="17"/>
    </row>
    <row r="7" spans="2:12">
      <c r="B7" s="50"/>
      <c r="C7" s="50"/>
      <c r="E7" s="36" t="s">
        <v>107</v>
      </c>
      <c r="F7" s="36" t="s">
        <v>108</v>
      </c>
      <c r="G7" s="40">
        <v>51791.5</v>
      </c>
      <c r="H7" s="40">
        <v>413350</v>
      </c>
      <c r="I7" s="40">
        <v>231451</v>
      </c>
      <c r="J7" s="41">
        <v>0.33</v>
      </c>
      <c r="K7" s="17"/>
      <c r="L7" s="17"/>
    </row>
    <row r="8" spans="2:12">
      <c r="E8" s="36" t="s">
        <v>109</v>
      </c>
      <c r="F8" s="36" t="s">
        <v>110</v>
      </c>
      <c r="G8" s="40">
        <v>111818.5</v>
      </c>
      <c r="H8" s="40">
        <v>466950</v>
      </c>
      <c r="I8" s="40">
        <v>413351</v>
      </c>
      <c r="J8" s="41">
        <v>0.35</v>
      </c>
      <c r="K8" s="17"/>
      <c r="L8" s="17"/>
    </row>
    <row r="9" spans="2:12">
      <c r="B9" s="38"/>
      <c r="C9" s="38"/>
      <c r="E9" s="36" t="s">
        <v>111</v>
      </c>
      <c r="F9" s="36" t="s">
        <v>112</v>
      </c>
      <c r="G9" s="40">
        <v>130578.5</v>
      </c>
      <c r="H9" s="40">
        <v>1000000</v>
      </c>
      <c r="I9" s="40">
        <v>466951</v>
      </c>
      <c r="J9" s="42">
        <v>0.39600000000000002</v>
      </c>
      <c r="K9" s="17"/>
      <c r="L9" s="17"/>
    </row>
    <row r="10" spans="2:12">
      <c r="B10" s="38"/>
      <c r="C10" s="38"/>
      <c r="E10" s="37"/>
      <c r="F10" s="37"/>
      <c r="G10" s="37"/>
      <c r="H10" s="37"/>
      <c r="I10" s="37"/>
      <c r="J10" s="17"/>
      <c r="K10" s="17"/>
      <c r="L10" s="17"/>
    </row>
    <row r="11" spans="2:12" s="9" customFormat="1" ht="30">
      <c r="B11" s="106" t="s">
        <v>93</v>
      </c>
      <c r="C11" s="106"/>
      <c r="D11" s="38"/>
      <c r="E11" s="32" t="str">
        <f>E2</f>
        <v>Income</v>
      </c>
      <c r="F11" s="32" t="str">
        <f t="shared" ref="F11:J11" si="0">F2</f>
        <v>Tax Rate</v>
      </c>
      <c r="G11" s="32" t="str">
        <f>G2</f>
        <v>Taxes paid before bracket</v>
      </c>
      <c r="H11" s="32" t="str">
        <f t="shared" si="0"/>
        <v>Top of Bracket</v>
      </c>
      <c r="I11" s="32" t="str">
        <f t="shared" si="0"/>
        <v>Bottom of Bracket</v>
      </c>
      <c r="J11" s="32" t="str">
        <f t="shared" si="0"/>
        <v>Tax Rate</v>
      </c>
    </row>
    <row r="12" spans="2:12" ht="30">
      <c r="B12" s="32" t="s">
        <v>67</v>
      </c>
      <c r="C12" s="89">
        <v>4044</v>
      </c>
      <c r="D12" s="38"/>
      <c r="E12" s="32" t="s">
        <v>74</v>
      </c>
      <c r="F12" s="32" t="s">
        <v>83</v>
      </c>
      <c r="G12" s="40">
        <v>0</v>
      </c>
      <c r="H12" s="40">
        <v>15700</v>
      </c>
      <c r="I12" s="40">
        <v>0</v>
      </c>
      <c r="J12" s="41">
        <v>0.01</v>
      </c>
      <c r="K12" s="17"/>
      <c r="L12" s="17"/>
    </row>
    <row r="13" spans="2:12" ht="30">
      <c r="B13" s="32" t="s">
        <v>69</v>
      </c>
      <c r="C13" s="89">
        <v>109</v>
      </c>
      <c r="D13" s="38"/>
      <c r="E13" s="32" t="s">
        <v>75</v>
      </c>
      <c r="F13" s="32" t="s">
        <v>84</v>
      </c>
      <c r="G13" s="40">
        <v>157</v>
      </c>
      <c r="H13" s="40">
        <f>I14</f>
        <v>37220</v>
      </c>
      <c r="I13" s="40">
        <v>15700</v>
      </c>
      <c r="J13" s="41">
        <v>0.02</v>
      </c>
      <c r="K13" s="17"/>
      <c r="L13" s="17"/>
    </row>
    <row r="14" spans="2:12" ht="30">
      <c r="B14" s="32"/>
      <c r="C14" s="32"/>
      <c r="D14" s="38"/>
      <c r="E14" s="32" t="s">
        <v>76</v>
      </c>
      <c r="F14" s="32" t="s">
        <v>85</v>
      </c>
      <c r="G14" s="40">
        <v>587.4</v>
      </c>
      <c r="H14" s="40">
        <f t="shared" ref="H14:H20" si="1">I15</f>
        <v>58744</v>
      </c>
      <c r="I14" s="40">
        <v>37220</v>
      </c>
      <c r="J14" s="41">
        <v>0.04</v>
      </c>
    </row>
    <row r="15" spans="2:12" ht="30">
      <c r="B15" s="32" t="s">
        <v>21</v>
      </c>
      <c r="C15" s="89">
        <f>C12*2</f>
        <v>8088</v>
      </c>
      <c r="D15" s="38"/>
      <c r="E15" s="32" t="s">
        <v>77</v>
      </c>
      <c r="F15" s="32" t="s">
        <v>86</v>
      </c>
      <c r="G15" s="40">
        <v>1448.36</v>
      </c>
      <c r="H15" s="40">
        <f t="shared" si="1"/>
        <v>81546</v>
      </c>
      <c r="I15" s="40">
        <v>58744</v>
      </c>
      <c r="J15" s="41">
        <v>0.06</v>
      </c>
    </row>
    <row r="16" spans="2:12" ht="30">
      <c r="B16" s="32"/>
      <c r="C16" s="32"/>
      <c r="D16" s="38"/>
      <c r="E16" s="32" t="s">
        <v>78</v>
      </c>
      <c r="F16" s="32" t="s">
        <v>87</v>
      </c>
      <c r="G16" s="40">
        <v>2816.48</v>
      </c>
      <c r="H16" s="40">
        <f t="shared" si="1"/>
        <v>103060</v>
      </c>
      <c r="I16" s="40">
        <v>81546</v>
      </c>
      <c r="J16" s="41">
        <v>0.08</v>
      </c>
    </row>
    <row r="17" spans="1:10" ht="30">
      <c r="D17" s="38"/>
      <c r="E17" s="32" t="s">
        <v>79</v>
      </c>
      <c r="F17" s="32" t="s">
        <v>88</v>
      </c>
      <c r="G17" s="40">
        <v>4537.6000000000004</v>
      </c>
      <c r="H17" s="40">
        <f t="shared" si="1"/>
        <v>526444</v>
      </c>
      <c r="I17" s="40">
        <v>103060</v>
      </c>
      <c r="J17" s="42">
        <v>9.2999999999999999E-2</v>
      </c>
    </row>
    <row r="18" spans="1:10" ht="30">
      <c r="B18" s="38"/>
      <c r="C18" s="38"/>
      <c r="D18" s="38"/>
      <c r="E18" s="32" t="s">
        <v>80</v>
      </c>
      <c r="F18" s="32" t="s">
        <v>89</v>
      </c>
      <c r="G18" s="40">
        <v>43912.31</v>
      </c>
      <c r="H18" s="40">
        <f t="shared" si="1"/>
        <v>631732</v>
      </c>
      <c r="I18" s="40">
        <v>526444</v>
      </c>
      <c r="J18" s="42">
        <v>0.10299999999999999</v>
      </c>
    </row>
    <row r="19" spans="1:10" ht="30">
      <c r="B19" s="38"/>
      <c r="C19" s="38"/>
      <c r="D19" s="38"/>
      <c r="E19" s="32" t="s">
        <v>81</v>
      </c>
      <c r="F19" s="32" t="s">
        <v>90</v>
      </c>
      <c r="G19" s="40">
        <v>54756.98</v>
      </c>
      <c r="H19" s="40">
        <f t="shared" si="1"/>
        <v>1000000</v>
      </c>
      <c r="I19" s="40">
        <v>631732</v>
      </c>
      <c r="J19" s="42">
        <v>0.113</v>
      </c>
    </row>
    <row r="20" spans="1:10" ht="15" customHeight="1">
      <c r="B20" s="38"/>
      <c r="C20" s="38"/>
      <c r="D20" s="38"/>
      <c r="E20" s="32" t="s">
        <v>82</v>
      </c>
      <c r="F20" s="32" t="s">
        <v>91</v>
      </c>
      <c r="G20" s="40">
        <v>96371.26</v>
      </c>
      <c r="H20" s="40">
        <f t="shared" si="1"/>
        <v>1052886</v>
      </c>
      <c r="I20" s="40">
        <v>1000000</v>
      </c>
      <c r="J20" s="42">
        <v>0.123</v>
      </c>
    </row>
    <row r="21" spans="1:10" ht="30">
      <c r="D21" s="38"/>
      <c r="E21" s="32"/>
      <c r="F21" s="32" t="s">
        <v>92</v>
      </c>
      <c r="G21" s="40">
        <v>102876.24</v>
      </c>
      <c r="H21" s="40">
        <v>10000000</v>
      </c>
      <c r="I21" s="40">
        <v>1052886</v>
      </c>
      <c r="J21" s="42">
        <v>0.13300000000000001</v>
      </c>
    </row>
    <row r="22" spans="1:10">
      <c r="D22" s="38"/>
      <c r="E22" s="38"/>
      <c r="F22" s="38"/>
      <c r="G22" s="38"/>
    </row>
    <row r="23" spans="1:10">
      <c r="D23" s="38"/>
      <c r="E23" s="38"/>
      <c r="F23" s="38"/>
      <c r="G23" s="38"/>
    </row>
    <row r="24" spans="1:10" ht="30">
      <c r="A24" s="29" t="s">
        <v>20</v>
      </c>
      <c r="B24" s="32" t="s">
        <v>97</v>
      </c>
      <c r="C24" s="32" t="s">
        <v>96</v>
      </c>
      <c r="D24" s="32" t="s">
        <v>98</v>
      </c>
      <c r="E24" s="29" t="s">
        <v>99</v>
      </c>
      <c r="F24" s="38"/>
      <c r="G24" s="38"/>
    </row>
    <row r="25" spans="1:10">
      <c r="A25" s="29">
        <f>'Data Input'!C2</f>
        <v>2016</v>
      </c>
      <c r="B25" s="30">
        <f>'Main Info'!G2</f>
        <v>52134.83626434351</v>
      </c>
      <c r="C25" s="44">
        <f>IF(AND(B25&gt;$I$3,B25&lt;$H$3),$G$3+(B25-$I$3)*$J$3,0)+IF(AND(B25&gt;$I$4,B25&lt;$H$4),$G$4+(B25-$I$4)*$J$4,0)+IF(AND(B25&gt;$I$5,B25&lt;$H$5),$G$5+(B25-$I$5)*$J$5,0)+IF(AND(B25&gt;$I$6,B25&lt;$H$6),$G$6+(B25-$I$6)*$J$6,0)+IF(AND(B25&gt;$I$7,B25&lt;$H$7),$G$7+(B25-$I$7)*$J$7,0)+IF(AND(B25&gt;$I$8,B25&lt;$H$8),$G$8+(B25-$I$8)*$J$8,0)+IF(AND(B25&gt;$I$9,B25&lt;$H$9),$G$9+(B25-$I$9)*$J$9,0)</f>
        <v>6892.5754396515267</v>
      </c>
      <c r="D25" s="30">
        <f>'Main Info'!F2</f>
        <v>61638.889642918628</v>
      </c>
      <c r="E25" s="30">
        <f>IF(AND(D25&gt;$I$12,D25&lt;$H$12),$G$12+(D25-$I$12)*$J$12,0)+IF(AND(D25&gt;$I$13,D25&lt;$H$13),$G$13+(D25-$I$13)*$J$13,0)+IF(AND(D25&gt;$I$14,D25&lt;$H$14),$G$14+(D25-$I$14)*$J$14,0)+IF(AND(D25&gt;$I$15,D25&lt;$H$15),$G$15+(D25-$I$15)*$J$15,0)+IF(AND(D25&gt;$I$16,D25&lt;$H$16),$G$16+(D25-$I$16)*$J$16,0)+IF(AND(D25&gt;$I$17,D25&lt;$H$17),$G$17+(D25-$I$17)*$J$17,0)+IF(AND(D25&gt;$I$18,D25&lt;$H$18),$G$18+(D25-$I$18)*$J$18,0)+IF(AND(D25&gt;$I$19,D25&lt;$H$19),$G$19+(D25-$I$19)*$J$19,0)+IF(AND(D25&gt;$I$20,D25&lt;$H$20),$G$20+(D25-$I$20)*$J$20,0)+IF(AND(D25&gt;$I$21,D25&lt;$H$21),$G$21+(D25-$I$21)*$J$21,0)</f>
        <v>1622.0533785751177</v>
      </c>
    </row>
    <row r="26" spans="1:10">
      <c r="A26" s="29">
        <f>A25+1</f>
        <v>2017</v>
      </c>
      <c r="B26" s="30">
        <f>'Main Info'!G3</f>
        <v>55798.626625544806</v>
      </c>
      <c r="C26" s="44">
        <f t="shared" ref="C26:C54" si="2">IF(AND(B26&gt;$I$3,B26&lt;$H$3),$G$3+(B26-$I$3)*$J$3,0)+IF(AND(B26&gt;$I$4,B26&lt;$H$4),$G$4+(B26-$I$4)*$J$4,0)+IF(AND(B26&gt;$I$5,B26&lt;$H$5),$G$5+(B26-$I$5)*$J$5,0)+IF(AND(B26&gt;$I$6,B26&lt;$H$6),$G$6+(B26-$I$6)*$J$6,0)+IF(AND(B26&gt;$I$7,B26&lt;$H$7),$G$7+(B26-$I$7)*$J$7,0)+IF(AND(B26&gt;$I$8,B26&lt;$H$8),$G$8+(B26-$I$8)*$J$8,0)+IF(AND(B26&gt;$I$9,B26&lt;$H$9),$G$9+(B26-$I$9)*$J$9,0)</f>
        <v>7442.1439938317208</v>
      </c>
      <c r="D26" s="30">
        <f>'Main Info'!F3</f>
        <v>65536.538963345534</v>
      </c>
      <c r="E26" s="30">
        <f t="shared" ref="E26:E54" si="3">IF(AND(D26&gt;$I$12,D26&lt;$H$12),$G$12+(D26-$I$12)*$J$12,0)+IF(AND(D26&gt;$I$13,D26&lt;$H$13),$G$13+(D26-$I$13)*$J$13,0)+IF(AND(D26&gt;$I$14,D26&lt;$H$14),$G$14+(D26-$I$14)*$J$14,0)+IF(AND(D26&gt;$I$14,D26&lt;$H$14),$G$14+(D26-$I$14)*$J$14,0)+IF(AND(D26&gt;$I$15,D26&lt;$H$15),$G$15+(D26-$I$15)*$J$15,0)+IF(AND(D26&gt;$I$16,D26&lt;$H$16),$G$16+(D26-$I$16)*$J$16,0)+IF(AND(D26&gt;$I$17,D26&lt;$H$17),$G$17+(D26-$I$17)*$J$17,0)+IF(AND(D26&gt;$I$18,D26&lt;$H$18),$G$18+(D26-$I$18)*$J$18,0)+IF(AND(D26&gt;$I$19,D26&lt;$H$19),$G$19+(D26-$I$19)*$J$19,0)+IF(AND(D26&gt;$I$20,D26&lt;$H$20),$G$20+(D26-$I$20)*$J$20,0)+IF(AND(D26&gt;$I$21,D26&lt;$H$21),$G$21+(D26-$I$21)*$J$21,0)</f>
        <v>1855.9123378007321</v>
      </c>
    </row>
    <row r="27" spans="1:10">
      <c r="A27" s="29">
        <f t="shared" ref="A27:A54" si="4">A26+1</f>
        <v>2018</v>
      </c>
      <c r="B27" s="30">
        <f>'Main Info'!G4</f>
        <v>59609.454897893389</v>
      </c>
      <c r="C27" s="44">
        <f t="shared" si="2"/>
        <v>8013.7682346840083</v>
      </c>
      <c r="D27" s="30">
        <f>'Main Info'!F4</f>
        <v>69590.611593503592</v>
      </c>
      <c r="E27" s="30">
        <f t="shared" si="3"/>
        <v>2099.1566956102151</v>
      </c>
    </row>
    <row r="28" spans="1:10">
      <c r="A28" s="29">
        <f t="shared" si="4"/>
        <v>2019</v>
      </c>
      <c r="B28" s="30">
        <f>'Main Info'!G5</f>
        <v>63573.222410312941</v>
      </c>
      <c r="C28" s="44">
        <f t="shared" si="2"/>
        <v>8608.3333615469419</v>
      </c>
      <c r="D28" s="30">
        <f>'Main Info'!F5</f>
        <v>73807.385542886113</v>
      </c>
      <c r="E28" s="30">
        <f t="shared" si="3"/>
        <v>2352.1631325731669</v>
      </c>
    </row>
    <row r="29" spans="1:10">
      <c r="A29" s="29">
        <f t="shared" si="4"/>
        <v>2020</v>
      </c>
      <c r="B29" s="30">
        <f>'Main Info'!G6</f>
        <v>67696.067352075115</v>
      </c>
      <c r="C29" s="44">
        <f t="shared" si="2"/>
        <v>9226.7601028112658</v>
      </c>
      <c r="D29" s="30">
        <f>'Main Info'!F6</f>
        <v>78193.390800079913</v>
      </c>
      <c r="E29" s="30">
        <f t="shared" si="3"/>
        <v>2615.323448004795</v>
      </c>
    </row>
    <row r="30" spans="1:10">
      <c r="A30" s="29">
        <f t="shared" si="4"/>
        <v>2021</v>
      </c>
      <c r="B30" s="30">
        <f>'Main Info'!G7</f>
        <v>71960.185891161178</v>
      </c>
      <c r="C30" s="44">
        <f t="shared" si="2"/>
        <v>9866.3778836741767</v>
      </c>
      <c r="D30" s="30">
        <f>'Main Info'!F7</f>
        <v>82755.419446914326</v>
      </c>
      <c r="E30" s="30">
        <f t="shared" si="3"/>
        <v>2913.233555753146</v>
      </c>
    </row>
    <row r="31" spans="1:10">
      <c r="A31" s="29">
        <f t="shared" si="4"/>
        <v>2022</v>
      </c>
      <c r="B31" s="30">
        <f>'Main Info'!G8</f>
        <v>76325.693284313485</v>
      </c>
      <c r="C31" s="44">
        <f t="shared" si="2"/>
        <v>10623.673321078371</v>
      </c>
      <c r="D31" s="30">
        <f>'Main Info'!F8</f>
        <v>87500.536178601615</v>
      </c>
      <c r="E31" s="30">
        <f t="shared" si="3"/>
        <v>3292.8428942881292</v>
      </c>
    </row>
    <row r="32" spans="1:10">
      <c r="A32" s="29">
        <f t="shared" si="4"/>
        <v>2023</v>
      </c>
      <c r="B32" s="30">
        <f>'Main Info'!G9</f>
        <v>80866.402106473077</v>
      </c>
      <c r="C32" s="44">
        <f t="shared" si="2"/>
        <v>11758.850526618269</v>
      </c>
      <c r="D32" s="30">
        <f>'Main Info'!F9</f>
        <v>92436.089246166375</v>
      </c>
      <c r="E32" s="30">
        <f t="shared" si="3"/>
        <v>3687.6871396933102</v>
      </c>
    </row>
    <row r="33" spans="1:5">
      <c r="A33" s="29">
        <f t="shared" si="4"/>
        <v>2024</v>
      </c>
      <c r="B33" s="30">
        <f>'Main Info'!G10</f>
        <v>85589.34409106677</v>
      </c>
      <c r="C33" s="44">
        <f t="shared" si="2"/>
        <v>12939.586022766693</v>
      </c>
      <c r="D33" s="30">
        <f>'Main Info'!F10</f>
        <v>97569.721838116049</v>
      </c>
      <c r="E33" s="30">
        <f t="shared" si="3"/>
        <v>4098.3777470492842</v>
      </c>
    </row>
    <row r="34" spans="1:5">
      <c r="A34" s="29">
        <f t="shared" si="4"/>
        <v>2025</v>
      </c>
      <c r="B34" s="30">
        <f>'Main Info'!G11</f>
        <v>90501.833205466042</v>
      </c>
      <c r="C34" s="44">
        <f t="shared" si="2"/>
        <v>14167.708301366511</v>
      </c>
      <c r="D34" s="30">
        <f>'Main Info'!F11</f>
        <v>102909.38391898484</v>
      </c>
      <c r="E34" s="30">
        <f t="shared" si="3"/>
        <v>4525.5507135187872</v>
      </c>
    </row>
    <row r="35" spans="1:5">
      <c r="A35" s="29">
        <f t="shared" si="4"/>
        <v>2026</v>
      </c>
      <c r="B35" s="30">
        <f>'Main Info'!G12</f>
        <v>95541.23350058432</v>
      </c>
      <c r="C35" s="44">
        <f t="shared" si="2"/>
        <v>15427.55837514608</v>
      </c>
      <c r="D35" s="30">
        <f>'Main Info'!F12</f>
        <v>108463.34454309187</v>
      </c>
      <c r="E35" s="30">
        <f t="shared" si="3"/>
        <v>5040.111042507544</v>
      </c>
    </row>
    <row r="36" spans="1:5">
      <c r="A36" s="29">
        <f t="shared" si="4"/>
        <v>2027</v>
      </c>
      <c r="B36" s="30">
        <f>'Main Info'!G13</f>
        <v>100780.84562896902</v>
      </c>
      <c r="C36" s="44">
        <f t="shared" si="2"/>
        <v>16737.461407242256</v>
      </c>
      <c r="D36" s="30">
        <f>'Main Info'!F13</f>
        <v>114240.20466258988</v>
      </c>
      <c r="E36" s="30">
        <f t="shared" si="3"/>
        <v>5577.359033620859</v>
      </c>
    </row>
    <row r="37" spans="1:5">
      <c r="A37" s="29">
        <f t="shared" si="4"/>
        <v>2028</v>
      </c>
      <c r="B37" s="30">
        <f>'Main Info'!G14</f>
        <v>106230.74177782997</v>
      </c>
      <c r="C37" s="44">
        <f t="shared" si="2"/>
        <v>18099.935444457493</v>
      </c>
      <c r="D37" s="30">
        <f>'Main Info'!F14</f>
        <v>120248.91044964716</v>
      </c>
      <c r="E37" s="30">
        <f t="shared" si="3"/>
        <v>6136.1686718171859</v>
      </c>
    </row>
    <row r="38" spans="1:5">
      <c r="A38" s="29">
        <f t="shared" si="4"/>
        <v>2029</v>
      </c>
      <c r="B38" s="30">
        <f>'Main Info'!G15</f>
        <v>111899.36180813526</v>
      </c>
      <c r="C38" s="44">
        <f t="shared" si="2"/>
        <v>19517.090452033815</v>
      </c>
      <c r="D38" s="30">
        <f>'Main Info'!F15</f>
        <v>126498.76715340161</v>
      </c>
      <c r="E38" s="30">
        <f t="shared" si="3"/>
        <v>6717.4053452663502</v>
      </c>
    </row>
    <row r="39" spans="1:5">
      <c r="A39" s="29">
        <f t="shared" si="4"/>
        <v>2030</v>
      </c>
      <c r="B39" s="30">
        <f>'Main Info'!G16</f>
        <v>117795.48433643187</v>
      </c>
      <c r="C39" s="44">
        <f t="shared" si="2"/>
        <v>20991.121084107966</v>
      </c>
      <c r="D39" s="30">
        <f>'Main Info'!F16</f>
        <v>132999.45351315531</v>
      </c>
      <c r="E39" s="30">
        <f t="shared" si="3"/>
        <v>7321.9691767234444</v>
      </c>
    </row>
    <row r="40" spans="1:5">
      <c r="A40" s="29">
        <f t="shared" si="4"/>
        <v>2031</v>
      </c>
      <c r="B40" s="30">
        <f>'Main Info'!G17</f>
        <v>123916.89875958188</v>
      </c>
      <c r="C40" s="44">
        <f t="shared" si="2"/>
        <v>22521.474689895469</v>
      </c>
      <c r="D40" s="30">
        <f>'Main Info'!F17</f>
        <v>138769.48044055334</v>
      </c>
      <c r="E40" s="30">
        <f t="shared" si="3"/>
        <v>7858.5816809714606</v>
      </c>
    </row>
    <row r="41" spans="1:5">
      <c r="A41" s="29">
        <f t="shared" si="4"/>
        <v>2032</v>
      </c>
      <c r="B41" s="30">
        <f>'Main Info'!G18</f>
        <v>129143.95718996519</v>
      </c>
      <c r="C41" s="44">
        <f t="shared" si="2"/>
        <v>23828.239297491298</v>
      </c>
      <c r="D41" s="30">
        <f>'Main Info'!F18</f>
        <v>144532.49965817551</v>
      </c>
      <c r="E41" s="30">
        <f t="shared" si="3"/>
        <v>8394.5424682103221</v>
      </c>
    </row>
    <row r="42" spans="1:5">
      <c r="A42" s="29">
        <f t="shared" si="4"/>
        <v>2033</v>
      </c>
      <c r="B42" s="30">
        <f>'Main Info'!G19</f>
        <v>134580.09795756376</v>
      </c>
      <c r="C42" s="44">
        <f t="shared" si="2"/>
        <v>25187.27448939094</v>
      </c>
      <c r="D42" s="30">
        <f>'Main Info'!F19</f>
        <v>150526.03964450251</v>
      </c>
      <c r="E42" s="30">
        <f t="shared" si="3"/>
        <v>8951.9416869387351</v>
      </c>
    </row>
    <row r="43" spans="1:5">
      <c r="A43" s="29">
        <f t="shared" si="4"/>
        <v>2034</v>
      </c>
      <c r="B43" s="30">
        <f>'Main Info'!G20</f>
        <v>140233.68435586634</v>
      </c>
      <c r="C43" s="44">
        <f t="shared" si="2"/>
        <v>26600.671088966585</v>
      </c>
      <c r="D43" s="30">
        <f>'Main Info'!F20</f>
        <v>156759.32123028263</v>
      </c>
      <c r="E43" s="30">
        <f t="shared" si="3"/>
        <v>9531.6368744162846</v>
      </c>
    </row>
    <row r="44" spans="1:5">
      <c r="A44" s="29">
        <f t="shared" si="4"/>
        <v>2035</v>
      </c>
      <c r="B44" s="30">
        <f>'Main Info'!G21</f>
        <v>146113.41421010101</v>
      </c>
      <c r="C44" s="44">
        <f t="shared" si="2"/>
        <v>28070.603552525252</v>
      </c>
      <c r="D44" s="30">
        <f>'Main Info'!F21</f>
        <v>163241.93407949395</v>
      </c>
      <c r="E44" s="30">
        <f t="shared" si="3"/>
        <v>10134.519869392938</v>
      </c>
    </row>
    <row r="45" spans="1:5">
      <c r="A45" s="29">
        <f t="shared" si="4"/>
        <v>2036</v>
      </c>
      <c r="B45" s="30">
        <f>'Main Info'!G22</f>
        <v>152228.33325850504</v>
      </c>
      <c r="C45" s="44">
        <f t="shared" si="2"/>
        <v>29609.153312381412</v>
      </c>
      <c r="D45" s="30">
        <f>'Main Info'!F22</f>
        <v>169983.85144267371</v>
      </c>
      <c r="E45" s="30">
        <f t="shared" si="3"/>
        <v>10761.518184168655</v>
      </c>
    </row>
    <row r="46" spans="1:5">
      <c r="A46" s="29">
        <f t="shared" si="4"/>
        <v>2037</v>
      </c>
      <c r="B46" s="30">
        <f>'Main Info'!G23</f>
        <v>158587.8490688453</v>
      </c>
      <c r="C46" s="44">
        <f t="shared" si="2"/>
        <v>31389.817739276685</v>
      </c>
      <c r="D46" s="30">
        <f>'Main Info'!F23</f>
        <v>176995.44550038071</v>
      </c>
      <c r="E46" s="30">
        <f t="shared" si="3"/>
        <v>11413.596431535407</v>
      </c>
    </row>
    <row r="47" spans="1:5">
      <c r="A47" s="29">
        <f t="shared" si="4"/>
        <v>2038</v>
      </c>
      <c r="B47" s="30">
        <f>'Main Info'!G24</f>
        <v>165201.74551159909</v>
      </c>
      <c r="C47" s="44">
        <f t="shared" si="2"/>
        <v>33241.708743247742</v>
      </c>
      <c r="D47" s="30">
        <f>'Main Info'!F24</f>
        <v>184287.50332039592</v>
      </c>
      <c r="E47" s="30">
        <f t="shared" si="3"/>
        <v>12091.757808796821</v>
      </c>
    </row>
    <row r="48" spans="1:5">
      <c r="A48" s="29">
        <f t="shared" si="4"/>
        <v>2039</v>
      </c>
      <c r="B48" s="30">
        <f>'Main Info'!G25</f>
        <v>172080.19781206304</v>
      </c>
      <c r="C48" s="44">
        <f t="shared" si="2"/>
        <v>35167.675387377647</v>
      </c>
      <c r="D48" s="30">
        <f>'Main Info'!F25</f>
        <v>191871.24345321173</v>
      </c>
      <c r="E48" s="30">
        <f t="shared" si="3"/>
        <v>12797.045641148692</v>
      </c>
    </row>
    <row r="49" spans="1:5">
      <c r="A49" s="29">
        <f t="shared" si="4"/>
        <v>2040</v>
      </c>
      <c r="B49" s="30">
        <f>'Main Info'!G26</f>
        <v>179233.78820454556</v>
      </c>
      <c r="C49" s="44">
        <f t="shared" si="2"/>
        <v>37170.680697272757</v>
      </c>
      <c r="D49" s="30">
        <f>'Main Info'!F26</f>
        <v>199758.33319134021</v>
      </c>
      <c r="E49" s="30">
        <f t="shared" si="3"/>
        <v>13530.544986794639</v>
      </c>
    </row>
    <row r="50" spans="1:5">
      <c r="A50" s="29">
        <f t="shared" si="4"/>
        <v>2041</v>
      </c>
      <c r="B50" s="30">
        <f>'Main Info'!G27</f>
        <v>186673.52221272743</v>
      </c>
      <c r="C50" s="44">
        <f t="shared" si="2"/>
        <v>39253.806219563681</v>
      </c>
      <c r="D50" s="30">
        <f>'Main Info'!F27</f>
        <v>207960.90651899387</v>
      </c>
      <c r="E50" s="30">
        <f t="shared" si="3"/>
        <v>14293.384306266431</v>
      </c>
    </row>
    <row r="51" spans="1:5">
      <c r="A51" s="29">
        <f t="shared" si="4"/>
        <v>2042</v>
      </c>
      <c r="B51" s="30">
        <f>'Main Info'!G28</f>
        <v>194410.84558123653</v>
      </c>
      <c r="C51" s="44">
        <f t="shared" si="2"/>
        <v>41420.256762746227</v>
      </c>
      <c r="D51" s="30">
        <f>'Main Info'!F28</f>
        <v>216491.5827797536</v>
      </c>
      <c r="E51" s="30">
        <f t="shared" si="3"/>
        <v>15086.737198517085</v>
      </c>
    </row>
    <row r="52" spans="1:5">
      <c r="A52" s="29">
        <f t="shared" si="4"/>
        <v>2043</v>
      </c>
      <c r="B52" s="30">
        <f>'Main Info'!G29</f>
        <v>202457.66188448598</v>
      </c>
      <c r="C52" s="44">
        <f t="shared" si="2"/>
        <v>43673.365327656073</v>
      </c>
      <c r="D52" s="30">
        <f>'Main Info'!F29</f>
        <v>225363.48609094374</v>
      </c>
      <c r="E52" s="30">
        <f t="shared" si="3"/>
        <v>15911.824206457768</v>
      </c>
    </row>
    <row r="53" spans="1:5">
      <c r="A53" s="29">
        <f t="shared" si="4"/>
        <v>2044</v>
      </c>
      <c r="B53" s="30">
        <f>'Main Info'!G30</f>
        <v>210826.35083986548</v>
      </c>
      <c r="C53" s="44">
        <f t="shared" si="2"/>
        <v>46016.598235162339</v>
      </c>
      <c r="D53" s="30">
        <f>'Main Info'!F30</f>
        <v>234590.26553458156</v>
      </c>
      <c r="E53" s="30">
        <f t="shared" si="3"/>
        <v>16769.914694716084</v>
      </c>
    </row>
    <row r="54" spans="1:5">
      <c r="A54" s="29">
        <f t="shared" si="4"/>
        <v>2045</v>
      </c>
      <c r="B54" s="30">
        <f>'Main Info'!G31</f>
        <v>219529.78735346009</v>
      </c>
      <c r="C54" s="44">
        <f t="shared" si="2"/>
        <v>48453.56045896883</v>
      </c>
      <c r="D54" s="30">
        <f>'Main Info'!F31</f>
        <v>244186.11615596482</v>
      </c>
      <c r="E54" s="30">
        <f t="shared" si="3"/>
        <v>17662.32880250473</v>
      </c>
    </row>
    <row r="55" spans="1:5">
      <c r="A55" s="17"/>
    </row>
    <row r="56" spans="1:5">
      <c r="A56" s="17"/>
    </row>
    <row r="57" spans="1:5">
      <c r="A57" s="17"/>
    </row>
    <row r="58" spans="1:5">
      <c r="A58" s="17"/>
    </row>
    <row r="59" spans="1:5">
      <c r="A59" s="17"/>
    </row>
    <row r="60" spans="1:5">
      <c r="A60" s="17"/>
    </row>
    <row r="61" spans="1:5">
      <c r="A61" s="17"/>
    </row>
    <row r="62" spans="1:5">
      <c r="A62" s="17"/>
    </row>
    <row r="63" spans="1:5">
      <c r="A63" s="17"/>
    </row>
    <row r="64" spans="1:5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</sheetData>
  <mergeCells count="2">
    <mergeCell ref="B2:C2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7" sqref="D7"/>
    </sheetView>
  </sheetViews>
  <sheetFormatPr defaultRowHeight="15"/>
  <cols>
    <col min="3" max="3" width="91.5703125" bestFit="1" customWidth="1"/>
  </cols>
  <sheetData>
    <row r="1" spans="2:4">
      <c r="B1" t="s">
        <v>139</v>
      </c>
      <c r="C1" t="s">
        <v>140</v>
      </c>
      <c r="D1" t="s">
        <v>146</v>
      </c>
    </row>
    <row r="2" spans="2:4">
      <c r="B2">
        <v>1</v>
      </c>
      <c r="C2" t="s">
        <v>141</v>
      </c>
      <c r="D2" t="s">
        <v>147</v>
      </c>
    </row>
    <row r="3" spans="2:4">
      <c r="B3">
        <f>B2+1</f>
        <v>2</v>
      </c>
      <c r="C3" t="s">
        <v>142</v>
      </c>
      <c r="D3" t="s">
        <v>147</v>
      </c>
    </row>
    <row r="4" spans="2:4">
      <c r="B4" s="17">
        <f t="shared" ref="B4:B15" si="0">B3+1</f>
        <v>3</v>
      </c>
      <c r="C4" t="s">
        <v>143</v>
      </c>
      <c r="D4" t="s">
        <v>147</v>
      </c>
    </row>
    <row r="5" spans="2:4">
      <c r="B5" s="17">
        <f t="shared" si="0"/>
        <v>4</v>
      </c>
      <c r="C5" t="s">
        <v>144</v>
      </c>
      <c r="D5" t="s">
        <v>147</v>
      </c>
    </row>
    <row r="6" spans="2:4">
      <c r="B6" s="17">
        <f t="shared" si="0"/>
        <v>5</v>
      </c>
      <c r="C6" t="s">
        <v>145</v>
      </c>
      <c r="D6" t="s">
        <v>147</v>
      </c>
    </row>
    <row r="7" spans="2:4">
      <c r="B7" s="17">
        <f t="shared" si="0"/>
        <v>6</v>
      </c>
    </row>
    <row r="8" spans="2:4">
      <c r="B8" s="17">
        <f t="shared" si="0"/>
        <v>7</v>
      </c>
    </row>
    <row r="9" spans="2:4">
      <c r="B9" s="17">
        <f t="shared" si="0"/>
        <v>8</v>
      </c>
    </row>
    <row r="10" spans="2:4">
      <c r="B10" s="17">
        <f t="shared" si="0"/>
        <v>9</v>
      </c>
    </row>
    <row r="11" spans="2:4">
      <c r="B11" s="17">
        <f t="shared" si="0"/>
        <v>10</v>
      </c>
    </row>
    <row r="12" spans="2:4">
      <c r="B12" s="17">
        <f t="shared" si="0"/>
        <v>11</v>
      </c>
    </row>
    <row r="13" spans="2:4">
      <c r="B13" s="17">
        <f t="shared" si="0"/>
        <v>12</v>
      </c>
    </row>
    <row r="14" spans="2:4">
      <c r="B14" s="17">
        <f t="shared" si="0"/>
        <v>13</v>
      </c>
    </row>
    <row r="15" spans="2:4">
      <c r="B15" s="17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Input</vt:lpstr>
      <vt:lpstr>Main Info</vt:lpstr>
      <vt:lpstr>Mortgage Sheet</vt:lpstr>
      <vt:lpstr>Spending</vt:lpstr>
      <vt:lpstr>Tax Information</vt:lpstr>
      <vt:lpstr>Change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2014-11-26T22:01:58Z</dcterms:created>
  <dcterms:modified xsi:type="dcterms:W3CDTF">2016-09-09T01:15:55Z</dcterms:modified>
</cp:coreProperties>
</file>