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Student Loans" sheetId="9" r:id="rId6"/>
    <sheet name="Credit Card Debt" sheetId="10" r:id="rId7"/>
    <sheet name="Change Lo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B18" i="8" s="1"/>
  <c r="B19" i="8" s="1"/>
  <c r="B20" i="8" s="1"/>
  <c r="B21" i="8" s="1"/>
  <c r="B22" i="8" s="1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1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24" i="7"/>
  <c r="F3" i="4"/>
  <c r="F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4" i="7"/>
  <c r="E9" i="7"/>
  <c r="F12" i="7"/>
  <c r="E24" i="7" s="1"/>
  <c r="E35" i="7" s="1"/>
  <c r="E12" i="7"/>
  <c r="G2" i="9" l="1"/>
  <c r="G3" i="9"/>
  <c r="E10" i="7"/>
  <c r="E11" i="7"/>
  <c r="A6" i="1" l="1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I5" i="10" s="1"/>
  <c r="F5" i="10" s="1"/>
  <c r="E1" i="9"/>
  <c r="C44" i="9"/>
  <c r="H5" i="9"/>
  <c r="J5" i="9" s="1"/>
  <c r="I5" i="9"/>
  <c r="F5" i="9" s="1"/>
  <c r="B5" i="8"/>
  <c r="B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4" i="8"/>
  <c r="C15" i="6"/>
  <c r="C6" i="6"/>
  <c r="H5" i="10" l="1"/>
  <c r="G5" i="10" s="1"/>
  <c r="K6" i="10" s="1"/>
  <c r="K3" i="10"/>
  <c r="O7" i="7" s="1"/>
  <c r="J5" i="10"/>
  <c r="G5" i="9"/>
  <c r="K6" i="9" s="1"/>
  <c r="K3" i="9"/>
  <c r="L7" i="7" s="1"/>
  <c r="A25" i="6"/>
  <c r="D24" i="7" l="1"/>
  <c r="D35" i="7" s="1"/>
  <c r="I6" i="10"/>
  <c r="F6" i="10" s="1"/>
  <c r="H6" i="10"/>
  <c r="I6" i="9"/>
  <c r="F6" i="9" s="1"/>
  <c r="H6" i="9"/>
  <c r="J6" i="9" s="1"/>
  <c r="E4" i="7"/>
  <c r="E16" i="7"/>
  <c r="B16" i="7"/>
  <c r="B4" i="7"/>
  <c r="H6" i="7"/>
  <c r="B61" i="7"/>
  <c r="A3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O13" i="7"/>
  <c r="O14" i="7" s="1"/>
  <c r="I24" i="7" s="1"/>
  <c r="I9" i="4" l="1"/>
  <c r="I35" i="7"/>
  <c r="B3" i="4"/>
  <c r="A4" i="4"/>
  <c r="B2" i="2"/>
  <c r="E3" i="4" s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4" i="4" l="1"/>
  <c r="A5" i="4"/>
  <c r="D2" i="2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61" i="7"/>
  <c r="F61" i="7" s="1"/>
  <c r="E14" i="7"/>
  <c r="B5" i="4" l="1"/>
  <c r="A6" i="4"/>
  <c r="G7" i="10"/>
  <c r="K8" i="10" s="1"/>
  <c r="J7" i="10"/>
  <c r="G7" i="9"/>
  <c r="K8" i="9" s="1"/>
  <c r="F35" i="7"/>
  <c r="B62" i="7"/>
  <c r="E8" i="7"/>
  <c r="F6" i="4" l="1"/>
  <c r="F10" i="4"/>
  <c r="F14" i="4"/>
  <c r="F18" i="4"/>
  <c r="F22" i="4"/>
  <c r="F26" i="4"/>
  <c r="F30" i="4"/>
  <c r="F34" i="4"/>
  <c r="F38" i="4"/>
  <c r="F42" i="4"/>
  <c r="F7" i="4"/>
  <c r="F11" i="4"/>
  <c r="F15" i="4"/>
  <c r="F19" i="4"/>
  <c r="F23" i="4"/>
  <c r="F27" i="4"/>
  <c r="F31" i="4"/>
  <c r="F35" i="4"/>
  <c r="F39" i="4"/>
  <c r="F21" i="4"/>
  <c r="F25" i="4"/>
  <c r="F33" i="4"/>
  <c r="F37" i="4"/>
  <c r="F8" i="4"/>
  <c r="F12" i="4"/>
  <c r="F16" i="4"/>
  <c r="F20" i="4"/>
  <c r="F24" i="4"/>
  <c r="F28" i="4"/>
  <c r="F32" i="4"/>
  <c r="F36" i="4"/>
  <c r="F40" i="4"/>
  <c r="F5" i="4"/>
  <c r="F9" i="4"/>
  <c r="F13" i="4"/>
  <c r="F17" i="4"/>
  <c r="F29" i="4"/>
  <c r="F41" i="4"/>
  <c r="B6" i="4"/>
  <c r="A7" i="4"/>
  <c r="I8" i="10"/>
  <c r="F8" i="10" s="1"/>
  <c r="H8" i="10"/>
  <c r="J8" i="10" s="1"/>
  <c r="I8" i="9"/>
  <c r="F8" i="9" s="1"/>
  <c r="H8" i="9"/>
  <c r="J8" i="9" s="1"/>
  <c r="E62" i="7"/>
  <c r="F62" i="7" s="1"/>
  <c r="B63" i="7"/>
  <c r="E1" i="2"/>
  <c r="B1" i="2"/>
  <c r="E15" i="7"/>
  <c r="E6" i="7"/>
  <c r="E7" i="7"/>
  <c r="E13" i="7"/>
  <c r="E5" i="7"/>
  <c r="B7" i="4" l="1"/>
  <c r="A8" i="4"/>
  <c r="G8" i="10"/>
  <c r="K9" i="10" s="1"/>
  <c r="G8" i="9"/>
  <c r="K9" i="9" s="1"/>
  <c r="E63" i="7"/>
  <c r="F63" i="7" s="1"/>
  <c r="B64" i="7"/>
  <c r="A3" i="2"/>
  <c r="B8" i="4" l="1"/>
  <c r="A9" i="4"/>
  <c r="I9" i="10"/>
  <c r="F9" i="10" s="1"/>
  <c r="H9" i="10"/>
  <c r="J9" i="10" s="1"/>
  <c r="I9" i="9"/>
  <c r="F9" i="9" s="1"/>
  <c r="H9" i="9"/>
  <c r="J9" i="9" s="1"/>
  <c r="E3" i="2"/>
  <c r="B3" i="2"/>
  <c r="B65" i="7"/>
  <c r="E64" i="7"/>
  <c r="F64" i="7" s="1"/>
  <c r="A4" i="2"/>
  <c r="B9" i="4" l="1"/>
  <c r="A10" i="4"/>
  <c r="E4" i="4"/>
  <c r="G9" i="10"/>
  <c r="K10" i="10" s="1"/>
  <c r="G9" i="9"/>
  <c r="K10" i="9" s="1"/>
  <c r="D3" i="2"/>
  <c r="B4" i="2"/>
  <c r="E4" i="2"/>
  <c r="C3" i="2"/>
  <c r="P3" i="2" s="1"/>
  <c r="B66" i="7"/>
  <c r="E65" i="7"/>
  <c r="F65" i="7" s="1"/>
  <c r="A5" i="2"/>
  <c r="B10" i="4" l="1"/>
  <c r="A11" i="4"/>
  <c r="E5" i="4"/>
  <c r="I10" i="10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67" i="7"/>
  <c r="E66" i="7"/>
  <c r="F66" i="7" s="1"/>
  <c r="A6" i="2"/>
  <c r="B11" i="4" l="1"/>
  <c r="A12" i="4"/>
  <c r="E6" i="4"/>
  <c r="G10" i="10"/>
  <c r="K11" i="10" s="1"/>
  <c r="H11" i="10" s="1"/>
  <c r="J11" i="10" s="1"/>
  <c r="G10" i="9"/>
  <c r="K11" i="9" s="1"/>
  <c r="I11" i="9" s="1"/>
  <c r="F11" i="9" s="1"/>
  <c r="C5" i="2"/>
  <c r="P5" i="2" s="1"/>
  <c r="D5" i="2"/>
  <c r="E6" i="2"/>
  <c r="B6" i="2"/>
  <c r="B68" i="7"/>
  <c r="E67" i="7"/>
  <c r="F67" i="7" s="1"/>
  <c r="A7" i="2"/>
  <c r="B12" i="4" l="1"/>
  <c r="A13" i="4"/>
  <c r="D6" i="2"/>
  <c r="E7" i="4"/>
  <c r="I11" i="10"/>
  <c r="F11" i="10" s="1"/>
  <c r="G11" i="10" s="1"/>
  <c r="K12" i="10" s="1"/>
  <c r="H12" i="10" s="1"/>
  <c r="J12" i="10" s="1"/>
  <c r="H11" i="9"/>
  <c r="J11" i="9" s="1"/>
  <c r="C6" i="2"/>
  <c r="P6" i="2" s="1"/>
  <c r="E7" i="2"/>
  <c r="B7" i="2"/>
  <c r="B69" i="7"/>
  <c r="E68" i="7"/>
  <c r="F68" i="7" s="1"/>
  <c r="A8" i="2"/>
  <c r="L5" i="2"/>
  <c r="M5" i="2"/>
  <c r="B13" i="4" l="1"/>
  <c r="A14" i="4"/>
  <c r="D7" i="2"/>
  <c r="E8" i="4"/>
  <c r="I12" i="10"/>
  <c r="F12" i="10" s="1"/>
  <c r="G12" i="10" s="1"/>
  <c r="K13" i="10" s="1"/>
  <c r="G11" i="9"/>
  <c r="K12" i="9" s="1"/>
  <c r="H12" i="9" s="1"/>
  <c r="J12" i="9" s="1"/>
  <c r="C7" i="2"/>
  <c r="P7" i="2" s="1"/>
  <c r="B8" i="2"/>
  <c r="E8" i="2"/>
  <c r="B70" i="7"/>
  <c r="E69" i="7"/>
  <c r="F69" i="7" s="1"/>
  <c r="A9" i="2"/>
  <c r="L3" i="2"/>
  <c r="L4" i="2"/>
  <c r="B14" i="4" l="1"/>
  <c r="A15" i="4"/>
  <c r="C8" i="2"/>
  <c r="P8" i="2" s="1"/>
  <c r="E9" i="4"/>
  <c r="H13" i="10"/>
  <c r="J13" i="10" s="1"/>
  <c r="I13" i="10"/>
  <c r="F13" i="10" s="1"/>
  <c r="I12" i="9"/>
  <c r="F12" i="9" s="1"/>
  <c r="G12" i="9" s="1"/>
  <c r="K13" i="9" s="1"/>
  <c r="I13" i="9" s="1"/>
  <c r="F13" i="9" s="1"/>
  <c r="B9" i="2"/>
  <c r="E9" i="2"/>
  <c r="D8" i="2"/>
  <c r="B71" i="7"/>
  <c r="E70" i="7"/>
  <c r="F70" i="7" s="1"/>
  <c r="A10" i="2"/>
  <c r="B15" i="4" l="1"/>
  <c r="A16" i="4"/>
  <c r="C9" i="2"/>
  <c r="P9" i="2" s="1"/>
  <c r="E10" i="4"/>
  <c r="G13" i="10"/>
  <c r="K14" i="10" s="1"/>
  <c r="I14" i="10" s="1"/>
  <c r="F14" i="10" s="1"/>
  <c r="H13" i="9"/>
  <c r="J13" i="9" s="1"/>
  <c r="D9" i="2"/>
  <c r="E10" i="2"/>
  <c r="B10" i="2"/>
  <c r="B72" i="7"/>
  <c r="E71" i="7"/>
  <c r="F71" i="7" s="1"/>
  <c r="A11" i="2"/>
  <c r="B16" i="4" l="1"/>
  <c r="A17" i="4"/>
  <c r="D10" i="2"/>
  <c r="E11" i="4"/>
  <c r="H14" i="10"/>
  <c r="J14" i="10" s="1"/>
  <c r="G13" i="9"/>
  <c r="K14" i="9" s="1"/>
  <c r="E11" i="2"/>
  <c r="B11" i="2"/>
  <c r="C10" i="2"/>
  <c r="P10" i="2" s="1"/>
  <c r="B73" i="7"/>
  <c r="E72" i="7"/>
  <c r="F72" i="7" s="1"/>
  <c r="A12" i="2"/>
  <c r="B17" i="4" l="1"/>
  <c r="A18" i="4"/>
  <c r="D11" i="2"/>
  <c r="E12" i="4"/>
  <c r="G14" i="10"/>
  <c r="K15" i="10" s="1"/>
  <c r="I15" i="10" s="1"/>
  <c r="F15" i="10" s="1"/>
  <c r="B12" i="2"/>
  <c r="I14" i="9"/>
  <c r="F14" i="9" s="1"/>
  <c r="H14" i="9"/>
  <c r="J14" i="9" s="1"/>
  <c r="E12" i="2"/>
  <c r="C11" i="2"/>
  <c r="P11" i="2" s="1"/>
  <c r="B74" i="7"/>
  <c r="E73" i="7"/>
  <c r="F73" i="7" s="1"/>
  <c r="A13" i="2"/>
  <c r="B18" i="4" l="1"/>
  <c r="A19" i="4"/>
  <c r="C12" i="2"/>
  <c r="P12" i="2" s="1"/>
  <c r="E13" i="4"/>
  <c r="H15" i="10"/>
  <c r="J15" i="10" s="1"/>
  <c r="B13" i="2"/>
  <c r="G14" i="9"/>
  <c r="K15" i="9" s="1"/>
  <c r="H15" i="9" s="1"/>
  <c r="J15" i="9" s="1"/>
  <c r="D12" i="2"/>
  <c r="E13" i="2"/>
  <c r="B75" i="7"/>
  <c r="E74" i="7"/>
  <c r="F74" i="7" s="1"/>
  <c r="A14" i="2"/>
  <c r="L6" i="2"/>
  <c r="Q5" i="2"/>
  <c r="B19" i="4" l="1"/>
  <c r="A20" i="4"/>
  <c r="C13" i="2"/>
  <c r="P13" i="2" s="1"/>
  <c r="E14" i="4"/>
  <c r="G15" i="10"/>
  <c r="K16" i="10" s="1"/>
  <c r="I16" i="10" s="1"/>
  <c r="F16" i="10" s="1"/>
  <c r="B6" i="10" s="1"/>
  <c r="I15" i="9"/>
  <c r="F15" i="9" s="1"/>
  <c r="G15" i="9" s="1"/>
  <c r="K16" i="9" s="1"/>
  <c r="H16" i="9" s="1"/>
  <c r="J16" i="9" s="1"/>
  <c r="B14" i="2"/>
  <c r="D13" i="2"/>
  <c r="E14" i="2"/>
  <c r="B76" i="7"/>
  <c r="E75" i="7"/>
  <c r="F75" i="7" s="1"/>
  <c r="A15" i="2"/>
  <c r="L7" i="2"/>
  <c r="B20" i="4" l="1"/>
  <c r="A21" i="4"/>
  <c r="D14" i="2"/>
  <c r="E15" i="4"/>
  <c r="H16" i="10"/>
  <c r="J16" i="10" s="1"/>
  <c r="I16" i="9"/>
  <c r="F16" i="9" s="1"/>
  <c r="G16" i="9" s="1"/>
  <c r="K17" i="9" s="1"/>
  <c r="B15" i="2"/>
  <c r="C14" i="2"/>
  <c r="P14" i="2" s="1"/>
  <c r="E15" i="2"/>
  <c r="B77" i="7"/>
  <c r="E76" i="7"/>
  <c r="F76" i="7" s="1"/>
  <c r="A16" i="2"/>
  <c r="L8" i="2"/>
  <c r="B21" i="4" l="1"/>
  <c r="A22" i="4"/>
  <c r="D15" i="2"/>
  <c r="E16" i="4"/>
  <c r="G16" i="10"/>
  <c r="K17" i="10" s="1"/>
  <c r="H17" i="10" s="1"/>
  <c r="J17" i="10" s="1"/>
  <c r="B6" i="9"/>
  <c r="D3" i="4" s="1"/>
  <c r="B16" i="2"/>
  <c r="I17" i="9"/>
  <c r="F17" i="9" s="1"/>
  <c r="H17" i="9"/>
  <c r="J17" i="9" s="1"/>
  <c r="C15" i="2"/>
  <c r="P15" i="2" s="1"/>
  <c r="E16" i="2"/>
  <c r="B78" i="7"/>
  <c r="E77" i="7"/>
  <c r="F77" i="7" s="1"/>
  <c r="A17" i="2"/>
  <c r="L9" i="2"/>
  <c r="B22" i="4" l="1"/>
  <c r="A23" i="4"/>
  <c r="D16" i="2"/>
  <c r="E17" i="4"/>
  <c r="I17" i="10"/>
  <c r="F17" i="10" s="1"/>
  <c r="G17" i="10" s="1"/>
  <c r="K18" i="10" s="1"/>
  <c r="H18" i="10" s="1"/>
  <c r="C7" i="10" s="1"/>
  <c r="H2" i="2"/>
  <c r="B17" i="2"/>
  <c r="G17" i="9"/>
  <c r="K18" i="9" s="1"/>
  <c r="C16" i="2"/>
  <c r="P16" i="2" s="1"/>
  <c r="E17" i="2"/>
  <c r="B79" i="7"/>
  <c r="E78" i="7"/>
  <c r="F78" i="7" s="1"/>
  <c r="A18" i="2"/>
  <c r="L10" i="2"/>
  <c r="B23" i="4" l="1"/>
  <c r="A24" i="4"/>
  <c r="I18" i="10"/>
  <c r="F18" i="10" s="1"/>
  <c r="G18" i="10" s="1"/>
  <c r="K19" i="10" s="1"/>
  <c r="H19" i="10" s="1"/>
  <c r="C17" i="2"/>
  <c r="P17" i="2" s="1"/>
  <c r="E18" i="4"/>
  <c r="J18" i="10"/>
  <c r="B18" i="2"/>
  <c r="I18" i="9"/>
  <c r="F18" i="9" s="1"/>
  <c r="H18" i="9"/>
  <c r="D17" i="2"/>
  <c r="E18" i="2"/>
  <c r="E79" i="7"/>
  <c r="F79" i="7" s="1"/>
  <c r="B80" i="7"/>
  <c r="A19" i="2"/>
  <c r="L11" i="2"/>
  <c r="B24" i="4" l="1"/>
  <c r="A25" i="4"/>
  <c r="I19" i="10"/>
  <c r="F19" i="10" s="1"/>
  <c r="G19" i="10" s="1"/>
  <c r="K20" i="10" s="1"/>
  <c r="I20" i="10" s="1"/>
  <c r="F20" i="10" s="1"/>
  <c r="D18" i="2"/>
  <c r="E19" i="4"/>
  <c r="J19" i="10"/>
  <c r="B19" i="2"/>
  <c r="J18" i="9"/>
  <c r="C7" i="9"/>
  <c r="G18" i="9"/>
  <c r="K19" i="9" s="1"/>
  <c r="C18" i="2"/>
  <c r="P18" i="2" s="1"/>
  <c r="E19" i="2"/>
  <c r="B81" i="7"/>
  <c r="E80" i="7"/>
  <c r="F80" i="7" s="1"/>
  <c r="A20" i="2"/>
  <c r="L12" i="2"/>
  <c r="B25" i="4" l="1"/>
  <c r="A26" i="4"/>
  <c r="H20" i="10"/>
  <c r="J20" i="10" s="1"/>
  <c r="D19" i="2"/>
  <c r="E20" i="4"/>
  <c r="B20" i="2"/>
  <c r="I19" i="9"/>
  <c r="F19" i="9" s="1"/>
  <c r="H19" i="9"/>
  <c r="J19" i="9" s="1"/>
  <c r="C19" i="2"/>
  <c r="P19" i="2" s="1"/>
  <c r="E20" i="2"/>
  <c r="B82" i="7"/>
  <c r="E81" i="7"/>
  <c r="F81" i="7" s="1"/>
  <c r="A21" i="2"/>
  <c r="L13" i="2"/>
  <c r="B26" i="4" l="1"/>
  <c r="A27" i="4"/>
  <c r="G20" i="10"/>
  <c r="K21" i="10" s="1"/>
  <c r="H21" i="10" s="1"/>
  <c r="J21" i="10" s="1"/>
  <c r="C20" i="2"/>
  <c r="P20" i="2" s="1"/>
  <c r="E21" i="4"/>
  <c r="B21" i="2"/>
  <c r="G19" i="9"/>
  <c r="K20" i="9" s="1"/>
  <c r="D20" i="2"/>
  <c r="E21" i="2"/>
  <c r="B83" i="7"/>
  <c r="E82" i="7"/>
  <c r="F82" i="7" s="1"/>
  <c r="A22" i="2"/>
  <c r="L14" i="2"/>
  <c r="B27" i="4" l="1"/>
  <c r="I21" i="10"/>
  <c r="F21" i="10" s="1"/>
  <c r="A28" i="4"/>
  <c r="C21" i="2"/>
  <c r="P21" i="2" s="1"/>
  <c r="E22" i="4"/>
  <c r="B22" i="2"/>
  <c r="G21" i="10"/>
  <c r="K22" i="10" s="1"/>
  <c r="H20" i="9"/>
  <c r="J20" i="9" s="1"/>
  <c r="I20" i="9"/>
  <c r="F20" i="9" s="1"/>
  <c r="D21" i="2"/>
  <c r="E22" i="2"/>
  <c r="B84" i="7"/>
  <c r="E83" i="7"/>
  <c r="F83" i="7" s="1"/>
  <c r="A23" i="2"/>
  <c r="L15" i="2"/>
  <c r="B28" i="4" l="1"/>
  <c r="A29" i="4"/>
  <c r="D22" i="2"/>
  <c r="E23" i="4"/>
  <c r="G20" i="9"/>
  <c r="K21" i="9" s="1"/>
  <c r="I21" i="9" s="1"/>
  <c r="F21" i="9" s="1"/>
  <c r="B23" i="2"/>
  <c r="I22" i="10"/>
  <c r="F22" i="10" s="1"/>
  <c r="H22" i="10"/>
  <c r="J22" i="10" s="1"/>
  <c r="H21" i="9"/>
  <c r="J21" i="9" s="1"/>
  <c r="E23" i="2"/>
  <c r="C22" i="2"/>
  <c r="P22" i="2" s="1"/>
  <c r="B85" i="7"/>
  <c r="E84" i="7"/>
  <c r="F84" i="7" s="1"/>
  <c r="A24" i="2"/>
  <c r="L16" i="2"/>
  <c r="B29" i="4" l="1"/>
  <c r="A30" i="4"/>
  <c r="D23" i="2"/>
  <c r="E24" i="4"/>
  <c r="G22" i="10"/>
  <c r="K23" i="10" s="1"/>
  <c r="I23" i="10" s="1"/>
  <c r="F23" i="10" s="1"/>
  <c r="B24" i="2"/>
  <c r="G21" i="9"/>
  <c r="K22" i="9" s="1"/>
  <c r="I22" i="9" s="1"/>
  <c r="F22" i="9" s="1"/>
  <c r="C23" i="2"/>
  <c r="P23" i="2" s="1"/>
  <c r="E24" i="2"/>
  <c r="E85" i="7"/>
  <c r="F85" i="7" s="1"/>
  <c r="B86" i="7"/>
  <c r="A25" i="2"/>
  <c r="L17" i="2"/>
  <c r="B30" i="4" l="1"/>
  <c r="A31" i="4"/>
  <c r="C24" i="2"/>
  <c r="P24" i="2" s="1"/>
  <c r="E25" i="4"/>
  <c r="H23" i="10"/>
  <c r="J23" i="10" s="1"/>
  <c r="H22" i="9"/>
  <c r="J22" i="9" s="1"/>
  <c r="B25" i="2"/>
  <c r="D24" i="2"/>
  <c r="E25" i="2"/>
  <c r="E86" i="7"/>
  <c r="F86" i="7" s="1"/>
  <c r="B87" i="7"/>
  <c r="A26" i="2"/>
  <c r="L18" i="2"/>
  <c r="B31" i="4" l="1"/>
  <c r="A32" i="4"/>
  <c r="C25" i="2"/>
  <c r="P25" i="2" s="1"/>
  <c r="E26" i="4"/>
  <c r="G23" i="10"/>
  <c r="K24" i="10" s="1"/>
  <c r="G22" i="9"/>
  <c r="K23" i="9" s="1"/>
  <c r="I23" i="9" s="1"/>
  <c r="F23" i="9" s="1"/>
  <c r="B26" i="2"/>
  <c r="D25" i="2"/>
  <c r="E26" i="2"/>
  <c r="E87" i="7"/>
  <c r="F87" i="7" s="1"/>
  <c r="B88" i="7"/>
  <c r="A27" i="2"/>
  <c r="L19" i="2"/>
  <c r="B32" i="4" l="1"/>
  <c r="A33" i="4"/>
  <c r="D26" i="2"/>
  <c r="E27" i="4"/>
  <c r="H23" i="9"/>
  <c r="J23" i="9" s="1"/>
  <c r="H24" i="10"/>
  <c r="J24" i="10" s="1"/>
  <c r="I24" i="10"/>
  <c r="F24" i="10" s="1"/>
  <c r="B27" i="2"/>
  <c r="C26" i="2"/>
  <c r="P26" i="2" s="1"/>
  <c r="E27" i="2"/>
  <c r="E88" i="7"/>
  <c r="F88" i="7" s="1"/>
  <c r="B89" i="7"/>
  <c r="A28" i="2"/>
  <c r="L20" i="2"/>
  <c r="B33" i="4" l="1"/>
  <c r="A34" i="4"/>
  <c r="G23" i="9"/>
  <c r="K24" i="9" s="1"/>
  <c r="I24" i="9" s="1"/>
  <c r="F24" i="9" s="1"/>
  <c r="D27" i="2"/>
  <c r="E28" i="4"/>
  <c r="G24" i="10"/>
  <c r="K25" i="10" s="1"/>
  <c r="H25" i="10" s="1"/>
  <c r="J25" i="10" s="1"/>
  <c r="B28" i="2"/>
  <c r="C27" i="2"/>
  <c r="P27" i="2" s="1"/>
  <c r="E28" i="2"/>
  <c r="B90" i="7"/>
  <c r="E89" i="7"/>
  <c r="F89" i="7" s="1"/>
  <c r="A29" i="2"/>
  <c r="L21" i="2"/>
  <c r="B34" i="4" l="1"/>
  <c r="A35" i="4"/>
  <c r="H24" i="9"/>
  <c r="J24" i="9" s="1"/>
  <c r="C28" i="2"/>
  <c r="P28" i="2" s="1"/>
  <c r="E29" i="4"/>
  <c r="I25" i="10"/>
  <c r="F25" i="10" s="1"/>
  <c r="G25" i="10" s="1"/>
  <c r="K26" i="10" s="1"/>
  <c r="I26" i="10" s="1"/>
  <c r="F26" i="10" s="1"/>
  <c r="B29" i="2"/>
  <c r="D28" i="2"/>
  <c r="E29" i="2"/>
  <c r="E90" i="7"/>
  <c r="F90" i="7" s="1"/>
  <c r="A30" i="2"/>
  <c r="L22" i="2"/>
  <c r="B35" i="4" l="1"/>
  <c r="A36" i="4"/>
  <c r="G24" i="9"/>
  <c r="K25" i="9" s="1"/>
  <c r="I25" i="9" s="1"/>
  <c r="F25" i="9" s="1"/>
  <c r="C29" i="2"/>
  <c r="P29" i="2" s="1"/>
  <c r="E30" i="4"/>
  <c r="H26" i="10"/>
  <c r="J26" i="10" s="1"/>
  <c r="B30" i="2"/>
  <c r="D29" i="2"/>
  <c r="E30" i="2"/>
  <c r="A31" i="2"/>
  <c r="L23" i="2"/>
  <c r="B36" i="4" l="1"/>
  <c r="A37" i="4"/>
  <c r="H25" i="9"/>
  <c r="J25" i="9" s="1"/>
  <c r="D30" i="2"/>
  <c r="E31" i="4"/>
  <c r="G26" i="10"/>
  <c r="K27" i="10" s="1"/>
  <c r="A32" i="2"/>
  <c r="B31" i="2"/>
  <c r="E31" i="2"/>
  <c r="C30" i="2"/>
  <c r="P30" i="2" s="1"/>
  <c r="L24" i="2"/>
  <c r="B37" i="4" l="1"/>
  <c r="A38" i="4"/>
  <c r="G25" i="9"/>
  <c r="K26" i="9" s="1"/>
  <c r="H26" i="9" s="1"/>
  <c r="J26" i="9" s="1"/>
  <c r="D31" i="2"/>
  <c r="E32" i="4"/>
  <c r="H27" i="10"/>
  <c r="J27" i="10" s="1"/>
  <c r="I27" i="10"/>
  <c r="F27" i="10" s="1"/>
  <c r="A33" i="2"/>
  <c r="E32" i="2"/>
  <c r="B32" i="2"/>
  <c r="C31" i="2"/>
  <c r="P31" i="2" s="1"/>
  <c r="L25" i="2"/>
  <c r="B38" i="4" l="1"/>
  <c r="A39" i="4"/>
  <c r="I26" i="9"/>
  <c r="F26" i="9" s="1"/>
  <c r="G26" i="9" s="1"/>
  <c r="K27" i="9" s="1"/>
  <c r="I27" i="9" s="1"/>
  <c r="F27" i="9" s="1"/>
  <c r="D32" i="2"/>
  <c r="M32" i="2" s="1"/>
  <c r="Q32" i="2" s="1"/>
  <c r="E33" i="4"/>
  <c r="G27" i="10"/>
  <c r="K28" i="10" s="1"/>
  <c r="I28" i="10" s="1"/>
  <c r="F28" i="10" s="1"/>
  <c r="C32" i="2"/>
  <c r="P32" i="2" s="1"/>
  <c r="A34" i="2"/>
  <c r="B33" i="2"/>
  <c r="E33" i="2"/>
  <c r="L26" i="2"/>
  <c r="B39" i="4" l="1"/>
  <c r="H27" i="9"/>
  <c r="J27" i="9" s="1"/>
  <c r="A40" i="4"/>
  <c r="H28" i="10"/>
  <c r="J28" i="10" s="1"/>
  <c r="L32" i="2"/>
  <c r="E34" i="4"/>
  <c r="B7" i="10"/>
  <c r="D33" i="2"/>
  <c r="M33" i="2" s="1"/>
  <c r="Q33" i="2" s="1"/>
  <c r="C33" i="2"/>
  <c r="P33" i="2" s="1"/>
  <c r="A35" i="2"/>
  <c r="B34" i="2"/>
  <c r="E34" i="2"/>
  <c r="L27" i="2"/>
  <c r="B40" i="4" l="1"/>
  <c r="G27" i="9"/>
  <c r="K28" i="9" s="1"/>
  <c r="H28" i="9" s="1"/>
  <c r="J28" i="9" s="1"/>
  <c r="A41" i="4"/>
  <c r="G28" i="10"/>
  <c r="K29" i="10" s="1"/>
  <c r="H29" i="10" s="1"/>
  <c r="J29" i="10" s="1"/>
  <c r="E35" i="4"/>
  <c r="I28" i="9"/>
  <c r="F28" i="9" s="1"/>
  <c r="G28" i="9" s="1"/>
  <c r="K29" i="9" s="1"/>
  <c r="L33" i="2"/>
  <c r="A36" i="2"/>
  <c r="E35" i="2"/>
  <c r="B35" i="2"/>
  <c r="D34" i="2"/>
  <c r="L34" i="2" s="1"/>
  <c r="C34" i="2"/>
  <c r="P34" i="2" s="1"/>
  <c r="L28" i="2"/>
  <c r="B41" i="4" l="1"/>
  <c r="A42" i="4"/>
  <c r="I29" i="10"/>
  <c r="F29" i="10" s="1"/>
  <c r="G29" i="10" s="1"/>
  <c r="K30" i="10" s="1"/>
  <c r="J30" i="10" s="1"/>
  <c r="C35" i="2"/>
  <c r="P35" i="2" s="1"/>
  <c r="E36" i="4"/>
  <c r="I29" i="9"/>
  <c r="F29" i="9" s="1"/>
  <c r="H29" i="9"/>
  <c r="J29" i="9" s="1"/>
  <c r="B7" i="9"/>
  <c r="D4" i="4" s="1"/>
  <c r="D35" i="2"/>
  <c r="L35" i="2" s="1"/>
  <c r="M34" i="2"/>
  <c r="Q34" i="2" s="1"/>
  <c r="A37" i="2"/>
  <c r="E36" i="2"/>
  <c r="B36" i="2"/>
  <c r="L29" i="2"/>
  <c r="B42" i="4" l="1"/>
  <c r="E37" i="4"/>
  <c r="I30" i="10"/>
  <c r="F30" i="10" s="1"/>
  <c r="H30" i="10"/>
  <c r="C8" i="10" s="1"/>
  <c r="M35" i="2"/>
  <c r="Q35" i="2" s="1"/>
  <c r="H3" i="2"/>
  <c r="G29" i="9"/>
  <c r="K30" i="9" s="1"/>
  <c r="H30" i="9" s="1"/>
  <c r="C8" i="9" s="1"/>
  <c r="C36" i="2"/>
  <c r="P36" i="2" s="1"/>
  <c r="A38" i="2"/>
  <c r="E37" i="2"/>
  <c r="B37" i="2"/>
  <c r="D36" i="2"/>
  <c r="M36" i="2" s="1"/>
  <c r="Q36" i="2" s="1"/>
  <c r="L2" i="2"/>
  <c r="M2" i="2"/>
  <c r="Q2" i="2" s="1"/>
  <c r="E38" i="4" l="1"/>
  <c r="G30" i="10"/>
  <c r="K31" i="10" s="1"/>
  <c r="I30" i="9"/>
  <c r="F30" i="9" s="1"/>
  <c r="G30" i="9" s="1"/>
  <c r="K31" i="9" s="1"/>
  <c r="J30" i="9"/>
  <c r="L36" i="2"/>
  <c r="C37" i="2"/>
  <c r="P37" i="2" s="1"/>
  <c r="D37" i="2"/>
  <c r="L37" i="2" s="1"/>
  <c r="A39" i="2"/>
  <c r="B38" i="2"/>
  <c r="E38" i="2"/>
  <c r="M3" i="2"/>
  <c r="Q3" i="2" s="1"/>
  <c r="M4" i="2"/>
  <c r="Q4" i="2" s="1"/>
  <c r="C38" i="2" l="1"/>
  <c r="P38" i="2" s="1"/>
  <c r="E39" i="4"/>
  <c r="I31" i="10"/>
  <c r="F31" i="10" s="1"/>
  <c r="H31" i="10"/>
  <c r="J31" i="10" s="1"/>
  <c r="I31" i="9"/>
  <c r="F31" i="9" s="1"/>
  <c r="H31" i="9"/>
  <c r="J31" i="9" s="1"/>
  <c r="M37" i="2"/>
  <c r="Q37" i="2" s="1"/>
  <c r="D38" i="2"/>
  <c r="L38" i="2" s="1"/>
  <c r="E39" i="2"/>
  <c r="B39" i="2"/>
  <c r="A40" i="2"/>
  <c r="M7" i="2"/>
  <c r="C39" i="2" l="1"/>
  <c r="P39" i="2" s="1"/>
  <c r="E40" i="4"/>
  <c r="G31" i="10"/>
  <c r="K32" i="10" s="1"/>
  <c r="H40" i="2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E41" i="4" l="1"/>
  <c r="I32" i="10"/>
  <c r="F32" i="10" s="1"/>
  <c r="H32" i="10"/>
  <c r="J32" i="10" s="1"/>
  <c r="L39" i="2"/>
  <c r="H41" i="2"/>
  <c r="I32" i="9"/>
  <c r="F32" i="9" s="1"/>
  <c r="H32" i="9"/>
  <c r="J32" i="9" s="1"/>
  <c r="C40" i="2"/>
  <c r="P40" i="2" s="1"/>
  <c r="E41" i="2"/>
  <c r="B41" i="2"/>
  <c r="D40" i="2"/>
  <c r="M40" i="2" s="1"/>
  <c r="Q40" i="2" s="1"/>
  <c r="M9" i="2"/>
  <c r="H5" i="1"/>
  <c r="C41" i="2" l="1"/>
  <c r="P41" i="2" s="1"/>
  <c r="E42" i="4"/>
  <c r="G32" i="10"/>
  <c r="K33" i="10" s="1"/>
  <c r="L40" i="2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H33" i="10" l="1"/>
  <c r="J33" i="10" s="1"/>
  <c r="I33" i="10"/>
  <c r="F33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3" i="10" l="1"/>
  <c r="K34" i="10" s="1"/>
  <c r="H34" i="10" s="1"/>
  <c r="J34" i="10" s="1"/>
  <c r="G41" i="2"/>
  <c r="B64" i="6" s="1"/>
  <c r="C64" i="6" s="1"/>
  <c r="K41" i="2" s="1"/>
  <c r="N41" i="2" s="1"/>
  <c r="G33" i="9"/>
  <c r="K34" i="9" s="1"/>
  <c r="S40" i="2"/>
  <c r="R40" i="2"/>
  <c r="O40" i="2"/>
  <c r="M12" i="2"/>
  <c r="Q12" i="2" s="1"/>
  <c r="Q11" i="2"/>
  <c r="I34" i="10" l="1"/>
  <c r="F34" i="10" s="1"/>
  <c r="G34" i="10" s="1"/>
  <c r="K35" i="10" s="1"/>
  <c r="I35" i="10" s="1"/>
  <c r="F35" i="10" s="1"/>
  <c r="T40" i="2"/>
  <c r="S41" i="2"/>
  <c r="R41" i="2"/>
  <c r="O41" i="2"/>
  <c r="I34" i="9"/>
  <c r="F34" i="9" s="1"/>
  <c r="H34" i="9"/>
  <c r="J34" i="9" s="1"/>
  <c r="M13" i="2"/>
  <c r="H35" i="10" l="1"/>
  <c r="J35" i="10" s="1"/>
  <c r="T41" i="2"/>
  <c r="G34" i="9"/>
  <c r="K35" i="9" s="1"/>
  <c r="M14" i="2"/>
  <c r="Q14" i="2" s="1"/>
  <c r="Q13" i="2"/>
  <c r="G35" i="10" l="1"/>
  <c r="K36" i="10" s="1"/>
  <c r="H36" i="10" s="1"/>
  <c r="J36" i="10" s="1"/>
  <c r="I35" i="9"/>
  <c r="F35" i="9" s="1"/>
  <c r="H35" i="9"/>
  <c r="J35" i="9" s="1"/>
  <c r="M15" i="2"/>
  <c r="I36" i="10" l="1"/>
  <c r="F36" i="10" s="1"/>
  <c r="G36" i="10" s="1"/>
  <c r="K37" i="10" s="1"/>
  <c r="H37" i="10" s="1"/>
  <c r="J37" i="10" s="1"/>
  <c r="G35" i="9"/>
  <c r="K36" i="9" s="1"/>
  <c r="M16" i="2"/>
  <c r="Q16" i="2" s="1"/>
  <c r="Q15" i="2"/>
  <c r="I37" i="10" l="1"/>
  <c r="F37" i="10" s="1"/>
  <c r="G37" i="10" s="1"/>
  <c r="K38" i="10" s="1"/>
  <c r="I38" i="10" s="1"/>
  <c r="F38" i="10" s="1"/>
  <c r="H36" i="9"/>
  <c r="J36" i="9" s="1"/>
  <c r="I36" i="9"/>
  <c r="F36" i="9" s="1"/>
  <c r="M17" i="2"/>
  <c r="H38" i="10" l="1"/>
  <c r="J38" i="10" s="1"/>
  <c r="G36" i="9"/>
  <c r="K37" i="9" s="1"/>
  <c r="H37" i="9" s="1"/>
  <c r="J37" i="9" s="1"/>
  <c r="M20" i="2"/>
  <c r="M18" i="2"/>
  <c r="Q17" i="2"/>
  <c r="G38" i="10" l="1"/>
  <c r="K39" i="10" s="1"/>
  <c r="H39" i="10" s="1"/>
  <c r="J39" i="10" s="1"/>
  <c r="I37" i="9"/>
  <c r="F37" i="9" s="1"/>
  <c r="G37" i="9" s="1"/>
  <c r="K38" i="9" s="1"/>
  <c r="M21" i="2"/>
  <c r="M19" i="2"/>
  <c r="Q18" i="2"/>
  <c r="I39" i="10" l="1"/>
  <c r="F39" i="10" s="1"/>
  <c r="G39" i="10" s="1"/>
  <c r="K40" i="10" s="1"/>
  <c r="I40" i="10" s="1"/>
  <c r="F40" i="10" s="1"/>
  <c r="I38" i="9"/>
  <c r="F38" i="9" s="1"/>
  <c r="H38" i="9"/>
  <c r="J38" i="9" s="1"/>
  <c r="M22" i="2"/>
  <c r="Q19" i="2"/>
  <c r="H40" i="10" l="1"/>
  <c r="J40" i="10" s="1"/>
  <c r="B8" i="10"/>
  <c r="G38" i="9"/>
  <c r="K39" i="9" s="1"/>
  <c r="M23" i="2"/>
  <c r="Q20" i="2"/>
  <c r="G40" i="10" l="1"/>
  <c r="K41" i="10" s="1"/>
  <c r="H41" i="10" s="1"/>
  <c r="J41" i="10" s="1"/>
  <c r="I39" i="9"/>
  <c r="F39" i="9" s="1"/>
  <c r="H39" i="9"/>
  <c r="J39" i="9" s="1"/>
  <c r="M24" i="2"/>
  <c r="Q21" i="2"/>
  <c r="Q22" i="2"/>
  <c r="I41" i="10" l="1"/>
  <c r="F41" i="10" s="1"/>
  <c r="G41" i="10" s="1"/>
  <c r="K42" i="10" s="1"/>
  <c r="I42" i="10" s="1"/>
  <c r="F42" i="10" s="1"/>
  <c r="G39" i="9"/>
  <c r="K40" i="9" s="1"/>
  <c r="M25" i="2"/>
  <c r="Q24" i="2"/>
  <c r="Q23" i="2"/>
  <c r="H42" i="10" l="1"/>
  <c r="C9" i="10" s="1"/>
  <c r="G42" i="10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0" i="9"/>
  <c r="K41" i="9" s="1"/>
  <c r="B8" i="9"/>
  <c r="M27" i="2"/>
  <c r="Q27" i="2" s="1"/>
  <c r="G43" i="10" l="1"/>
  <c r="K44" i="10" s="1"/>
  <c r="H44" i="10" s="1"/>
  <c r="J44" i="10" s="1"/>
  <c r="D5" i="4"/>
  <c r="T5" i="4" s="1"/>
  <c r="I41" i="9"/>
  <c r="F41" i="9" s="1"/>
  <c r="H41" i="9"/>
  <c r="J41" i="9" s="1"/>
  <c r="M29" i="2"/>
  <c r="Q29" i="2" s="1"/>
  <c r="M28" i="2"/>
  <c r="Q28" i="2" s="1"/>
  <c r="Q25" i="2"/>
  <c r="U5" i="4" l="1"/>
  <c r="I44" i="10"/>
  <c r="F44" i="10" s="1"/>
  <c r="G44" i="10" s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C45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T3" i="4"/>
  <c r="C6" i="1"/>
  <c r="G6" i="1"/>
  <c r="K7" i="1" s="1"/>
  <c r="J6" i="1"/>
  <c r="U3" i="4" l="1"/>
  <c r="I45" i="9"/>
  <c r="F45" i="9" s="1"/>
  <c r="G45" i="9" s="1"/>
  <c r="K46" i="9" s="1"/>
  <c r="H48" i="10"/>
  <c r="J48" i="10" s="1"/>
  <c r="I48" i="10"/>
  <c r="F48" i="10" s="1"/>
  <c r="I7" i="1"/>
  <c r="H7" i="1"/>
  <c r="G48" i="10" l="1"/>
  <c r="K49" i="10" s="1"/>
  <c r="H49" i="10" s="1"/>
  <c r="J49" i="10" s="1"/>
  <c r="I46" i="9"/>
  <c r="F46" i="9" s="1"/>
  <c r="H46" i="9"/>
  <c r="J46" i="9" s="1"/>
  <c r="F7" i="1"/>
  <c r="G7" i="1" s="1"/>
  <c r="K8" i="1" s="1"/>
  <c r="J7" i="1"/>
  <c r="I49" i="10" l="1"/>
  <c r="F49" i="10" s="1"/>
  <c r="G49" i="10" s="1"/>
  <c r="K50" i="10" s="1"/>
  <c r="I50" i="10" s="1"/>
  <c r="F50" i="10" s="1"/>
  <c r="G46" i="9"/>
  <c r="K47" i="9" s="1"/>
  <c r="I8" i="1"/>
  <c r="H8" i="1"/>
  <c r="H50" i="10" l="1"/>
  <c r="J50" i="10" s="1"/>
  <c r="I47" i="9"/>
  <c r="F47" i="9" s="1"/>
  <c r="H47" i="9"/>
  <c r="J47" i="9" s="1"/>
  <c r="F8" i="1"/>
  <c r="G8" i="1" s="1"/>
  <c r="K9" i="1" s="1"/>
  <c r="J8" i="1"/>
  <c r="G50" i="10" l="1"/>
  <c r="K51" i="10" s="1"/>
  <c r="H51" i="10" s="1"/>
  <c r="J51" i="10" s="1"/>
  <c r="G47" i="9"/>
  <c r="K48" i="9" s="1"/>
  <c r="H9" i="1"/>
  <c r="I9" i="1"/>
  <c r="F9" i="1" s="1"/>
  <c r="I51" i="10" l="1"/>
  <c r="F51" i="10" s="1"/>
  <c r="G51" i="10" s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 s="1"/>
  <c r="F54" i="10" s="1"/>
  <c r="H50" i="9"/>
  <c r="J50" i="9" s="1"/>
  <c r="I50" i="9"/>
  <c r="F50" i="9" s="1"/>
  <c r="F11" i="1"/>
  <c r="G11" i="1" s="1"/>
  <c r="K12" i="1" s="1"/>
  <c r="J11" i="1"/>
  <c r="H54" i="10" l="1"/>
  <c r="C10" i="10" s="1"/>
  <c r="J54" i="10"/>
  <c r="G50" i="9"/>
  <c r="K51" i="9" s="1"/>
  <c r="H12" i="1"/>
  <c r="J12" i="1" s="1"/>
  <c r="I12" i="1"/>
  <c r="F12" i="1" s="1"/>
  <c r="G54" i="10" l="1"/>
  <c r="K55" i="10" s="1"/>
  <c r="I55" i="10" s="1"/>
  <c r="F55" i="10" s="1"/>
  <c r="I51" i="9"/>
  <c r="F51" i="9" s="1"/>
  <c r="H51" i="9"/>
  <c r="J51" i="9" s="1"/>
  <c r="G12" i="1"/>
  <c r="K13" i="1" s="1"/>
  <c r="H13" i="1" s="1"/>
  <c r="H55" i="10" l="1"/>
  <c r="J55" i="10" s="1"/>
  <c r="G51" i="9"/>
  <c r="K52" i="9" s="1"/>
  <c r="I13" i="1"/>
  <c r="F13" i="1" s="1"/>
  <c r="G13" i="1" s="1"/>
  <c r="K14" i="1" s="1"/>
  <c r="I14" i="1" s="1"/>
  <c r="J13" i="1"/>
  <c r="G55" i="10" l="1"/>
  <c r="K56" i="10" s="1"/>
  <c r="H52" i="9"/>
  <c r="J52" i="9" s="1"/>
  <c r="I52" i="9"/>
  <c r="F52" i="9" s="1"/>
  <c r="H14" i="1"/>
  <c r="J14" i="1" s="1"/>
  <c r="F14" i="1"/>
  <c r="H56" i="10" l="1"/>
  <c r="J56" i="10" s="1"/>
  <c r="I56" i="10"/>
  <c r="F56" i="10" s="1"/>
  <c r="G56" i="10" s="1"/>
  <c r="K57" i="10" s="1"/>
  <c r="H57" i="10" s="1"/>
  <c r="J57" i="10" s="1"/>
  <c r="G52" i="9"/>
  <c r="K53" i="9" s="1"/>
  <c r="B9" i="9"/>
  <c r="G14" i="1"/>
  <c r="K15" i="1" s="1"/>
  <c r="I15" i="1" s="1"/>
  <c r="I57" i="10" l="1"/>
  <c r="F57" i="10" s="1"/>
  <c r="G57" i="10" s="1"/>
  <c r="K58" i="10" s="1"/>
  <c r="H58" i="10" s="1"/>
  <c r="J58" i="10" s="1"/>
  <c r="D6" i="4"/>
  <c r="I53" i="9"/>
  <c r="F53" i="9" s="1"/>
  <c r="H53" i="9"/>
  <c r="J53" i="9" s="1"/>
  <c r="H15" i="1"/>
  <c r="J15" i="1" s="1"/>
  <c r="F15" i="1"/>
  <c r="I58" i="10" l="1"/>
  <c r="F58" i="10" s="1"/>
  <c r="G58" i="10" s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 s="1"/>
  <c r="C11" i="10" s="1"/>
  <c r="G60" i="9"/>
  <c r="K61" i="9" s="1"/>
  <c r="G24" i="1"/>
  <c r="K25" i="1" s="1"/>
  <c r="I25" i="1" s="1"/>
  <c r="I66" i="10" l="1"/>
  <c r="F66" i="10" s="1"/>
  <c r="G66" i="10" s="1"/>
  <c r="K67" i="10" s="1"/>
  <c r="J66" i="10"/>
  <c r="I61" i="9"/>
  <c r="F61" i="9" s="1"/>
  <c r="H61" i="9"/>
  <c r="J61" i="9" s="1"/>
  <c r="H25" i="1"/>
  <c r="J25" i="1" s="1"/>
  <c r="F25" i="1"/>
  <c r="H67" i="10" l="1"/>
  <c r="I67" i="10"/>
  <c r="F67" i="10" s="1"/>
  <c r="J67" i="10"/>
  <c r="G61" i="9"/>
  <c r="K62" i="9" s="1"/>
  <c r="G25" i="1"/>
  <c r="K26" i="1" s="1"/>
  <c r="H26" i="1" s="1"/>
  <c r="J26" i="1" s="1"/>
  <c r="G67" i="10" l="1"/>
  <c r="K68" i="10" s="1"/>
  <c r="H68" i="10" s="1"/>
  <c r="H62" i="9"/>
  <c r="J62" i="9" s="1"/>
  <c r="I62" i="9"/>
  <c r="F62" i="9" s="1"/>
  <c r="I26" i="1"/>
  <c r="F26" i="1" s="1"/>
  <c r="G26" i="1" s="1"/>
  <c r="K27" i="1" s="1"/>
  <c r="I27" i="1" s="1"/>
  <c r="J68" i="10" l="1"/>
  <c r="I68" i="10"/>
  <c r="F68" i="10" s="1"/>
  <c r="G68" i="10" s="1"/>
  <c r="K69" i="10" s="1"/>
  <c r="H69" i="10" s="1"/>
  <c r="J69" i="10" s="1"/>
  <c r="G62" i="9"/>
  <c r="K63" i="9" s="1"/>
  <c r="H27" i="1"/>
  <c r="J27" i="1" s="1"/>
  <c r="F27" i="1"/>
  <c r="I69" i="10" l="1"/>
  <c r="F69" i="10" s="1"/>
  <c r="G69" i="10" s="1"/>
  <c r="K70" i="10" s="1"/>
  <c r="H70" i="10" s="1"/>
  <c r="J70" i="10" s="1"/>
  <c r="I63" i="9"/>
  <c r="F63" i="9" s="1"/>
  <c r="H63" i="9"/>
  <c r="J63" i="9" s="1"/>
  <c r="G27" i="1"/>
  <c r="K28" i="1" s="1"/>
  <c r="H28" i="1" s="1"/>
  <c r="I70" i="10" l="1"/>
  <c r="F70" i="10" s="1"/>
  <c r="G70" i="10" s="1"/>
  <c r="K71" i="10" s="1"/>
  <c r="H71" i="10" s="1"/>
  <c r="J71" i="10" s="1"/>
  <c r="I28" i="1"/>
  <c r="F28" i="1" s="1"/>
  <c r="B7" i="1" s="1"/>
  <c r="G63" i="9"/>
  <c r="K64" i="9" s="1"/>
  <c r="J28" i="1"/>
  <c r="I71" i="10" l="1"/>
  <c r="F71" i="10" s="1"/>
  <c r="G71" i="10" s="1"/>
  <c r="K72" i="10" s="1"/>
  <c r="J72" i="10" s="1"/>
  <c r="G28" i="1"/>
  <c r="K29" i="1" s="1"/>
  <c r="I29" i="1" s="1"/>
  <c r="H64" i="9"/>
  <c r="J64" i="9" s="1"/>
  <c r="I64" i="9"/>
  <c r="F64" i="9" s="1"/>
  <c r="H72" i="10" l="1"/>
  <c r="I72" i="10"/>
  <c r="F72" i="10" s="1"/>
  <c r="G72" i="10" s="1"/>
  <c r="K73" i="10" s="1"/>
  <c r="H73" i="10" s="1"/>
  <c r="G64" i="9"/>
  <c r="K65" i="9" s="1"/>
  <c r="B10" i="9"/>
  <c r="D7" i="4" s="1"/>
  <c r="H29" i="1"/>
  <c r="J29" i="1" s="1"/>
  <c r="I73" i="10" l="1"/>
  <c r="F73" i="10" s="1"/>
  <c r="G73" i="10" s="1"/>
  <c r="K74" i="10" s="1"/>
  <c r="H74" i="10" s="1"/>
  <c r="J74" i="10" s="1"/>
  <c r="J73" i="10"/>
  <c r="I65" i="9"/>
  <c r="H65" i="9"/>
  <c r="J65" i="9" s="1"/>
  <c r="F29" i="1"/>
  <c r="G29" i="1" s="1"/>
  <c r="K30" i="1" s="1"/>
  <c r="H30" i="1" s="1"/>
  <c r="C8" i="1" s="1"/>
  <c r="H4" i="2" s="1"/>
  <c r="I74" i="10" l="1"/>
  <c r="F74" i="10" s="1"/>
  <c r="G74" i="10" s="1"/>
  <c r="K75" i="10" s="1"/>
  <c r="I75" i="10" s="1"/>
  <c r="F65" i="9"/>
  <c r="G65" i="9" s="1"/>
  <c r="K66" i="9" s="1"/>
  <c r="I30" i="1"/>
  <c r="F30" i="1" s="1"/>
  <c r="G30" i="1" s="1"/>
  <c r="K31" i="1" s="1"/>
  <c r="I31" i="1" s="1"/>
  <c r="J30" i="1"/>
  <c r="H75" i="10" l="1"/>
  <c r="F75" i="10" s="1"/>
  <c r="G75" i="10" s="1"/>
  <c r="K76" i="10" s="1"/>
  <c r="I76" i="10" s="1"/>
  <c r="F76" i="10" s="1"/>
  <c r="J75" i="10"/>
  <c r="I66" i="9"/>
  <c r="H66" i="9"/>
  <c r="C11" i="9" s="1"/>
  <c r="H31" i="1"/>
  <c r="B11" i="10" l="1"/>
  <c r="J76" i="10"/>
  <c r="H76" i="10"/>
  <c r="G76" i="10" s="1"/>
  <c r="K77" i="10" s="1"/>
  <c r="H77" i="10" s="1"/>
  <c r="F66" i="9"/>
  <c r="G66" i="9" s="1"/>
  <c r="K67" i="9" s="1"/>
  <c r="J66" i="9"/>
  <c r="F31" i="1"/>
  <c r="G31" i="1" s="1"/>
  <c r="K32" i="1" s="1"/>
  <c r="H32" i="1" s="1"/>
  <c r="J31" i="1"/>
  <c r="J77" i="10" l="1"/>
  <c r="I77" i="10"/>
  <c r="F77" i="10" s="1"/>
  <c r="G77" i="10" s="1"/>
  <c r="K78" i="10" s="1"/>
  <c r="H78" i="10" s="1"/>
  <c r="C12" i="10" s="1"/>
  <c r="I67" i="9"/>
  <c r="H67" i="9"/>
  <c r="J67" i="9" s="1"/>
  <c r="J32" i="1"/>
  <c r="I32" i="1"/>
  <c r="F32" i="1" s="1"/>
  <c r="G32" i="1" s="1"/>
  <c r="K33" i="1" s="1"/>
  <c r="I33" i="1" s="1"/>
  <c r="I78" i="10" l="1"/>
  <c r="F78" i="10" s="1"/>
  <c r="G78" i="10" s="1"/>
  <c r="K79" i="10" s="1"/>
  <c r="I79" i="10" s="1"/>
  <c r="J78" i="10"/>
  <c r="F67" i="9"/>
  <c r="G67" i="9" s="1"/>
  <c r="K68" i="9" s="1"/>
  <c r="H33" i="1"/>
  <c r="F33" i="1" s="1"/>
  <c r="H79" i="10" l="1"/>
  <c r="F79" i="10"/>
  <c r="J79" i="10"/>
  <c r="I68" i="9"/>
  <c r="H68" i="9"/>
  <c r="J68" i="9" s="1"/>
  <c r="J33" i="1"/>
  <c r="G33" i="1"/>
  <c r="K34" i="1" s="1"/>
  <c r="I34" i="1" s="1"/>
  <c r="G79" i="10" l="1"/>
  <c r="K80" i="10" s="1"/>
  <c r="I80" i="10" s="1"/>
  <c r="F68" i="9"/>
  <c r="G68" i="9" s="1"/>
  <c r="K69" i="9" s="1"/>
  <c r="H34" i="1"/>
  <c r="J34" i="1" s="1"/>
  <c r="H80" i="10" l="1"/>
  <c r="F80" i="10"/>
  <c r="J80" i="10"/>
  <c r="I69" i="9"/>
  <c r="H69" i="9"/>
  <c r="J69" i="9" s="1"/>
  <c r="F34" i="1"/>
  <c r="G34" i="1" s="1"/>
  <c r="K35" i="1" s="1"/>
  <c r="I35" i="1" s="1"/>
  <c r="G80" i="10" l="1"/>
  <c r="K81" i="10" s="1"/>
  <c r="I81" i="10" s="1"/>
  <c r="F69" i="9"/>
  <c r="G69" i="9" s="1"/>
  <c r="K70" i="9" s="1"/>
  <c r="H35" i="1"/>
  <c r="J35" i="1" s="1"/>
  <c r="H81" i="10" l="1"/>
  <c r="F81" i="10"/>
  <c r="J81" i="10"/>
  <c r="I70" i="9"/>
  <c r="H70" i="9"/>
  <c r="J70" i="9" s="1"/>
  <c r="F35" i="1"/>
  <c r="G35" i="1" s="1"/>
  <c r="K36" i="1" s="1"/>
  <c r="I36" i="1" s="1"/>
  <c r="G81" i="10" l="1"/>
  <c r="K82" i="10" s="1"/>
  <c r="H82" i="10" s="1"/>
  <c r="F70" i="9"/>
  <c r="G70" i="9" s="1"/>
  <c r="K71" i="9" s="1"/>
  <c r="H36" i="1"/>
  <c r="J36" i="1" s="1"/>
  <c r="I82" i="10" l="1"/>
  <c r="F82" i="10" s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H39" i="1"/>
  <c r="I74" i="9" l="1"/>
  <c r="F74" i="9" s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F75" i="9"/>
  <c r="G75" i="9" s="1"/>
  <c r="K76" i="9" s="1"/>
  <c r="G40" i="1"/>
  <c r="K41" i="1" s="1"/>
  <c r="H41" i="1" s="1"/>
  <c r="G89" i="10" l="1"/>
  <c r="K90" i="10" s="1"/>
  <c r="H90" i="10" s="1"/>
  <c r="C13" i="10" s="1"/>
  <c r="H76" i="9"/>
  <c r="J76" i="9" s="1"/>
  <c r="I76" i="9"/>
  <c r="J41" i="1"/>
  <c r="I41" i="1"/>
  <c r="F41" i="1" s="1"/>
  <c r="G41" i="1" s="1"/>
  <c r="K42" i="1" s="1"/>
  <c r="I42" i="1" s="1"/>
  <c r="I90" i="10" l="1"/>
  <c r="F90" i="10" s="1"/>
  <c r="G90" i="10" s="1"/>
  <c r="K91" i="10" s="1"/>
  <c r="F76" i="9"/>
  <c r="G76" i="9" s="1"/>
  <c r="K77" i="9" s="1"/>
  <c r="J90" i="10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I89" i="9"/>
  <c r="H89" i="9"/>
  <c r="J89" i="9" s="1"/>
  <c r="J57" i="1"/>
  <c r="I57" i="1"/>
  <c r="F57" i="1" s="1"/>
  <c r="G57" i="1" s="1"/>
  <c r="K58" i="1" s="1"/>
  <c r="I58" i="1" s="1"/>
  <c r="U9" i="4" l="1"/>
  <c r="F89" i="9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H68" i="1"/>
  <c r="G99" i="9" l="1"/>
  <c r="K100" i="9" s="1"/>
  <c r="I100" i="9" s="1"/>
  <c r="G111" i="10"/>
  <c r="K112" i="10" s="1"/>
  <c r="J68" i="1"/>
  <c r="F68" i="1"/>
  <c r="G68" i="1" s="1"/>
  <c r="K69" i="1" s="1"/>
  <c r="I69" i="1" s="1"/>
  <c r="H100" i="9" l="1"/>
  <c r="J100" i="9" s="1"/>
  <c r="F100" i="9"/>
  <c r="I112" i="10"/>
  <c r="H112" i="10"/>
  <c r="H69" i="1"/>
  <c r="J69" i="1" s="1"/>
  <c r="G100" i="9" l="1"/>
  <c r="K101" i="9" s="1"/>
  <c r="H101" i="9" s="1"/>
  <c r="J101" i="9" s="1"/>
  <c r="B13" i="9"/>
  <c r="D10" i="4" s="1"/>
  <c r="T10" i="4" s="1"/>
  <c r="F112" i="10"/>
  <c r="J112" i="10"/>
  <c r="I101" i="9"/>
  <c r="F69" i="1"/>
  <c r="G69" i="1" s="1"/>
  <c r="K70" i="1" s="1"/>
  <c r="H70" i="1" s="1"/>
  <c r="J70" i="1" s="1"/>
  <c r="U10" i="4" l="1"/>
  <c r="F101" i="9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I109" i="9" s="1"/>
  <c r="G117" i="10"/>
  <c r="K118" i="10" s="1"/>
  <c r="J79" i="1"/>
  <c r="F79" i="1"/>
  <c r="G79" i="1" s="1"/>
  <c r="K80" i="1" s="1"/>
  <c r="H80" i="1" s="1"/>
  <c r="H109" i="9" l="1"/>
  <c r="J109" i="9" s="1"/>
  <c r="F109" i="9"/>
  <c r="H118" i="10"/>
  <c r="J118" i="10"/>
  <c r="I118" i="10"/>
  <c r="J80" i="1"/>
  <c r="I80" i="1"/>
  <c r="F80" i="1" s="1"/>
  <c r="G80" i="1" s="1"/>
  <c r="K81" i="1" s="1"/>
  <c r="G109" i="9" l="1"/>
  <c r="K110" i="9" s="1"/>
  <c r="I110" i="9" s="1"/>
  <c r="F118" i="10"/>
  <c r="G118" i="10" s="1"/>
  <c r="K119" i="10" s="1"/>
  <c r="I81" i="1"/>
  <c r="H81" i="1"/>
  <c r="H110" i="9" l="1"/>
  <c r="J110" i="9" s="1"/>
  <c r="F110" i="9"/>
  <c r="H119" i="10"/>
  <c r="J119" i="10" s="1"/>
  <c r="I119" i="10"/>
  <c r="J81" i="1"/>
  <c r="F81" i="1"/>
  <c r="G81" i="1" s="1"/>
  <c r="K82" i="1" s="1"/>
  <c r="I82" i="1" s="1"/>
  <c r="G110" i="9" l="1"/>
  <c r="K111" i="9" s="1"/>
  <c r="I111" i="9" s="1"/>
  <c r="F119" i="10"/>
  <c r="G119" i="10" s="1"/>
  <c r="K120" i="10" s="1"/>
  <c r="H82" i="1"/>
  <c r="H111" i="9" l="1"/>
  <c r="J111" i="9" s="1"/>
  <c r="F111" i="9"/>
  <c r="H120" i="10"/>
  <c r="I120" i="10"/>
  <c r="J82" i="1"/>
  <c r="F82" i="1"/>
  <c r="G82" i="1" s="1"/>
  <c r="K83" i="1" s="1"/>
  <c r="G111" i="9" l="1"/>
  <c r="K112" i="9" s="1"/>
  <c r="H112" i="9" s="1"/>
  <c r="J112" i="9" s="1"/>
  <c r="F120" i="10"/>
  <c r="G120" i="10" s="1"/>
  <c r="K121" i="10" s="1"/>
  <c r="J120" i="10"/>
  <c r="H83" i="1"/>
  <c r="I83" i="1"/>
  <c r="I112" i="9" l="1"/>
  <c r="F112" i="9" s="1"/>
  <c r="G112" i="9" s="1"/>
  <c r="K113" i="9" s="1"/>
  <c r="H121" i="10"/>
  <c r="J121" i="10" s="1"/>
  <c r="I121" i="10"/>
  <c r="J83" i="1"/>
  <c r="F83" i="1"/>
  <c r="G83" i="1" s="1"/>
  <c r="K84" i="1" s="1"/>
  <c r="H84" i="1" s="1"/>
  <c r="B14" i="9" l="1"/>
  <c r="D11" i="4" s="1"/>
  <c r="T11" i="4" s="1"/>
  <c r="U11" i="4" s="1"/>
  <c r="F121" i="10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23" i="9"/>
  <c r="G123" i="9" s="1"/>
  <c r="K124" i="9" s="1"/>
  <c r="I99" i="1"/>
  <c r="F99" i="1" s="1"/>
  <c r="G99" i="1" s="1"/>
  <c r="K100" i="1" s="1"/>
  <c r="H100" i="1" s="1"/>
  <c r="F132" i="10" l="1"/>
  <c r="G132" i="10" s="1"/>
  <c r="K133" i="10" s="1"/>
  <c r="I133" i="10" s="1"/>
  <c r="H124" i="9"/>
  <c r="J124" i="9" s="1"/>
  <c r="I124" i="9"/>
  <c r="I100" i="1"/>
  <c r="F100" i="1" s="1"/>
  <c r="B13" i="1" s="1"/>
  <c r="J100" i="1"/>
  <c r="H133" i="10" l="1"/>
  <c r="F133" i="10" s="1"/>
  <c r="G133" i="10" s="1"/>
  <c r="K134" i="10" s="1"/>
  <c r="I134" i="10" s="1"/>
  <c r="J133" i="10"/>
  <c r="F124" i="9"/>
  <c r="G124" i="9" s="1"/>
  <c r="K125" i="9" s="1"/>
  <c r="G100" i="1"/>
  <c r="K101" i="1" s="1"/>
  <c r="I101" i="1" s="1"/>
  <c r="J134" i="10" l="1"/>
  <c r="H134" i="10"/>
  <c r="F134" i="10" s="1"/>
  <c r="G134" i="10" s="1"/>
  <c r="K135" i="10" s="1"/>
  <c r="H135" i="10" s="1"/>
  <c r="B15" i="9"/>
  <c r="D12" i="4" s="1"/>
  <c r="T12" i="4" s="1"/>
  <c r="I125" i="9"/>
  <c r="H125" i="9"/>
  <c r="J125" i="9" s="1"/>
  <c r="H101" i="1"/>
  <c r="I135" i="10" l="1"/>
  <c r="F135" i="10" s="1"/>
  <c r="G135" i="10" s="1"/>
  <c r="K136" i="10" s="1"/>
  <c r="H136" i="10" s="1"/>
  <c r="J135" i="10"/>
  <c r="U12" i="4"/>
  <c r="F125" i="9"/>
  <c r="G125" i="9" s="1"/>
  <c r="K126" i="9" s="1"/>
  <c r="J101" i="1"/>
  <c r="F101" i="1"/>
  <c r="G101" i="1" s="1"/>
  <c r="K102" i="1" s="1"/>
  <c r="I102" i="1" s="1"/>
  <c r="I136" i="10" l="1"/>
  <c r="F136" i="10" s="1"/>
  <c r="G136" i="10" s="1"/>
  <c r="K137" i="10" s="1"/>
  <c r="J137" i="10" s="1"/>
  <c r="J136" i="10"/>
  <c r="H126" i="9"/>
  <c r="C16" i="9" s="1"/>
  <c r="I126" i="9"/>
  <c r="F126" i="9" s="1"/>
  <c r="H102" i="1"/>
  <c r="C14" i="1" s="1"/>
  <c r="B16" i="10" l="1"/>
  <c r="H137" i="10"/>
  <c r="I137" i="10"/>
  <c r="F137" i="10" s="1"/>
  <c r="H10" i="2"/>
  <c r="G126" i="9"/>
  <c r="K127" i="9" s="1"/>
  <c r="J126" i="9"/>
  <c r="J102" i="1"/>
  <c r="F102" i="1"/>
  <c r="G102" i="1" s="1"/>
  <c r="K103" i="1" s="1"/>
  <c r="I103" i="1" s="1"/>
  <c r="G137" i="10" l="1"/>
  <c r="K138" i="10" s="1"/>
  <c r="H138" i="10" s="1"/>
  <c r="C17" i="10" s="1"/>
  <c r="I127" i="9"/>
  <c r="H127" i="9"/>
  <c r="J127" i="9" s="1"/>
  <c r="H103" i="1"/>
  <c r="J138" i="10" l="1"/>
  <c r="I138" i="10"/>
  <c r="F138" i="10" s="1"/>
  <c r="G138" i="10" s="1"/>
  <c r="K139" i="10" s="1"/>
  <c r="F127" i="9"/>
  <c r="G127" i="9" s="1"/>
  <c r="K128" i="9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I115" i="1"/>
  <c r="F115" i="1" s="1"/>
  <c r="G115" i="1" s="1"/>
  <c r="K116" i="1" s="1"/>
  <c r="I116" i="1" s="1"/>
  <c r="J115" i="1"/>
  <c r="G136" i="9" l="1"/>
  <c r="K137" i="9" s="1"/>
  <c r="H137" i="9" s="1"/>
  <c r="J137" i="9" s="1"/>
  <c r="J148" i="10"/>
  <c r="H148" i="10"/>
  <c r="I148" i="10"/>
  <c r="B16" i="9"/>
  <c r="D13" i="4" s="1"/>
  <c r="T13" i="4" s="1"/>
  <c r="H116" i="1"/>
  <c r="J116" i="1" s="1"/>
  <c r="I137" i="9" l="1"/>
  <c r="F137" i="9" s="1"/>
  <c r="G137" i="9" s="1"/>
  <c r="K138" i="9" s="1"/>
  <c r="U13" i="4"/>
  <c r="F148" i="10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F139" i="9"/>
  <c r="G139" i="9" s="1"/>
  <c r="K140" i="9" s="1"/>
  <c r="F118" i="1"/>
  <c r="G118" i="1" s="1"/>
  <c r="K119" i="1" s="1"/>
  <c r="H119" i="1" s="1"/>
  <c r="J119" i="1" s="1"/>
  <c r="G150" i="10" l="1"/>
  <c r="K151" i="10" s="1"/>
  <c r="I151" i="10" s="1"/>
  <c r="I140" i="9"/>
  <c r="H140" i="9"/>
  <c r="J140" i="9" s="1"/>
  <c r="I119" i="1"/>
  <c r="F119" i="1" s="1"/>
  <c r="G119" i="1" s="1"/>
  <c r="K120" i="1" s="1"/>
  <c r="I120" i="1" s="1"/>
  <c r="J151" i="10" l="1"/>
  <c r="H151" i="10"/>
  <c r="F151" i="10"/>
  <c r="F140" i="9"/>
  <c r="G140" i="9" s="1"/>
  <c r="K141" i="9" s="1"/>
  <c r="H120" i="1"/>
  <c r="J120" i="1" s="1"/>
  <c r="G151" i="10" l="1"/>
  <c r="K152" i="10" s="1"/>
  <c r="H152" i="10" s="1"/>
  <c r="I141" i="9"/>
  <c r="H141" i="9"/>
  <c r="J141" i="9" s="1"/>
  <c r="F120" i="1"/>
  <c r="G120" i="1" s="1"/>
  <c r="K121" i="1" s="1"/>
  <c r="I121" i="1" s="1"/>
  <c r="I152" i="10" l="1"/>
  <c r="F152" i="10" s="1"/>
  <c r="G152" i="10" s="1"/>
  <c r="K153" i="10" s="1"/>
  <c r="I153" i="10" s="1"/>
  <c r="J152" i="10"/>
  <c r="F141" i="9"/>
  <c r="G141" i="9" s="1"/>
  <c r="K142" i="9" s="1"/>
  <c r="H121" i="1"/>
  <c r="J121" i="1" s="1"/>
  <c r="J153" i="10" l="1"/>
  <c r="H153" i="10"/>
  <c r="F153" i="10"/>
  <c r="I142" i="9"/>
  <c r="H142" i="9"/>
  <c r="J142" i="9" s="1"/>
  <c r="F121" i="1"/>
  <c r="G121" i="1" s="1"/>
  <c r="K122" i="1" s="1"/>
  <c r="H122" i="1" s="1"/>
  <c r="J122" i="1" s="1"/>
  <c r="G153" i="10" l="1"/>
  <c r="K154" i="10" s="1"/>
  <c r="H154" i="10" s="1"/>
  <c r="F142" i="9"/>
  <c r="G142" i="9" s="1"/>
  <c r="K143" i="9" s="1"/>
  <c r="I122" i="1"/>
  <c r="F122" i="1" s="1"/>
  <c r="G122" i="1" s="1"/>
  <c r="K123" i="1" s="1"/>
  <c r="I123" i="1" s="1"/>
  <c r="I154" i="10" l="1"/>
  <c r="F154" i="10" s="1"/>
  <c r="G154" i="10" s="1"/>
  <c r="K155" i="10" s="1"/>
  <c r="J154" i="10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H125" i="1"/>
  <c r="G145" i="9" l="1"/>
  <c r="K146" i="9" s="1"/>
  <c r="I146" i="9" s="1"/>
  <c r="G156" i="10"/>
  <c r="K157" i="10" s="1"/>
  <c r="J125" i="1"/>
  <c r="F125" i="1"/>
  <c r="G125" i="1" s="1"/>
  <c r="K126" i="1" s="1"/>
  <c r="I126" i="1" s="1"/>
  <c r="H146" i="9" l="1"/>
  <c r="J146" i="9" s="1"/>
  <c r="H157" i="10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I149" i="9"/>
  <c r="H149" i="9"/>
  <c r="J149" i="9" s="1"/>
  <c r="H129" i="1"/>
  <c r="U14" i="4" l="1"/>
  <c r="H159" i="10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I154" i="9"/>
  <c r="H154" i="9"/>
  <c r="J154" i="9" s="1"/>
  <c r="I136" i="1"/>
  <c r="F136" i="1" s="1"/>
  <c r="G136" i="1" s="1"/>
  <c r="K137" i="1" s="1"/>
  <c r="H137" i="1" s="1"/>
  <c r="J136" i="1"/>
  <c r="F163" i="10" l="1"/>
  <c r="G163" i="10" s="1"/>
  <c r="K164" i="10" s="1"/>
  <c r="J164" i="10" s="1"/>
  <c r="F154" i="9"/>
  <c r="G154" i="9" s="1"/>
  <c r="K155" i="9" s="1"/>
  <c r="I137" i="1"/>
  <c r="F137" i="1" s="1"/>
  <c r="G137" i="1" s="1"/>
  <c r="K138" i="1" s="1"/>
  <c r="I138" i="1" s="1"/>
  <c r="J137" i="1"/>
  <c r="B16" i="1"/>
  <c r="H164" i="10" l="1"/>
  <c r="I164" i="10"/>
  <c r="F164" i="10" s="1"/>
  <c r="I155" i="9"/>
  <c r="H155" i="9"/>
  <c r="J155" i="9" s="1"/>
  <c r="H138" i="1"/>
  <c r="C17" i="1" s="1"/>
  <c r="G164" i="10" l="1"/>
  <c r="K165" i="10" s="1"/>
  <c r="I165" i="10" s="1"/>
  <c r="H13" i="2"/>
  <c r="F155" i="9"/>
  <c r="G155" i="9" s="1"/>
  <c r="K156" i="9" s="1"/>
  <c r="J138" i="1"/>
  <c r="F138" i="1"/>
  <c r="G138" i="1" s="1"/>
  <c r="K139" i="1" s="1"/>
  <c r="I139" i="1" s="1"/>
  <c r="J165" i="10" l="1"/>
  <c r="H165" i="10"/>
  <c r="F165" i="10"/>
  <c r="H156" i="9"/>
  <c r="J156" i="9" s="1"/>
  <c r="I156" i="9"/>
  <c r="F156" i="9" s="1"/>
  <c r="H139" i="1"/>
  <c r="G165" i="10" l="1"/>
  <c r="K166" i="10" s="1"/>
  <c r="H166" i="10" s="1"/>
  <c r="G156" i="9"/>
  <c r="K157" i="9" s="1"/>
  <c r="H157" i="9" s="1"/>
  <c r="J157" i="9" s="1"/>
  <c r="J139" i="1"/>
  <c r="F139" i="1"/>
  <c r="G139" i="1" s="1"/>
  <c r="K140" i="1" s="1"/>
  <c r="I140" i="1" s="1"/>
  <c r="I157" i="9" l="1"/>
  <c r="F157" i="9" s="1"/>
  <c r="G157" i="9" s="1"/>
  <c r="K158" i="9" s="1"/>
  <c r="J166" i="10"/>
  <c r="I166" i="10"/>
  <c r="F166" i="10" s="1"/>
  <c r="H140" i="1"/>
  <c r="J140" i="1" s="1"/>
  <c r="G166" i="10" l="1"/>
  <c r="K167" i="10" s="1"/>
  <c r="H158" i="9"/>
  <c r="J158" i="9" s="1"/>
  <c r="I158" i="9"/>
  <c r="F158" i="9" s="1"/>
  <c r="F140" i="1"/>
  <c r="G140" i="1" s="1"/>
  <c r="K141" i="1" s="1"/>
  <c r="I141" i="1" s="1"/>
  <c r="G158" i="9" l="1"/>
  <c r="K159" i="9" s="1"/>
  <c r="H159" i="9" s="1"/>
  <c r="J159" i="9" s="1"/>
  <c r="H167" i="10"/>
  <c r="J167" i="10"/>
  <c r="I167" i="10"/>
  <c r="I159" i="9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F142" i="1"/>
  <c r="G142" i="1" s="1"/>
  <c r="K143" i="1" s="1"/>
  <c r="H143" i="1" s="1"/>
  <c r="U15" i="4" l="1"/>
  <c r="F168" i="10"/>
  <c r="G168" i="10" s="1"/>
  <c r="K169" i="10" s="1"/>
  <c r="G160" i="9"/>
  <c r="K161" i="9" s="1"/>
  <c r="H161" i="9" s="1"/>
  <c r="J161" i="9" s="1"/>
  <c r="I143" i="1"/>
  <c r="F143" i="1" s="1"/>
  <c r="G143" i="1" s="1"/>
  <c r="K144" i="1" s="1"/>
  <c r="I144" i="1" s="1"/>
  <c r="J143" i="1"/>
  <c r="I161" i="9" l="1"/>
  <c r="F161" i="9" s="1"/>
  <c r="G161" i="9" s="1"/>
  <c r="K162" i="9" s="1"/>
  <c r="H169" i="10"/>
  <c r="J169" i="10"/>
  <c r="I169" i="10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H172" i="10" s="1"/>
  <c r="I164" i="9"/>
  <c r="H164" i="9"/>
  <c r="J164" i="9" s="1"/>
  <c r="H148" i="1"/>
  <c r="J147" i="1"/>
  <c r="I172" i="10" l="1"/>
  <c r="F172" i="10" s="1"/>
  <c r="J172" i="10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U16" i="4" l="1"/>
  <c r="H179" i="10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I185" i="9"/>
  <c r="H185" i="9"/>
  <c r="J176" i="1"/>
  <c r="I176" i="1"/>
  <c r="F176" i="1" s="1"/>
  <c r="G176" i="1" s="1"/>
  <c r="K177" i="1" s="1"/>
  <c r="I177" i="1" s="1"/>
  <c r="U17" i="4" l="1"/>
  <c r="I189" i="10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J187" i="9"/>
  <c r="H187" i="9"/>
  <c r="I187" i="9"/>
  <c r="I179" i="1"/>
  <c r="F179" i="1" s="1"/>
  <c r="G179" i="1" s="1"/>
  <c r="K180" i="1" s="1"/>
  <c r="I180" i="1" s="1"/>
  <c r="F190" i="10" l="1"/>
  <c r="G190" i="10" s="1"/>
  <c r="K191" i="10" s="1"/>
  <c r="H191" i="10" s="1"/>
  <c r="F187" i="9"/>
  <c r="G187" i="9" s="1"/>
  <c r="K188" i="9" s="1"/>
  <c r="H180" i="1"/>
  <c r="J180" i="1" s="1"/>
  <c r="I191" i="10" l="1"/>
  <c r="F191" i="10" s="1"/>
  <c r="G191" i="10" s="1"/>
  <c r="K192" i="10" s="1"/>
  <c r="J191" i="10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J188" i="1"/>
  <c r="I188" i="1"/>
  <c r="F188" i="1" s="1"/>
  <c r="G188" i="1" s="1"/>
  <c r="K189" i="1" s="1"/>
  <c r="I189" i="1" s="1"/>
  <c r="B21" i="10" l="1"/>
  <c r="I195" i="9"/>
  <c r="F195" i="9" s="1"/>
  <c r="G195" i="9" s="1"/>
  <c r="K196" i="9" s="1"/>
  <c r="J196" i="9" s="1"/>
  <c r="J195" i="9"/>
  <c r="J197" i="10"/>
  <c r="I197" i="10"/>
  <c r="H197" i="10"/>
  <c r="H189" i="1"/>
  <c r="J189" i="1" s="1"/>
  <c r="H196" i="9" l="1"/>
  <c r="I196" i="9"/>
  <c r="F196" i="9" s="1"/>
  <c r="B21" i="9" s="1"/>
  <c r="D18" i="4" s="1"/>
  <c r="T18" i="4" s="1"/>
  <c r="F197" i="10"/>
  <c r="F189" i="1"/>
  <c r="G189" i="1" s="1"/>
  <c r="K190" i="1" s="1"/>
  <c r="I190" i="1" s="1"/>
  <c r="U18" i="4" l="1"/>
  <c r="G196" i="9"/>
  <c r="K197" i="9" s="1"/>
  <c r="J197" i="9" s="1"/>
  <c r="G197" i="10"/>
  <c r="K198" i="10" s="1"/>
  <c r="H190" i="1"/>
  <c r="J190" i="1" s="1"/>
  <c r="H197" i="9" l="1"/>
  <c r="I197" i="9"/>
  <c r="F197" i="9" s="1"/>
  <c r="J198" i="10"/>
  <c r="H198" i="10"/>
  <c r="C22" i="10" s="1"/>
  <c r="I198" i="10"/>
  <c r="F198" i="10" s="1"/>
  <c r="F190" i="1"/>
  <c r="G190" i="1" s="1"/>
  <c r="K191" i="1" s="1"/>
  <c r="I191" i="1" s="1"/>
  <c r="G197" i="9" l="1"/>
  <c r="K198" i="9" s="1"/>
  <c r="H198" i="9" s="1"/>
  <c r="C22" i="9" s="1"/>
  <c r="G198" i="10"/>
  <c r="K199" i="10" s="1"/>
  <c r="H191" i="1"/>
  <c r="J191" i="1" s="1"/>
  <c r="I198" i="9" l="1"/>
  <c r="F198" i="9" s="1"/>
  <c r="G198" i="9" s="1"/>
  <c r="K199" i="9" s="1"/>
  <c r="J199" i="9" s="1"/>
  <c r="J198" i="9"/>
  <c r="H199" i="10"/>
  <c r="J199" i="10"/>
  <c r="I199" i="10"/>
  <c r="F191" i="1"/>
  <c r="G191" i="1" s="1"/>
  <c r="K192" i="1" s="1"/>
  <c r="I192" i="1" s="1"/>
  <c r="H199" i="9" l="1"/>
  <c r="I199" i="9"/>
  <c r="F199" i="9" s="1"/>
  <c r="G199" i="9" s="1"/>
  <c r="K200" i="9" s="1"/>
  <c r="F199" i="10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J208" i="10"/>
  <c r="I208" i="10"/>
  <c r="H208" i="10"/>
  <c r="H204" i="1"/>
  <c r="J204" i="1" s="1"/>
  <c r="G209" i="9" l="1"/>
  <c r="K210" i="9" s="1"/>
  <c r="I210" i="9" s="1"/>
  <c r="F210" i="9" s="1"/>
  <c r="F208" i="10"/>
  <c r="F204" i="1"/>
  <c r="G204" i="1" s="1"/>
  <c r="K205" i="1" s="1"/>
  <c r="H205" i="1" s="1"/>
  <c r="J205" i="1" s="1"/>
  <c r="J210" i="9" l="1"/>
  <c r="H210" i="9"/>
  <c r="C23" i="9" s="1"/>
  <c r="G208" i="10"/>
  <c r="K209" i="10" s="1"/>
  <c r="B22" i="10"/>
  <c r="D19" i="4" s="1"/>
  <c r="T19" i="4" s="1"/>
  <c r="I205" i="1"/>
  <c r="F205" i="1" s="1"/>
  <c r="G205" i="1" s="1"/>
  <c r="K206" i="1" s="1"/>
  <c r="I206" i="1" s="1"/>
  <c r="U19" i="4" l="1"/>
  <c r="G210" i="9"/>
  <c r="K211" i="9" s="1"/>
  <c r="H211" i="9" s="1"/>
  <c r="I209" i="10"/>
  <c r="H209" i="10"/>
  <c r="J209" i="10"/>
  <c r="H206" i="1"/>
  <c r="J206" i="1" s="1"/>
  <c r="J211" i="9" l="1"/>
  <c r="I211" i="9"/>
  <c r="F211" i="9" s="1"/>
  <c r="G211" i="9" s="1"/>
  <c r="K212" i="9" s="1"/>
  <c r="F209" i="10"/>
  <c r="F206" i="1"/>
  <c r="G206" i="1" s="1"/>
  <c r="K207" i="1" s="1"/>
  <c r="I207" i="1" s="1"/>
  <c r="I212" i="9" l="1"/>
  <c r="F212" i="9" s="1"/>
  <c r="H212" i="9"/>
  <c r="J212" i="9"/>
  <c r="G209" i="10"/>
  <c r="K210" i="10" s="1"/>
  <c r="H207" i="1"/>
  <c r="J207" i="1" s="1"/>
  <c r="G212" i="9" l="1"/>
  <c r="K213" i="9" s="1"/>
  <c r="I213" i="9" s="1"/>
  <c r="F213" i="9" s="1"/>
  <c r="I210" i="10"/>
  <c r="F210" i="10" s="1"/>
  <c r="J210" i="10"/>
  <c r="H210" i="10"/>
  <c r="C23" i="10" s="1"/>
  <c r="F207" i="1"/>
  <c r="G207" i="1" s="1"/>
  <c r="K208" i="1" s="1"/>
  <c r="H208" i="1" s="1"/>
  <c r="J213" i="9" l="1"/>
  <c r="H213" i="9"/>
  <c r="G213" i="9" s="1"/>
  <c r="K214" i="9" s="1"/>
  <c r="I214" i="9" s="1"/>
  <c r="F214" i="9" s="1"/>
  <c r="G210" i="10"/>
  <c r="K211" i="10" s="1"/>
  <c r="I208" i="1"/>
  <c r="F208" i="1" s="1"/>
  <c r="B22" i="1" s="1"/>
  <c r="J208" i="1"/>
  <c r="J214" i="9" l="1"/>
  <c r="H214" i="9"/>
  <c r="G214" i="9" s="1"/>
  <c r="K215" i="9" s="1"/>
  <c r="H211" i="10"/>
  <c r="J211" i="10"/>
  <c r="I211" i="10"/>
  <c r="G208" i="1"/>
  <c r="K209" i="1" s="1"/>
  <c r="H209" i="1" s="1"/>
  <c r="J215" i="9" l="1"/>
  <c r="H215" i="9"/>
  <c r="I215" i="9"/>
  <c r="F215" i="9" s="1"/>
  <c r="F211" i="10"/>
  <c r="I209" i="1"/>
  <c r="F209" i="1" s="1"/>
  <c r="G209" i="1" s="1"/>
  <c r="K210" i="1" s="1"/>
  <c r="H210" i="1" s="1"/>
  <c r="C23" i="1" s="1"/>
  <c r="J209" i="1"/>
  <c r="G215" i="9" l="1"/>
  <c r="K216" i="9" s="1"/>
  <c r="J216" i="9" s="1"/>
  <c r="G211" i="10"/>
  <c r="K212" i="10" s="1"/>
  <c r="H19" i="2"/>
  <c r="I210" i="1"/>
  <c r="F210" i="1" s="1"/>
  <c r="G210" i="1" s="1"/>
  <c r="K211" i="1" s="1"/>
  <c r="H211" i="1" s="1"/>
  <c r="J210" i="1"/>
  <c r="I216" i="9" l="1"/>
  <c r="F216" i="9" s="1"/>
  <c r="H216" i="9"/>
  <c r="J212" i="10"/>
  <c r="I212" i="10"/>
  <c r="H212" i="10"/>
  <c r="I211" i="1"/>
  <c r="F211" i="1" s="1"/>
  <c r="G211" i="1" s="1"/>
  <c r="K212" i="1" s="1"/>
  <c r="H212" i="1" s="1"/>
  <c r="J211" i="1"/>
  <c r="G216" i="9" l="1"/>
  <c r="K217" i="9" s="1"/>
  <c r="I217" i="9" s="1"/>
  <c r="F217" i="9" s="1"/>
  <c r="F212" i="10"/>
  <c r="J212" i="1"/>
  <c r="I212" i="1"/>
  <c r="F212" i="1" s="1"/>
  <c r="G212" i="1" s="1"/>
  <c r="K213" i="1" s="1"/>
  <c r="H213" i="1" s="1"/>
  <c r="J217" i="9" l="1"/>
  <c r="H217" i="9"/>
  <c r="G217" i="9" s="1"/>
  <c r="K218" i="9" s="1"/>
  <c r="G212" i="10"/>
  <c r="K213" i="10" s="1"/>
  <c r="J213" i="1"/>
  <c r="I213" i="1"/>
  <c r="F213" i="1" s="1"/>
  <c r="G213" i="1" s="1"/>
  <c r="K214" i="1" s="1"/>
  <c r="I214" i="1" s="1"/>
  <c r="H218" i="9" l="1"/>
  <c r="J218" i="9"/>
  <c r="I218" i="9"/>
  <c r="F218" i="9" s="1"/>
  <c r="J213" i="10"/>
  <c r="I213" i="10"/>
  <c r="H213" i="10"/>
  <c r="H214" i="1"/>
  <c r="F214" i="1" s="1"/>
  <c r="G214" i="1" s="1"/>
  <c r="K215" i="1" s="1"/>
  <c r="H215" i="1" s="1"/>
  <c r="G218" i="9" l="1"/>
  <c r="K219" i="9" s="1"/>
  <c r="I219" i="9" s="1"/>
  <c r="F219" i="9" s="1"/>
  <c r="F213" i="10"/>
  <c r="J214" i="1"/>
  <c r="J215" i="1" s="1"/>
  <c r="I215" i="1"/>
  <c r="F215" i="1" s="1"/>
  <c r="G215" i="1" s="1"/>
  <c r="K216" i="1" s="1"/>
  <c r="H216" i="1" s="1"/>
  <c r="H219" i="9" l="1"/>
  <c r="G219" i="9" s="1"/>
  <c r="K220" i="9" s="1"/>
  <c r="J219" i="9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J217" i="10"/>
  <c r="H217" i="10"/>
  <c r="I217" i="10"/>
  <c r="I220" i="1"/>
  <c r="H220" i="1"/>
  <c r="I223" i="9" l="1"/>
  <c r="F223" i="9" s="1"/>
  <c r="H223" i="9"/>
  <c r="F217" i="10"/>
  <c r="G217" i="10" s="1"/>
  <c r="K218" i="10" s="1"/>
  <c r="J220" i="1"/>
  <c r="F220" i="1"/>
  <c r="B23" i="1" s="1"/>
  <c r="G223" i="9" l="1"/>
  <c r="K224" i="9" s="1"/>
  <c r="J224" i="9" s="1"/>
  <c r="J218" i="10"/>
  <c r="I218" i="10"/>
  <c r="H218" i="10"/>
  <c r="G220" i="1"/>
  <c r="K221" i="1" s="1"/>
  <c r="H221" i="1" s="1"/>
  <c r="I224" i="9" l="1"/>
  <c r="F224" i="9" s="1"/>
  <c r="H224" i="9"/>
  <c r="F218" i="10"/>
  <c r="G218" i="10" s="1"/>
  <c r="K219" i="10" s="1"/>
  <c r="J221" i="1"/>
  <c r="I221" i="1"/>
  <c r="F221" i="1" s="1"/>
  <c r="G221" i="1" s="1"/>
  <c r="K222" i="1" s="1"/>
  <c r="I222" i="1" s="1"/>
  <c r="G224" i="9" l="1"/>
  <c r="K225" i="9" s="1"/>
  <c r="J225" i="9" s="1"/>
  <c r="H219" i="10"/>
  <c r="J219" i="10"/>
  <c r="I219" i="10"/>
  <c r="H222" i="1"/>
  <c r="C24" i="1" s="1"/>
  <c r="H225" i="9" l="1"/>
  <c r="I225" i="9"/>
  <c r="F225" i="9" s="1"/>
  <c r="F219" i="10"/>
  <c r="G219" i="10" s="1"/>
  <c r="K220" i="10" s="1"/>
  <c r="H20" i="2"/>
  <c r="J222" i="1"/>
  <c r="F222" i="1"/>
  <c r="G222" i="1" s="1"/>
  <c r="K223" i="1" s="1"/>
  <c r="G225" i="9" l="1"/>
  <c r="K226" i="9" s="1"/>
  <c r="J226" i="9" s="1"/>
  <c r="H220" i="10"/>
  <c r="J220" i="10"/>
  <c r="I220" i="10"/>
  <c r="I223" i="1"/>
  <c r="H223" i="1"/>
  <c r="H226" i="9" l="1"/>
  <c r="I226" i="9"/>
  <c r="F226" i="9" s="1"/>
  <c r="G226" i="9" s="1"/>
  <c r="K227" i="9" s="1"/>
  <c r="I227" i="9" s="1"/>
  <c r="F227" i="9" s="1"/>
  <c r="F220" i="10"/>
  <c r="J223" i="1"/>
  <c r="F223" i="1"/>
  <c r="G223" i="1" s="1"/>
  <c r="K224" i="1" s="1"/>
  <c r="H227" i="9" l="1"/>
  <c r="G227" i="9" s="1"/>
  <c r="K228" i="9" s="1"/>
  <c r="J227" i="9"/>
  <c r="G220" i="10"/>
  <c r="K221" i="10" s="1"/>
  <c r="B23" i="10"/>
  <c r="D20" i="4" s="1"/>
  <c r="T20" i="4" s="1"/>
  <c r="I224" i="1"/>
  <c r="H224" i="1"/>
  <c r="U20" i="4" l="1"/>
  <c r="H228" i="9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l="1"/>
  <c r="G228" i="9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J233" i="9"/>
  <c r="I225" i="10"/>
  <c r="J225" i="10"/>
  <c r="H225" i="10"/>
  <c r="F231" i="1"/>
  <c r="G231" i="1" s="1"/>
  <c r="K232" i="1" s="1"/>
  <c r="G233" i="9" l="1"/>
  <c r="K234" i="9" s="1"/>
  <c r="J234" i="9" s="1"/>
  <c r="F225" i="10"/>
  <c r="I232" i="1"/>
  <c r="H232" i="1"/>
  <c r="H234" i="9" l="1"/>
  <c r="C25" i="9" s="1"/>
  <c r="I234" i="9"/>
  <c r="F234" i="9" s="1"/>
  <c r="G225" i="10"/>
  <c r="K226" i="10" s="1"/>
  <c r="F232" i="1"/>
  <c r="G232" i="1" s="1"/>
  <c r="K233" i="1" s="1"/>
  <c r="J232" i="1"/>
  <c r="G234" i="9" l="1"/>
  <c r="K235" i="9" s="1"/>
  <c r="I235" i="9" s="1"/>
  <c r="F235" i="9" s="1"/>
  <c r="H226" i="10"/>
  <c r="J226" i="10"/>
  <c r="I226" i="10"/>
  <c r="B24" i="1"/>
  <c r="I233" i="1"/>
  <c r="H233" i="1"/>
  <c r="H235" i="9" l="1"/>
  <c r="G235" i="9" s="1"/>
  <c r="K236" i="9" s="1"/>
  <c r="J235" i="9"/>
  <c r="F226" i="10"/>
  <c r="G226" i="10" s="1"/>
  <c r="K227" i="10" s="1"/>
  <c r="J233" i="1"/>
  <c r="F233" i="1"/>
  <c r="G233" i="1" s="1"/>
  <c r="K234" i="1" s="1"/>
  <c r="J236" i="9" l="1"/>
  <c r="H236" i="9"/>
  <c r="I236" i="9"/>
  <c r="F236" i="9" s="1"/>
  <c r="J227" i="10"/>
  <c r="I227" i="10"/>
  <c r="H227" i="10"/>
  <c r="H234" i="1"/>
  <c r="C25" i="1" s="1"/>
  <c r="I234" i="1"/>
  <c r="G236" i="9" l="1"/>
  <c r="K237" i="9" s="1"/>
  <c r="J237" i="9" s="1"/>
  <c r="I237" i="9"/>
  <c r="F237" i="9" s="1"/>
  <c r="F227" i="10"/>
  <c r="G227" i="10" s="1"/>
  <c r="K228" i="10" s="1"/>
  <c r="H21" i="2"/>
  <c r="J234" i="1"/>
  <c r="F234" i="1"/>
  <c r="G234" i="1" s="1"/>
  <c r="K235" i="1" s="1"/>
  <c r="H235" i="1" s="1"/>
  <c r="H237" i="9" l="1"/>
  <c r="G237" i="9" s="1"/>
  <c r="K238" i="9" s="1"/>
  <c r="H238" i="9" s="1"/>
  <c r="J228" i="10"/>
  <c r="I228" i="10"/>
  <c r="H228" i="10"/>
  <c r="J235" i="1"/>
  <c r="I235" i="1"/>
  <c r="F235" i="1" s="1"/>
  <c r="G235" i="1" s="1"/>
  <c r="K236" i="1" s="1"/>
  <c r="H236" i="1" s="1"/>
  <c r="I238" i="9" l="1"/>
  <c r="F238" i="9" s="1"/>
  <c r="G238" i="9" s="1"/>
  <c r="K239" i="9" s="1"/>
  <c r="H239" i="9" s="1"/>
  <c r="J236" i="1"/>
  <c r="J238" i="9"/>
  <c r="F228" i="10"/>
  <c r="G228" i="10" s="1"/>
  <c r="K229" i="10" s="1"/>
  <c r="I236" i="1"/>
  <c r="F236" i="1" s="1"/>
  <c r="G236" i="1" s="1"/>
  <c r="K237" i="1" s="1"/>
  <c r="H237" i="1" s="1"/>
  <c r="J237" i="1" l="1"/>
  <c r="I239" i="9"/>
  <c r="F239" i="9" s="1"/>
  <c r="G239" i="9" s="1"/>
  <c r="K240" i="9" s="1"/>
  <c r="J239" i="9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F232" i="10"/>
  <c r="I241" i="1"/>
  <c r="F241" i="1" s="1"/>
  <c r="G241" i="1" s="1"/>
  <c r="K242" i="1" s="1"/>
  <c r="I242" i="1" s="1"/>
  <c r="H243" i="9" l="1"/>
  <c r="I243" i="9"/>
  <c r="F243" i="9" s="1"/>
  <c r="G232" i="10"/>
  <c r="K233" i="10" s="1"/>
  <c r="B24" i="10"/>
  <c r="D21" i="4" s="1"/>
  <c r="T21" i="4" s="1"/>
  <c r="H242" i="1"/>
  <c r="J242" i="1" s="1"/>
  <c r="G243" i="9" l="1"/>
  <c r="K244" i="9" s="1"/>
  <c r="I244" i="9" s="1"/>
  <c r="F244" i="9" s="1"/>
  <c r="U21" i="4"/>
  <c r="H233" i="10"/>
  <c r="J233" i="10"/>
  <c r="I233" i="10"/>
  <c r="F242" i="1"/>
  <c r="G242" i="1" s="1"/>
  <c r="K243" i="1" s="1"/>
  <c r="J244" i="9" l="1"/>
  <c r="H244" i="9"/>
  <c r="G244" i="9" s="1"/>
  <c r="K245" i="9" s="1"/>
  <c r="F233" i="10"/>
  <c r="G233" i="10" s="1"/>
  <c r="K234" i="10" s="1"/>
  <c r="I243" i="1"/>
  <c r="H243" i="1"/>
  <c r="J245" i="9" l="1"/>
  <c r="I245" i="9"/>
  <c r="F245" i="9" s="1"/>
  <c r="B25" i="9" s="1"/>
  <c r="H245" i="9"/>
  <c r="H234" i="10"/>
  <c r="C25" i="10" s="1"/>
  <c r="I234" i="10"/>
  <c r="F234" i="10" s="1"/>
  <c r="J234" i="10"/>
  <c r="F243" i="1"/>
  <c r="G243" i="1" s="1"/>
  <c r="K244" i="1" s="1"/>
  <c r="J243" i="1"/>
  <c r="G245" i="9" l="1"/>
  <c r="K246" i="9" s="1"/>
  <c r="J246" i="9" s="1"/>
  <c r="G234" i="10"/>
  <c r="K235" i="10" s="1"/>
  <c r="H244" i="1"/>
  <c r="I244" i="1"/>
  <c r="H246" i="9" l="1"/>
  <c r="C26" i="9" s="1"/>
  <c r="I246" i="9"/>
  <c r="F246" i="9" s="1"/>
  <c r="H235" i="10"/>
  <c r="J235" i="10"/>
  <c r="I235" i="10"/>
  <c r="J244" i="1"/>
  <c r="F244" i="1"/>
  <c r="G244" i="1" s="1"/>
  <c r="K245" i="1" s="1"/>
  <c r="I245" i="1" s="1"/>
  <c r="G246" i="9" l="1"/>
  <c r="K247" i="9" s="1"/>
  <c r="I247" i="9" s="1"/>
  <c r="F247" i="9" s="1"/>
  <c r="F235" i="10"/>
  <c r="H245" i="1"/>
  <c r="H247" i="9" l="1"/>
  <c r="G247" i="9" s="1"/>
  <c r="K248" i="9" s="1"/>
  <c r="I248" i="9" s="1"/>
  <c r="F248" i="9" s="1"/>
  <c r="J247" i="9"/>
  <c r="G235" i="10"/>
  <c r="K236" i="10" s="1"/>
  <c r="F245" i="1"/>
  <c r="B25" i="1" s="1"/>
  <c r="J245" i="1"/>
  <c r="H248" i="9" l="1"/>
  <c r="G248" i="9" s="1"/>
  <c r="K249" i="9" s="1"/>
  <c r="H249" i="9" s="1"/>
  <c r="J248" i="9"/>
  <c r="H236" i="10"/>
  <c r="I236" i="10"/>
  <c r="J236" i="10"/>
  <c r="G245" i="1"/>
  <c r="K246" i="1" s="1"/>
  <c r="H246" i="1" s="1"/>
  <c r="C26" i="1" s="1"/>
  <c r="J249" i="9" l="1"/>
  <c r="I249" i="9"/>
  <c r="F249" i="9" s="1"/>
  <c r="G249" i="9" s="1"/>
  <c r="K250" i="9" s="1"/>
  <c r="H250" i="9" s="1"/>
  <c r="F236" i="10"/>
  <c r="H22" i="2"/>
  <c r="J246" i="1"/>
  <c r="I246" i="1"/>
  <c r="F246" i="1" s="1"/>
  <c r="G246" i="1" s="1"/>
  <c r="K247" i="1" s="1"/>
  <c r="I247" i="1" s="1"/>
  <c r="J250" i="9" l="1"/>
  <c r="I250" i="9"/>
  <c r="F250" i="9" s="1"/>
  <c r="G250" i="9" s="1"/>
  <c r="K251" i="9" s="1"/>
  <c r="J251" i="9" s="1"/>
  <c r="G236" i="10"/>
  <c r="K237" i="10" s="1"/>
  <c r="H247" i="1"/>
  <c r="F247" i="1" s="1"/>
  <c r="G247" i="1" s="1"/>
  <c r="K248" i="1" s="1"/>
  <c r="H251" i="9" l="1"/>
  <c r="I251" i="9"/>
  <c r="F251" i="9" s="1"/>
  <c r="H237" i="10"/>
  <c r="J237" i="10"/>
  <c r="I237" i="10"/>
  <c r="J247" i="1"/>
  <c r="I248" i="1"/>
  <c r="H248" i="1"/>
  <c r="G251" i="9" l="1"/>
  <c r="K252" i="9" s="1"/>
  <c r="J252" i="9" s="1"/>
  <c r="F237" i="10"/>
  <c r="J248" i="1"/>
  <c r="F248" i="1"/>
  <c r="H252" i="9" l="1"/>
  <c r="I252" i="9"/>
  <c r="F252" i="9" s="1"/>
  <c r="G252" i="9" s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G257" i="1"/>
  <c r="K258" i="1" s="1"/>
  <c r="I258" i="1" s="1"/>
  <c r="U22" i="4" l="1"/>
  <c r="G261" i="9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F247" i="10"/>
  <c r="F259" i="1"/>
  <c r="G259" i="1" s="1"/>
  <c r="K260" i="1" s="1"/>
  <c r="H260" i="1" s="1"/>
  <c r="J259" i="1"/>
  <c r="G263" i="9" l="1"/>
  <c r="K264" i="9" s="1"/>
  <c r="I264" i="9" s="1"/>
  <c r="G247" i="10"/>
  <c r="K248" i="10" s="1"/>
  <c r="I260" i="1"/>
  <c r="F260" i="1" s="1"/>
  <c r="G260" i="1" s="1"/>
  <c r="K261" i="1" s="1"/>
  <c r="H261" i="1" s="1"/>
  <c r="J260" i="1"/>
  <c r="H264" i="9" l="1"/>
  <c r="J264" i="9"/>
  <c r="F264" i="9"/>
  <c r="H248" i="10"/>
  <c r="I248" i="10"/>
  <c r="J248" i="10"/>
  <c r="I261" i="1"/>
  <c r="F261" i="1" s="1"/>
  <c r="G261" i="1" s="1"/>
  <c r="K262" i="1" s="1"/>
  <c r="I262" i="1" s="1"/>
  <c r="J261" i="1"/>
  <c r="G264" i="9" l="1"/>
  <c r="K265" i="9" s="1"/>
  <c r="J265" i="9" s="1"/>
  <c r="F248" i="10"/>
  <c r="H262" i="1"/>
  <c r="F262" i="1" s="1"/>
  <c r="H265" i="9" l="1"/>
  <c r="I265" i="9"/>
  <c r="F265" i="9" s="1"/>
  <c r="G265" i="9" s="1"/>
  <c r="K266" i="9" s="1"/>
  <c r="G248" i="10"/>
  <c r="K249" i="10" s="1"/>
  <c r="J262" i="1"/>
  <c r="G262" i="1"/>
  <c r="K263" i="1" s="1"/>
  <c r="H263" i="1" s="1"/>
  <c r="J266" i="9" l="1"/>
  <c r="I266" i="9"/>
  <c r="F266" i="9" s="1"/>
  <c r="H266" i="9"/>
  <c r="J249" i="10"/>
  <c r="H249" i="10"/>
  <c r="I249" i="10"/>
  <c r="J263" i="1"/>
  <c r="I263" i="1"/>
  <c r="F263" i="1" s="1"/>
  <c r="G263" i="1" s="1"/>
  <c r="K264" i="1" s="1"/>
  <c r="I264" i="1" s="1"/>
  <c r="G266" i="9" l="1"/>
  <c r="K267" i="9" s="1"/>
  <c r="I267" i="9" s="1"/>
  <c r="F267" i="9" s="1"/>
  <c r="F249" i="10"/>
  <c r="H264" i="1"/>
  <c r="J264" i="1" s="1"/>
  <c r="J267" i="9" l="1"/>
  <c r="H267" i="9"/>
  <c r="G267" i="9" s="1"/>
  <c r="K268" i="9" s="1"/>
  <c r="H268" i="9" s="1"/>
  <c r="G249" i="10"/>
  <c r="K250" i="10" s="1"/>
  <c r="F264" i="1"/>
  <c r="G264" i="1" s="1"/>
  <c r="K265" i="1" s="1"/>
  <c r="H265" i="1" s="1"/>
  <c r="J265" i="1" s="1"/>
  <c r="J268" i="9" l="1"/>
  <c r="I268" i="9"/>
  <c r="F268" i="9" s="1"/>
  <c r="G268" i="9" s="1"/>
  <c r="K269" i="9" s="1"/>
  <c r="H269" i="9" s="1"/>
  <c r="H250" i="10"/>
  <c r="I250" i="10"/>
  <c r="J250" i="10"/>
  <c r="I265" i="1"/>
  <c r="F265" i="1" s="1"/>
  <c r="G265" i="1" s="1"/>
  <c r="K266" i="1" s="1"/>
  <c r="H266" i="1" s="1"/>
  <c r="J269" i="9" l="1"/>
  <c r="I269" i="9"/>
  <c r="F269" i="9" s="1"/>
  <c r="B27" i="9" s="1"/>
  <c r="F250" i="10"/>
  <c r="I266" i="1"/>
  <c r="F266" i="1" s="1"/>
  <c r="G266" i="1" s="1"/>
  <c r="K267" i="1" s="1"/>
  <c r="I267" i="1" s="1"/>
  <c r="J266" i="1"/>
  <c r="G269" i="9" l="1"/>
  <c r="K270" i="9" s="1"/>
  <c r="I270" i="9" s="1"/>
  <c r="F270" i="9" s="1"/>
  <c r="G250" i="10"/>
  <c r="K251" i="10" s="1"/>
  <c r="H267" i="1"/>
  <c r="F267" i="1" s="1"/>
  <c r="G267" i="1" s="1"/>
  <c r="K268" i="1" s="1"/>
  <c r="H268" i="1" s="1"/>
  <c r="J270" i="9" l="1"/>
  <c r="H270" i="9"/>
  <c r="C28" i="9" s="1"/>
  <c r="I251" i="10"/>
  <c r="H251" i="10"/>
  <c r="J251" i="10"/>
  <c r="J267" i="1"/>
  <c r="J268" i="1" s="1"/>
  <c r="I268" i="1"/>
  <c r="F268" i="1" s="1"/>
  <c r="G268" i="1" s="1"/>
  <c r="K269" i="1" s="1"/>
  <c r="I269" i="1" s="1"/>
  <c r="G270" i="9" l="1"/>
  <c r="K271" i="9" s="1"/>
  <c r="I271" i="9" s="1"/>
  <c r="F271" i="9" s="1"/>
  <c r="F251" i="10"/>
  <c r="G251" i="10" s="1"/>
  <c r="K252" i="10" s="1"/>
  <c r="I252" i="10" s="1"/>
  <c r="H269" i="1"/>
  <c r="J271" i="9" l="1"/>
  <c r="J252" i="10"/>
  <c r="H271" i="9"/>
  <c r="G271" i="9" s="1"/>
  <c r="K272" i="9" s="1"/>
  <c r="H252" i="10"/>
  <c r="F252" i="10"/>
  <c r="J269" i="1"/>
  <c r="F269" i="1"/>
  <c r="B27" i="1" s="1"/>
  <c r="G252" i="10" l="1"/>
  <c r="K253" i="10" s="1"/>
  <c r="H253" i="10" s="1"/>
  <c r="J272" i="9"/>
  <c r="H272" i="9"/>
  <c r="I272" i="9"/>
  <c r="F272" i="9" s="1"/>
  <c r="I253" i="10"/>
  <c r="G269" i="1"/>
  <c r="K270" i="1" s="1"/>
  <c r="H270" i="1" s="1"/>
  <c r="C28" i="1" s="1"/>
  <c r="J253" i="10" l="1"/>
  <c r="F253" i="10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F274" i="9"/>
  <c r="J272" i="1"/>
  <c r="F272" i="1"/>
  <c r="G256" i="10" l="1"/>
  <c r="K257" i="10" s="1"/>
  <c r="H257" i="10" s="1"/>
  <c r="G274" i="9"/>
  <c r="K275" i="9" s="1"/>
  <c r="G272" i="1"/>
  <c r="K273" i="1" s="1"/>
  <c r="J257" i="10" l="1"/>
  <c r="I257" i="10"/>
  <c r="F257" i="10" s="1"/>
  <c r="G257" i="10" s="1"/>
  <c r="K258" i="10" s="1"/>
  <c r="J275" i="9"/>
  <c r="H275" i="9"/>
  <c r="I275" i="9"/>
  <c r="F275" i="9" s="1"/>
  <c r="H273" i="1"/>
  <c r="J273" i="1" s="1"/>
  <c r="I273" i="1"/>
  <c r="B26" i="10" l="1"/>
  <c r="D23" i="4" s="1"/>
  <c r="T23" i="4" s="1"/>
  <c r="U23" i="4" s="1"/>
  <c r="G275" i="9"/>
  <c r="K276" i="9" s="1"/>
  <c r="I276" i="9" s="1"/>
  <c r="I258" i="10"/>
  <c r="F258" i="10" s="1"/>
  <c r="J258" i="10"/>
  <c r="H258" i="10"/>
  <c r="C27" i="10" s="1"/>
  <c r="F273" i="1"/>
  <c r="G273" i="1" s="1"/>
  <c r="K274" i="1" s="1"/>
  <c r="H276" i="9" l="1"/>
  <c r="J276" i="9"/>
  <c r="F276" i="9"/>
  <c r="G258" i="10"/>
  <c r="K259" i="10" s="1"/>
  <c r="I274" i="1"/>
  <c r="H274" i="1"/>
  <c r="J274" i="1" s="1"/>
  <c r="G276" i="9" l="1"/>
  <c r="K277" i="9" s="1"/>
  <c r="J277" i="9" s="1"/>
  <c r="J259" i="10"/>
  <c r="I259" i="10"/>
  <c r="H259" i="10"/>
  <c r="F274" i="1"/>
  <c r="G274" i="1" s="1"/>
  <c r="K275" i="1" s="1"/>
  <c r="I277" i="9" l="1"/>
  <c r="F277" i="9" s="1"/>
  <c r="H277" i="9"/>
  <c r="F259" i="10"/>
  <c r="I275" i="1"/>
  <c r="H275" i="1"/>
  <c r="J275" i="1" s="1"/>
  <c r="G277" i="9" l="1"/>
  <c r="K278" i="9" s="1"/>
  <c r="J278" i="9" s="1"/>
  <c r="G259" i="10"/>
  <c r="K260" i="10" s="1"/>
  <c r="F275" i="1"/>
  <c r="G275" i="1" s="1"/>
  <c r="K276" i="1" s="1"/>
  <c r="I276" i="1" s="1"/>
  <c r="H278" i="9" l="1"/>
  <c r="I278" i="9"/>
  <c r="F278" i="9" s="1"/>
  <c r="G278" i="9" s="1"/>
  <c r="K279" i="9" s="1"/>
  <c r="J279" i="9" s="1"/>
  <c r="I260" i="10"/>
  <c r="H260" i="10"/>
  <c r="J260" i="10"/>
  <c r="H276" i="1"/>
  <c r="J276" i="1" s="1"/>
  <c r="I279" i="9" l="1"/>
  <c r="F279" i="9" s="1"/>
  <c r="H279" i="9"/>
  <c r="F260" i="10"/>
  <c r="F276" i="1"/>
  <c r="G276" i="1" s="1"/>
  <c r="K277" i="1" s="1"/>
  <c r="I277" i="1" s="1"/>
  <c r="G279" i="9" l="1"/>
  <c r="K280" i="9" s="1"/>
  <c r="J280" i="9" s="1"/>
  <c r="G260" i="10"/>
  <c r="K261" i="10" s="1"/>
  <c r="H277" i="1"/>
  <c r="J277" i="1" s="1"/>
  <c r="H280" i="9" l="1"/>
  <c r="I280" i="9"/>
  <c r="F280" i="9" s="1"/>
  <c r="I261" i="10"/>
  <c r="J261" i="10"/>
  <c r="H261" i="10"/>
  <c r="F277" i="1"/>
  <c r="G277" i="1" s="1"/>
  <c r="K278" i="1" s="1"/>
  <c r="I278" i="1" s="1"/>
  <c r="G280" i="9" l="1"/>
  <c r="K281" i="9" s="1"/>
  <c r="H281" i="9" s="1"/>
  <c r="F261" i="10"/>
  <c r="H278" i="1"/>
  <c r="J278" i="1" s="1"/>
  <c r="J281" i="9" l="1"/>
  <c r="I281" i="9"/>
  <c r="F281" i="9" s="1"/>
  <c r="B28" i="9" s="1"/>
  <c r="G261" i="10"/>
  <c r="K262" i="10" s="1"/>
  <c r="F278" i="1"/>
  <c r="G278" i="1" s="1"/>
  <c r="K279" i="1" s="1"/>
  <c r="G281" i="9" l="1"/>
  <c r="K282" i="9" s="1"/>
  <c r="I282" i="9" s="1"/>
  <c r="F282" i="9" s="1"/>
  <c r="I262" i="10"/>
  <c r="H262" i="10"/>
  <c r="J262" i="10"/>
  <c r="H279" i="1"/>
  <c r="J279" i="1" s="1"/>
  <c r="I279" i="1"/>
  <c r="H282" i="9" l="1"/>
  <c r="C29" i="9" s="1"/>
  <c r="J282" i="9"/>
  <c r="F262" i="10"/>
  <c r="F279" i="1"/>
  <c r="G279" i="1" s="1"/>
  <c r="K280" i="1" s="1"/>
  <c r="I280" i="1" s="1"/>
  <c r="G282" i="9" l="1"/>
  <c r="K283" i="9" s="1"/>
  <c r="J283" i="9" s="1"/>
  <c r="I283" i="9"/>
  <c r="F283" i="9" s="1"/>
  <c r="G262" i="10"/>
  <c r="K263" i="10" s="1"/>
  <c r="H280" i="1"/>
  <c r="H283" i="9" l="1"/>
  <c r="G283" i="9" s="1"/>
  <c r="K284" i="9" s="1"/>
  <c r="H263" i="10"/>
  <c r="J263" i="10"/>
  <c r="I263" i="10"/>
  <c r="J280" i="1"/>
  <c r="F280" i="1"/>
  <c r="G280" i="1" s="1"/>
  <c r="K281" i="1" s="1"/>
  <c r="I281" i="1" s="1"/>
  <c r="I284" i="9" l="1"/>
  <c r="F284" i="9" s="1"/>
  <c r="G284" i="9" s="1"/>
  <c r="K285" i="9" s="1"/>
  <c r="H285" i="9" s="1"/>
  <c r="J284" i="9"/>
  <c r="H284" i="9"/>
  <c r="F263" i="10"/>
  <c r="G263" i="10" s="1"/>
  <c r="K264" i="10" s="1"/>
  <c r="H281" i="1"/>
  <c r="I285" i="9" l="1"/>
  <c r="F285" i="9" s="1"/>
  <c r="G285" i="9" s="1"/>
  <c r="K286" i="9" s="1"/>
  <c r="J285" i="9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J287" i="9"/>
  <c r="J283" i="1"/>
  <c r="I283" i="1"/>
  <c r="F283" i="1" s="1"/>
  <c r="G283" i="1" s="1"/>
  <c r="K284" i="1" s="1"/>
  <c r="H284" i="1" s="1"/>
  <c r="I266" i="10" l="1"/>
  <c r="F266" i="10" s="1"/>
  <c r="G266" i="10" s="1"/>
  <c r="K267" i="10" s="1"/>
  <c r="J284" i="1"/>
  <c r="G287" i="9"/>
  <c r="K288" i="9" s="1"/>
  <c r="J288" i="9" s="1"/>
  <c r="J266" i="10"/>
  <c r="I284" i="1"/>
  <c r="F284" i="1" s="1"/>
  <c r="G284" i="1" s="1"/>
  <c r="K285" i="1" s="1"/>
  <c r="I285" i="1" s="1"/>
  <c r="H288" i="9" l="1"/>
  <c r="I288" i="9"/>
  <c r="F288" i="9" s="1"/>
  <c r="G288" i="9" s="1"/>
  <c r="K289" i="9" s="1"/>
  <c r="I289" i="9" s="1"/>
  <c r="F289" i="9" s="1"/>
  <c r="H267" i="10"/>
  <c r="J267" i="10"/>
  <c r="I267" i="10"/>
  <c r="H285" i="1"/>
  <c r="H289" i="9" l="1"/>
  <c r="G289" i="9" s="1"/>
  <c r="K290" i="9" s="1"/>
  <c r="J289" i="9"/>
  <c r="F267" i="10"/>
  <c r="G267" i="10" s="1"/>
  <c r="K268" i="10" s="1"/>
  <c r="J285" i="1"/>
  <c r="F285" i="1"/>
  <c r="G285" i="1" s="1"/>
  <c r="K286" i="1" s="1"/>
  <c r="H286" i="1" s="1"/>
  <c r="I290" i="9" l="1"/>
  <c r="F290" i="9" s="1"/>
  <c r="H290" i="9"/>
  <c r="J290" i="9"/>
  <c r="J268" i="10"/>
  <c r="I268" i="10"/>
  <c r="H268" i="10"/>
  <c r="J286" i="1"/>
  <c r="I286" i="1"/>
  <c r="F286" i="1" s="1"/>
  <c r="G286" i="1" s="1"/>
  <c r="K287" i="1" s="1"/>
  <c r="G290" i="9" l="1"/>
  <c r="K291" i="9" s="1"/>
  <c r="I291" i="9" s="1"/>
  <c r="F291" i="9" s="1"/>
  <c r="F268" i="10"/>
  <c r="G268" i="10" s="1"/>
  <c r="K269" i="10" s="1"/>
  <c r="I287" i="1"/>
  <c r="H287" i="1"/>
  <c r="H291" i="9" l="1"/>
  <c r="G291" i="9" s="1"/>
  <c r="K292" i="9" s="1"/>
  <c r="J291" i="9"/>
  <c r="I269" i="10"/>
  <c r="J269" i="10"/>
  <c r="H269" i="10"/>
  <c r="F287" i="1"/>
  <c r="G287" i="1" s="1"/>
  <c r="K288" i="1" s="1"/>
  <c r="I288" i="1" s="1"/>
  <c r="J287" i="1"/>
  <c r="I292" i="9" l="1"/>
  <c r="F292" i="9" s="1"/>
  <c r="H292" i="9"/>
  <c r="J292" i="9"/>
  <c r="F269" i="10"/>
  <c r="H288" i="1"/>
  <c r="J288" i="1" s="1"/>
  <c r="G292" i="9" l="1"/>
  <c r="K293" i="9" s="1"/>
  <c r="J293" i="9" s="1"/>
  <c r="G269" i="10"/>
  <c r="K270" i="10" s="1"/>
  <c r="B27" i="10"/>
  <c r="D24" i="4" s="1"/>
  <c r="T24" i="4" s="1"/>
  <c r="F288" i="1"/>
  <c r="G288" i="1" s="1"/>
  <c r="K289" i="1" s="1"/>
  <c r="H289" i="1" s="1"/>
  <c r="I293" i="9" l="1"/>
  <c r="F293" i="9" s="1"/>
  <c r="H293" i="9"/>
  <c r="U24" i="4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G293" i="9" l="1"/>
  <c r="K294" i="9" s="1"/>
  <c r="B29" i="9"/>
  <c r="G270" i="10"/>
  <c r="K271" i="10" s="1"/>
  <c r="H290" i="1"/>
  <c r="F290" i="1" s="1"/>
  <c r="G290" i="1" s="1"/>
  <c r="K291" i="1" s="1"/>
  <c r="H291" i="1" s="1"/>
  <c r="J294" i="9" l="1"/>
  <c r="I294" i="9"/>
  <c r="F294" i="9" s="1"/>
  <c r="H294" i="9"/>
  <c r="C30" i="9" s="1"/>
  <c r="J271" i="10"/>
  <c r="H271" i="10"/>
  <c r="I271" i="10"/>
  <c r="J290" i="1"/>
  <c r="J291" i="1" s="1"/>
  <c r="I291" i="1"/>
  <c r="F291" i="1" s="1"/>
  <c r="G291" i="1" s="1"/>
  <c r="K292" i="1" s="1"/>
  <c r="H292" i="1" s="1"/>
  <c r="G294" i="9" l="1"/>
  <c r="K295" i="9" s="1"/>
  <c r="H295" i="9" s="1"/>
  <c r="F271" i="10"/>
  <c r="J292" i="1"/>
  <c r="I292" i="1"/>
  <c r="F292" i="1" s="1"/>
  <c r="G292" i="1" s="1"/>
  <c r="K293" i="1" s="1"/>
  <c r="H293" i="1" s="1"/>
  <c r="I295" i="9" l="1"/>
  <c r="F295" i="9" s="1"/>
  <c r="G295" i="9" s="1"/>
  <c r="K296" i="9" s="1"/>
  <c r="J296" i="9" s="1"/>
  <c r="J295" i="9"/>
  <c r="G271" i="10"/>
  <c r="K272" i="10" s="1"/>
  <c r="I293" i="1"/>
  <c r="F293" i="1" s="1"/>
  <c r="B29" i="1" s="1"/>
  <c r="J293" i="1"/>
  <c r="I296" i="9" l="1"/>
  <c r="F296" i="9" s="1"/>
  <c r="H296" i="9"/>
  <c r="I272" i="10"/>
  <c r="J272" i="10"/>
  <c r="H272" i="10"/>
  <c r="G293" i="1"/>
  <c r="K294" i="1" s="1"/>
  <c r="G296" i="9" l="1"/>
  <c r="K297" i="9" s="1"/>
  <c r="J297" i="9" s="1"/>
  <c r="F272" i="10"/>
  <c r="H294" i="1"/>
  <c r="C30" i="1" s="1"/>
  <c r="I294" i="1"/>
  <c r="I297" i="9" l="1"/>
  <c r="F297" i="9" s="1"/>
  <c r="H297" i="9"/>
  <c r="G272" i="10"/>
  <c r="K273" i="10" s="1"/>
  <c r="H26" i="2"/>
  <c r="J294" i="1"/>
  <c r="F294" i="1"/>
  <c r="G294" i="1" s="1"/>
  <c r="K295" i="1" s="1"/>
  <c r="I295" i="1" s="1"/>
  <c r="G297" i="9" l="1"/>
  <c r="K298" i="9" s="1"/>
  <c r="H298" i="9" s="1"/>
  <c r="J273" i="10"/>
  <c r="I273" i="10"/>
  <c r="H273" i="10"/>
  <c r="H295" i="1"/>
  <c r="J298" i="9" l="1"/>
  <c r="I298" i="9"/>
  <c r="F298" i="9" s="1"/>
  <c r="G298" i="9" s="1"/>
  <c r="K299" i="9" s="1"/>
  <c r="J299" i="9" s="1"/>
  <c r="F273" i="10"/>
  <c r="G273" i="10" s="1"/>
  <c r="K274" i="10" s="1"/>
  <c r="J295" i="1"/>
  <c r="F295" i="1"/>
  <c r="G295" i="1" s="1"/>
  <c r="K296" i="1" s="1"/>
  <c r="I299" i="9" l="1"/>
  <c r="F299" i="9" s="1"/>
  <c r="H299" i="9"/>
  <c r="I274" i="10"/>
  <c r="H274" i="10"/>
  <c r="J274" i="10"/>
  <c r="I296" i="1"/>
  <c r="H296" i="1"/>
  <c r="G299" i="9" l="1"/>
  <c r="K300" i="9" s="1"/>
  <c r="J300" i="9" s="1"/>
  <c r="F274" i="10"/>
  <c r="J296" i="1"/>
  <c r="F296" i="1"/>
  <c r="G296" i="1" s="1"/>
  <c r="K297" i="1" s="1"/>
  <c r="H300" i="9" l="1"/>
  <c r="I300" i="9"/>
  <c r="F300" i="9" s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F277" i="10"/>
  <c r="G277" i="10" s="1"/>
  <c r="K278" i="10" s="1"/>
  <c r="I300" i="1"/>
  <c r="F300" i="1" s="1"/>
  <c r="G300" i="1" s="1"/>
  <c r="K301" i="1" s="1"/>
  <c r="I303" i="9" l="1"/>
  <c r="F303" i="9" s="1"/>
  <c r="G303" i="9" s="1"/>
  <c r="K304" i="9" s="1"/>
  <c r="J303" i="9"/>
  <c r="H278" i="10"/>
  <c r="J278" i="10"/>
  <c r="I278" i="10"/>
  <c r="H301" i="1"/>
  <c r="J301" i="1" s="1"/>
  <c r="I301" i="1"/>
  <c r="H304" i="9" l="1"/>
  <c r="I304" i="9"/>
  <c r="F304" i="9" s="1"/>
  <c r="J304" i="9"/>
  <c r="F278" i="10"/>
  <c r="G278" i="10" s="1"/>
  <c r="K279" i="10" s="1"/>
  <c r="F301" i="1"/>
  <c r="G301" i="1" s="1"/>
  <c r="K302" i="1" s="1"/>
  <c r="H302" i="1" s="1"/>
  <c r="J302" i="1" s="1"/>
  <c r="G304" i="9" l="1"/>
  <c r="K305" i="9" s="1"/>
  <c r="H305" i="9" s="1"/>
  <c r="J279" i="10"/>
  <c r="I279" i="10"/>
  <c r="H279" i="10"/>
  <c r="I302" i="1"/>
  <c r="F302" i="1" s="1"/>
  <c r="G302" i="1" s="1"/>
  <c r="K303" i="1" s="1"/>
  <c r="H303" i="1" s="1"/>
  <c r="I305" i="9" l="1"/>
  <c r="F305" i="9" s="1"/>
  <c r="B30" i="9" s="1"/>
  <c r="J305" i="9"/>
  <c r="F279" i="10"/>
  <c r="G279" i="10" s="1"/>
  <c r="K280" i="10" s="1"/>
  <c r="J303" i="1"/>
  <c r="I303" i="1"/>
  <c r="F303" i="1" s="1"/>
  <c r="G303" i="1" s="1"/>
  <c r="K304" i="1" s="1"/>
  <c r="I304" i="1" s="1"/>
  <c r="G305" i="9" l="1"/>
  <c r="K306" i="9" s="1"/>
  <c r="H306" i="9" s="1"/>
  <c r="C31" i="9" s="1"/>
  <c r="J280" i="10"/>
  <c r="H280" i="10"/>
  <c r="I280" i="10"/>
  <c r="H304" i="1"/>
  <c r="I306" i="9" l="1"/>
  <c r="F306" i="9" s="1"/>
  <c r="G306" i="9" s="1"/>
  <c r="K307" i="9" s="1"/>
  <c r="H307" i="9" s="1"/>
  <c r="J306" i="9"/>
  <c r="F280" i="10"/>
  <c r="G280" i="10" s="1"/>
  <c r="K281" i="10" s="1"/>
  <c r="F304" i="1"/>
  <c r="G304" i="1" s="1"/>
  <c r="K305" i="1" s="1"/>
  <c r="I305" i="1" s="1"/>
  <c r="J304" i="1"/>
  <c r="I307" i="9" l="1"/>
  <c r="F307" i="9" s="1"/>
  <c r="G307" i="9" s="1"/>
  <c r="K308" i="9" s="1"/>
  <c r="H308" i="9" s="1"/>
  <c r="J307" i="9"/>
  <c r="H281" i="10"/>
  <c r="J281" i="10"/>
  <c r="I281" i="10"/>
  <c r="H305" i="1"/>
  <c r="I308" i="9" l="1"/>
  <c r="F308" i="9" s="1"/>
  <c r="G308" i="9" s="1"/>
  <c r="K309" i="9" s="1"/>
  <c r="J309" i="9" s="1"/>
  <c r="J308" i="9"/>
  <c r="F281" i="10"/>
  <c r="F305" i="1"/>
  <c r="B30" i="1" s="1"/>
  <c r="J305" i="1"/>
  <c r="H309" i="9" l="1"/>
  <c r="I309" i="9"/>
  <c r="F309" i="9" s="1"/>
  <c r="G281" i="10"/>
  <c r="K282" i="10" s="1"/>
  <c r="B28" i="10"/>
  <c r="D25" i="4" s="1"/>
  <c r="T25" i="4" s="1"/>
  <c r="G305" i="1"/>
  <c r="K306" i="1" s="1"/>
  <c r="I306" i="1" s="1"/>
  <c r="G309" i="9" l="1"/>
  <c r="K310" i="9" s="1"/>
  <c r="I310" i="9" s="1"/>
  <c r="F310" i="9" s="1"/>
  <c r="U25" i="4"/>
  <c r="J282" i="10"/>
  <c r="I282" i="10"/>
  <c r="F282" i="10" s="1"/>
  <c r="H282" i="10"/>
  <c r="C29" i="10" s="1"/>
  <c r="H306" i="1"/>
  <c r="C31" i="1" s="1"/>
  <c r="H310" i="9" l="1"/>
  <c r="G310" i="9" s="1"/>
  <c r="K311" i="9" s="1"/>
  <c r="I311" i="9" s="1"/>
  <c r="F311" i="9" s="1"/>
  <c r="J310" i="9"/>
  <c r="G282" i="10"/>
  <c r="K283" i="10" s="1"/>
  <c r="H27" i="2"/>
  <c r="J306" i="1"/>
  <c r="F306" i="1"/>
  <c r="G306" i="1" s="1"/>
  <c r="K307" i="1" s="1"/>
  <c r="I307" i="1" s="1"/>
  <c r="J311" i="9" l="1"/>
  <c r="H311" i="9"/>
  <c r="G311" i="9" s="1"/>
  <c r="K312" i="9" s="1"/>
  <c r="H283" i="10"/>
  <c r="J283" i="10"/>
  <c r="I283" i="10"/>
  <c r="H307" i="1"/>
  <c r="F307" i="1" s="1"/>
  <c r="G307" i="1" s="1"/>
  <c r="K308" i="1" s="1"/>
  <c r="I312" i="9" l="1"/>
  <c r="F312" i="9" s="1"/>
  <c r="J312" i="9"/>
  <c r="H312" i="9"/>
  <c r="F283" i="10"/>
  <c r="J307" i="1"/>
  <c r="I308" i="1"/>
  <c r="H308" i="1"/>
  <c r="G312" i="9" l="1"/>
  <c r="K313" i="9" s="1"/>
  <c r="G283" i="10"/>
  <c r="K284" i="10" s="1"/>
  <c r="J308" i="1"/>
  <c r="F308" i="1"/>
  <c r="G308" i="1" s="1"/>
  <c r="K309" i="1" s="1"/>
  <c r="J313" i="9" l="1"/>
  <c r="I313" i="9"/>
  <c r="F313" i="9" s="1"/>
  <c r="H313" i="9"/>
  <c r="H284" i="10"/>
  <c r="J284" i="10"/>
  <c r="I284" i="10"/>
  <c r="I309" i="1"/>
  <c r="H309" i="1"/>
  <c r="G313" i="9" l="1"/>
  <c r="K314" i="9" s="1"/>
  <c r="H314" i="9" s="1"/>
  <c r="F284" i="10"/>
  <c r="J309" i="1"/>
  <c r="F309" i="1"/>
  <c r="I314" i="9" l="1"/>
  <c r="F314" i="9" s="1"/>
  <c r="G314" i="9" s="1"/>
  <c r="K315" i="9" s="1"/>
  <c r="J315" i="9" s="1"/>
  <c r="J314" i="9"/>
  <c r="G284" i="10"/>
  <c r="K285" i="10" s="1"/>
  <c r="G309" i="1"/>
  <c r="K310" i="1" s="1"/>
  <c r="H315" i="9" l="1"/>
  <c r="I315" i="9"/>
  <c r="F315" i="9" s="1"/>
  <c r="G315" i="9" s="1"/>
  <c r="K316" i="9" s="1"/>
  <c r="I285" i="10"/>
  <c r="J285" i="10"/>
  <c r="H285" i="10"/>
  <c r="I310" i="1"/>
  <c r="H310" i="1"/>
  <c r="J316" i="9" l="1"/>
  <c r="I316" i="9"/>
  <c r="F316" i="9" s="1"/>
  <c r="H316" i="9"/>
  <c r="F285" i="10"/>
  <c r="G285" i="10" s="1"/>
  <c r="K286" i="10" s="1"/>
  <c r="F310" i="1"/>
  <c r="G310" i="1" s="1"/>
  <c r="K311" i="1" s="1"/>
  <c r="J310" i="1"/>
  <c r="G316" i="9" l="1"/>
  <c r="K317" i="9" s="1"/>
  <c r="I317" i="9" s="1"/>
  <c r="F317" i="9" s="1"/>
  <c r="B31" i="9" s="1"/>
  <c r="I286" i="10"/>
  <c r="J286" i="10"/>
  <c r="H286" i="10"/>
  <c r="I311" i="1"/>
  <c r="H311" i="1"/>
  <c r="H317" i="9" l="1"/>
  <c r="G317" i="9" s="1"/>
  <c r="K318" i="9" s="1"/>
  <c r="I318" i="9" s="1"/>
  <c r="F318" i="9" s="1"/>
  <c r="J317" i="9"/>
  <c r="F286" i="10"/>
  <c r="F311" i="1"/>
  <c r="G311" i="1" s="1"/>
  <c r="K312" i="1" s="1"/>
  <c r="I312" i="1" s="1"/>
  <c r="J311" i="1"/>
  <c r="H318" i="9" l="1"/>
  <c r="C32" i="9" s="1"/>
  <c r="J318" i="9"/>
  <c r="G286" i="10"/>
  <c r="K287" i="10" s="1"/>
  <c r="H312" i="1"/>
  <c r="G318" i="9" l="1"/>
  <c r="K319" i="9" s="1"/>
  <c r="H287" i="10"/>
  <c r="J287" i="10"/>
  <c r="I287" i="10"/>
  <c r="F312" i="1"/>
  <c r="G312" i="1" s="1"/>
  <c r="K313" i="1" s="1"/>
  <c r="J312" i="1"/>
  <c r="H319" i="9" l="1"/>
  <c r="J319" i="9"/>
  <c r="I319" i="9"/>
  <c r="F319" i="9" s="1"/>
  <c r="F287" i="10"/>
  <c r="H313" i="1"/>
  <c r="J313" i="1" s="1"/>
  <c r="I313" i="1"/>
  <c r="G319" i="9" l="1"/>
  <c r="K320" i="9" s="1"/>
  <c r="G287" i="10"/>
  <c r="K288" i="10" s="1"/>
  <c r="F313" i="1"/>
  <c r="G313" i="1" s="1"/>
  <c r="K314" i="1" s="1"/>
  <c r="H314" i="1" s="1"/>
  <c r="J314" i="1" s="1"/>
  <c r="H320" i="9" l="1"/>
  <c r="J320" i="9"/>
  <c r="I320" i="9"/>
  <c r="F320" i="9" s="1"/>
  <c r="J288" i="10"/>
  <c r="I288" i="10"/>
  <c r="H288" i="10"/>
  <c r="I314" i="1"/>
  <c r="F314" i="1" s="1"/>
  <c r="G314" i="1" s="1"/>
  <c r="K315" i="1" s="1"/>
  <c r="G320" i="9" l="1"/>
  <c r="K321" i="9" s="1"/>
  <c r="F288" i="10"/>
  <c r="H315" i="1"/>
  <c r="J315" i="1" s="1"/>
  <c r="I315" i="1"/>
  <c r="J321" i="9" l="1"/>
  <c r="H321" i="9"/>
  <c r="I321" i="9"/>
  <c r="F321" i="9" s="1"/>
  <c r="G288" i="10"/>
  <c r="K289" i="10" s="1"/>
  <c r="F315" i="1"/>
  <c r="G315" i="1" s="1"/>
  <c r="K316" i="1" s="1"/>
  <c r="H316" i="1" s="1"/>
  <c r="G321" i="9" l="1"/>
  <c r="K322" i="9" s="1"/>
  <c r="H322" i="9" s="1"/>
  <c r="J289" i="10"/>
  <c r="I289" i="10"/>
  <c r="H289" i="10"/>
  <c r="J316" i="1"/>
  <c r="I316" i="1"/>
  <c r="F316" i="1" s="1"/>
  <c r="G316" i="1" s="1"/>
  <c r="K317" i="1" s="1"/>
  <c r="H317" i="1" s="1"/>
  <c r="I322" i="9" l="1"/>
  <c r="F322" i="9" s="1"/>
  <c r="G322" i="9" s="1"/>
  <c r="K323" i="9" s="1"/>
  <c r="H323" i="9" s="1"/>
  <c r="J322" i="9"/>
  <c r="F289" i="10"/>
  <c r="J317" i="1"/>
  <c r="I317" i="1"/>
  <c r="F317" i="1" s="1"/>
  <c r="B31" i="1" s="1"/>
  <c r="I323" i="9" l="1"/>
  <c r="F323" i="9" s="1"/>
  <c r="G323" i="9" s="1"/>
  <c r="K324" i="9" s="1"/>
  <c r="H324" i="9" s="1"/>
  <c r="J323" i="9"/>
  <c r="G289" i="10"/>
  <c r="K290" i="10" s="1"/>
  <c r="G317" i="1"/>
  <c r="K318" i="1" s="1"/>
  <c r="I324" i="9" l="1"/>
  <c r="F324" i="9" s="1"/>
  <c r="G324" i="9" s="1"/>
  <c r="K325" i="9" s="1"/>
  <c r="J324" i="9"/>
  <c r="J290" i="10"/>
  <c r="I290" i="10"/>
  <c r="H290" i="10"/>
  <c r="H318" i="1"/>
  <c r="C32" i="1" s="1"/>
  <c r="I318" i="1"/>
  <c r="J325" i="9" l="1"/>
  <c r="H325" i="9"/>
  <c r="I325" i="9"/>
  <c r="F325" i="9" s="1"/>
  <c r="F290" i="10"/>
  <c r="H28" i="2"/>
  <c r="J318" i="1"/>
  <c r="F318" i="1"/>
  <c r="G318" i="1" s="1"/>
  <c r="K319" i="1" s="1"/>
  <c r="I319" i="1" s="1"/>
  <c r="G325" i="9" l="1"/>
  <c r="K326" i="9" s="1"/>
  <c r="H326" i="9" s="1"/>
  <c r="G290" i="10"/>
  <c r="K291" i="10" s="1"/>
  <c r="H319" i="1"/>
  <c r="I326" i="9" l="1"/>
  <c r="F326" i="9" s="1"/>
  <c r="G326" i="9" s="1"/>
  <c r="K327" i="9" s="1"/>
  <c r="J326" i="9"/>
  <c r="J291" i="10"/>
  <c r="H291" i="10"/>
  <c r="I291" i="10"/>
  <c r="J319" i="1"/>
  <c r="F319" i="1"/>
  <c r="G319" i="1" s="1"/>
  <c r="K320" i="1" s="1"/>
  <c r="H320" i="1" s="1"/>
  <c r="H327" i="9" l="1"/>
  <c r="I327" i="9"/>
  <c r="F327" i="9" s="1"/>
  <c r="J327" i="9"/>
  <c r="F291" i="10"/>
  <c r="G291" i="10" s="1"/>
  <c r="K292" i="10" s="1"/>
  <c r="J320" i="1"/>
  <c r="I320" i="1"/>
  <c r="F320" i="1" s="1"/>
  <c r="G320" i="1" s="1"/>
  <c r="K321" i="1" s="1"/>
  <c r="G327" i="9" l="1"/>
  <c r="K328" i="9" s="1"/>
  <c r="J328" i="9" s="1"/>
  <c r="H292" i="10"/>
  <c r="I292" i="10"/>
  <c r="J292" i="10"/>
  <c r="I321" i="1"/>
  <c r="H321" i="1"/>
  <c r="J321" i="1" s="1"/>
  <c r="I328" i="9" l="1"/>
  <c r="F328" i="9" s="1"/>
  <c r="H328" i="9"/>
  <c r="F292" i="10"/>
  <c r="G292" i="10" s="1"/>
  <c r="K293" i="10" s="1"/>
  <c r="F321" i="1"/>
  <c r="G328" i="9" l="1"/>
  <c r="K329" i="9" s="1"/>
  <c r="J329" i="9" s="1"/>
  <c r="I329" i="9"/>
  <c r="F329" i="9" s="1"/>
  <c r="B32" i="9" s="1"/>
  <c r="J293" i="10"/>
  <c r="H293" i="10"/>
  <c r="I293" i="10"/>
  <c r="G321" i="1"/>
  <c r="K322" i="1" s="1"/>
  <c r="H329" i="9" l="1"/>
  <c r="G329" i="9"/>
  <c r="K330" i="9" s="1"/>
  <c r="J330" i="9" s="1"/>
  <c r="F293" i="10"/>
  <c r="I322" i="1"/>
  <c r="H322" i="1"/>
  <c r="J322" i="1" s="1"/>
  <c r="I330" i="9" l="1"/>
  <c r="F330" i="9" s="1"/>
  <c r="H330" i="9"/>
  <c r="C33" i="9" s="1"/>
  <c r="G293" i="10"/>
  <c r="K294" i="10" s="1"/>
  <c r="B29" i="10"/>
  <c r="D26" i="4" s="1"/>
  <c r="T26" i="4" s="1"/>
  <c r="F322" i="1"/>
  <c r="G322" i="1" s="1"/>
  <c r="K323" i="1" s="1"/>
  <c r="G330" i="9" l="1"/>
  <c r="K331" i="9" s="1"/>
  <c r="I331" i="9" s="1"/>
  <c r="F331" i="9" s="1"/>
  <c r="J331" i="9"/>
  <c r="U26" i="4"/>
  <c r="J294" i="10"/>
  <c r="I294" i="10"/>
  <c r="F294" i="10" s="1"/>
  <c r="H294" i="10"/>
  <c r="C30" i="10" s="1"/>
  <c r="I323" i="1"/>
  <c r="H323" i="1"/>
  <c r="J323" i="1" s="1"/>
  <c r="H331" i="9" l="1"/>
  <c r="G331" i="9" s="1"/>
  <c r="K332" i="9" s="1"/>
  <c r="H332" i="9" s="1"/>
  <c r="I332" i="9"/>
  <c r="F332" i="9" s="1"/>
  <c r="G332" i="9" s="1"/>
  <c r="K333" i="9" s="1"/>
  <c r="H333" i="9" s="1"/>
  <c r="J332" i="9"/>
  <c r="G294" i="10"/>
  <c r="K295" i="10" s="1"/>
  <c r="F323" i="1"/>
  <c r="G323" i="1" s="1"/>
  <c r="K324" i="1" s="1"/>
  <c r="I324" i="1" s="1"/>
  <c r="J333" i="9" l="1"/>
  <c r="I333" i="9"/>
  <c r="F333" i="9" s="1"/>
  <c r="G333" i="9" s="1"/>
  <c r="K334" i="9" s="1"/>
  <c r="I334" i="9" s="1"/>
  <c r="H295" i="10"/>
  <c r="J295" i="10"/>
  <c r="I295" i="10"/>
  <c r="H324" i="1"/>
  <c r="J324" i="1" s="1"/>
  <c r="H334" i="9" l="1"/>
  <c r="F334" i="9"/>
  <c r="J334" i="9"/>
  <c r="F295" i="10"/>
  <c r="F324" i="1"/>
  <c r="G324" i="1" s="1"/>
  <c r="K325" i="1" s="1"/>
  <c r="I325" i="1" s="1"/>
  <c r="G334" i="9" l="1"/>
  <c r="K335" i="9" s="1"/>
  <c r="J335" i="9" s="1"/>
  <c r="G295" i="10"/>
  <c r="K296" i="10" s="1"/>
  <c r="H325" i="1"/>
  <c r="J325" i="1" s="1"/>
  <c r="H335" i="9" l="1"/>
  <c r="I335" i="9"/>
  <c r="F335" i="9" s="1"/>
  <c r="G335" i="9" s="1"/>
  <c r="K336" i="9" s="1"/>
  <c r="I296" i="10"/>
  <c r="H296" i="10"/>
  <c r="J296" i="10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H297" i="10"/>
  <c r="J297" i="10"/>
  <c r="I297" i="10"/>
  <c r="J327" i="1"/>
  <c r="I327" i="1"/>
  <c r="F327" i="1" s="1"/>
  <c r="G327" i="1" s="1"/>
  <c r="K328" i="1" s="1"/>
  <c r="I328" i="1" s="1"/>
  <c r="G337" i="9" l="1"/>
  <c r="K338" i="9" s="1"/>
  <c r="H338" i="9" s="1"/>
  <c r="F297" i="10"/>
  <c r="H328" i="1"/>
  <c r="J338" i="9" l="1"/>
  <c r="I338" i="9"/>
  <c r="F338" i="9" s="1"/>
  <c r="G338" i="9" s="1"/>
  <c r="K339" i="9" s="1"/>
  <c r="H339" i="9" s="1"/>
  <c r="G297" i="10"/>
  <c r="K298" i="10" s="1"/>
  <c r="J328" i="1"/>
  <c r="F328" i="1"/>
  <c r="G328" i="1" s="1"/>
  <c r="K329" i="1" s="1"/>
  <c r="H329" i="1" s="1"/>
  <c r="I339" i="9" l="1"/>
  <c r="F339" i="9" s="1"/>
  <c r="G339" i="9" s="1"/>
  <c r="K340" i="9" s="1"/>
  <c r="J339" i="9"/>
  <c r="H298" i="10"/>
  <c r="J298" i="10"/>
  <c r="I298" i="10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G341" i="9" s="1"/>
  <c r="K342" i="9" s="1"/>
  <c r="J341" i="9"/>
  <c r="J299" i="10"/>
  <c r="H299" i="10"/>
  <c r="I299" i="10"/>
  <c r="J331" i="1"/>
  <c r="I331" i="1"/>
  <c r="F331" i="1" s="1"/>
  <c r="G331" i="1" s="1"/>
  <c r="K332" i="1" s="1"/>
  <c r="I332" i="1" s="1"/>
  <c r="B33" i="9" l="1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G346" i="9"/>
  <c r="K347" i="9" s="1"/>
  <c r="J339" i="1"/>
  <c r="F339" i="1"/>
  <c r="G339" i="1" s="1"/>
  <c r="K340" i="1" s="1"/>
  <c r="H340" i="1" s="1"/>
  <c r="U27" i="4" l="1"/>
  <c r="J306" i="10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07" i="10"/>
  <c r="K308" i="10" s="1"/>
  <c r="I342" i="1"/>
  <c r="H342" i="1"/>
  <c r="C34" i="1" s="1"/>
  <c r="G349" i="9" l="1"/>
  <c r="K350" i="9" s="1"/>
  <c r="H350" i="9" s="1"/>
  <c r="J308" i="10"/>
  <c r="H308" i="10"/>
  <c r="I308" i="10"/>
  <c r="H30" i="2"/>
  <c r="J342" i="1"/>
  <c r="F342" i="1"/>
  <c r="G342" i="1" s="1"/>
  <c r="K343" i="1" s="1"/>
  <c r="H343" i="1" s="1"/>
  <c r="J350" i="9" l="1"/>
  <c r="I350" i="9"/>
  <c r="F350" i="9" s="1"/>
  <c r="G350" i="9" s="1"/>
  <c r="K351" i="9" s="1"/>
  <c r="J343" i="1"/>
  <c r="F308" i="10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l="1"/>
  <c r="F309" i="10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I360" i="9"/>
  <c r="F360" i="9" s="1"/>
  <c r="J360" i="9"/>
  <c r="H360" i="9"/>
  <c r="C39" i="9" s="1"/>
  <c r="J357" i="1"/>
  <c r="C36" i="1"/>
  <c r="F357" i="1"/>
  <c r="G357" i="1" s="1"/>
  <c r="K358" i="1" s="1"/>
  <c r="U28" i="4" l="1"/>
  <c r="J318" i="10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O34" i="2"/>
  <c r="S34" i="2"/>
  <c r="F360" i="1"/>
  <c r="C39" i="1"/>
  <c r="T34" i="2" l="1"/>
  <c r="G320" i="10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S35" i="2"/>
  <c r="O35" i="2"/>
  <c r="H361" i="1"/>
  <c r="C40" i="1" s="1"/>
  <c r="I361" i="1"/>
  <c r="T35" i="2" l="1"/>
  <c r="F321" i="10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l="1"/>
  <c r="H322" i="10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S38" i="2"/>
  <c r="U6" i="4"/>
  <c r="T38" i="2" l="1"/>
  <c r="F324" i="10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T39" i="2" l="1"/>
  <c r="I326" i="10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T20" i="2" l="1"/>
  <c r="U20" i="2" s="1"/>
  <c r="V20" i="2" s="1"/>
  <c r="F326" i="10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T28" i="2" l="1"/>
  <c r="J327" i="10"/>
  <c r="H327" i="10"/>
  <c r="I327" i="10"/>
  <c r="T29" i="2"/>
  <c r="T27" i="2"/>
  <c r="U27" i="2" s="1"/>
  <c r="V27" i="2" s="1"/>
  <c r="T8" i="2"/>
  <c r="U8" i="2" s="1"/>
  <c r="V8" i="2" s="1"/>
  <c r="T11" i="2"/>
  <c r="U11" i="2" s="1"/>
  <c r="V11" i="2" s="1"/>
  <c r="T18" i="2"/>
  <c r="U18" i="2" s="1"/>
  <c r="V18" i="2" s="1"/>
  <c r="T22" i="2"/>
  <c r="U22" i="2" s="1"/>
  <c r="V22" i="2" s="1"/>
  <c r="T17" i="2"/>
  <c r="U17" i="2" s="1"/>
  <c r="V17" i="2" s="1"/>
  <c r="T24" i="2"/>
  <c r="U24" i="2" s="1"/>
  <c r="V24" i="2" s="1"/>
  <c r="T3" i="2"/>
  <c r="U3" i="2" s="1"/>
  <c r="V3" i="2" s="1"/>
  <c r="T21" i="2"/>
  <c r="U21" i="2" s="1"/>
  <c r="V21" i="2" s="1"/>
  <c r="T15" i="2"/>
  <c r="U15" i="2" s="1"/>
  <c r="V15" i="2" s="1"/>
  <c r="T9" i="2"/>
  <c r="U9" i="2" s="1"/>
  <c r="V9" i="2" s="1"/>
  <c r="T23" i="2"/>
  <c r="U23" i="2" s="1"/>
  <c r="V23" i="2" s="1"/>
  <c r="T10" i="2"/>
  <c r="U10" i="2" s="1"/>
  <c r="V10" i="2" s="1"/>
  <c r="T6" i="2"/>
  <c r="U6" i="2" s="1"/>
  <c r="V6" i="2" s="1"/>
  <c r="T12" i="2"/>
  <c r="U12" i="2" s="1"/>
  <c r="V12" i="2" s="1"/>
  <c r="T5" i="2"/>
  <c r="U5" i="2" s="1"/>
  <c r="V5" i="2" s="1"/>
  <c r="T25" i="2"/>
  <c r="U25" i="2" s="1"/>
  <c r="V25" i="2" s="1"/>
  <c r="T26" i="2"/>
  <c r="U26" i="2" s="1"/>
  <c r="V26" i="2" s="1"/>
  <c r="T4" i="2"/>
  <c r="U4" i="2" s="1"/>
  <c r="V4" i="2" s="1"/>
  <c r="T16" i="2"/>
  <c r="U16" i="2" s="1"/>
  <c r="V16" i="2" s="1"/>
  <c r="T7" i="2"/>
  <c r="U7" i="2" s="1"/>
  <c r="V7" i="2" s="1"/>
  <c r="T13" i="2"/>
  <c r="U13" i="2" s="1"/>
  <c r="V13" i="2" s="1"/>
  <c r="T14" i="2"/>
  <c r="U14" i="2" s="1"/>
  <c r="V14" i="2" s="1"/>
  <c r="T19" i="2"/>
  <c r="U19" i="2" s="1"/>
  <c r="V19" i="2" s="1"/>
  <c r="R31" i="2"/>
  <c r="O31" i="2"/>
  <c r="S31" i="2"/>
  <c r="S30" i="2"/>
  <c r="O30" i="2"/>
  <c r="R30" i="2"/>
  <c r="F2" i="2"/>
  <c r="D25" i="6" s="1"/>
  <c r="F327" i="10" l="1"/>
  <c r="G327" i="10" s="1"/>
  <c r="K328" i="10" s="1"/>
  <c r="T30" i="2"/>
  <c r="T31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U2" i="2" s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8" i="2" s="1"/>
  <c r="V28" i="2" s="1"/>
  <c r="W28" i="2" s="1"/>
  <c r="U29" i="4" l="1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29" i="2" s="1"/>
  <c r="V29" i="2" s="1"/>
  <c r="W29" i="2" s="1"/>
  <c r="U30" i="4" l="1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0" i="2" s="1"/>
  <c r="V30" i="2" s="1"/>
  <c r="W30" i="2" s="1"/>
  <c r="U31" i="4" l="1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U41" i="2" s="1"/>
  <c r="V41" i="2" s="1"/>
  <c r="K1" i="10"/>
  <c r="B35" i="10"/>
  <c r="D32" i="4" s="1"/>
  <c r="T32" i="4" s="1"/>
  <c r="U31" i="2" s="1"/>
  <c r="V31" i="2" s="1"/>
  <c r="W31" i="2" s="1"/>
  <c r="B36" i="10"/>
  <c r="D33" i="4" s="1"/>
  <c r="T33" i="4" s="1"/>
  <c r="U32" i="2" s="1"/>
  <c r="V32" i="2" s="1"/>
  <c r="B37" i="10"/>
  <c r="D34" i="4" s="1"/>
  <c r="T34" i="4" s="1"/>
  <c r="U33" i="2" s="1"/>
  <c r="V33" i="2" s="1"/>
  <c r="B38" i="10"/>
  <c r="D35" i="4" s="1"/>
  <c r="T35" i="4" s="1"/>
  <c r="U34" i="2" s="1"/>
  <c r="V34" i="2" s="1"/>
  <c r="B39" i="10"/>
  <c r="D36" i="4" s="1"/>
  <c r="T36" i="4" s="1"/>
  <c r="U35" i="2" s="1"/>
  <c r="V35" i="2" s="1"/>
  <c r="B40" i="10"/>
  <c r="D37" i="4" s="1"/>
  <c r="T37" i="4" s="1"/>
  <c r="U36" i="2" s="1"/>
  <c r="V36" i="2" s="1"/>
  <c r="B43" i="10"/>
  <c r="D40" i="4" s="1"/>
  <c r="T40" i="4" s="1"/>
  <c r="U39" i="2" s="1"/>
  <c r="V39" i="2" s="1"/>
  <c r="B44" i="10"/>
  <c r="D41" i="4" s="1"/>
  <c r="T41" i="4" s="1"/>
  <c r="U40" i="2" s="1"/>
  <c r="V40" i="2" s="1"/>
  <c r="B42" i="10"/>
  <c r="D39" i="4" s="1"/>
  <c r="T39" i="4" s="1"/>
  <c r="U38" i="2" s="1"/>
  <c r="V38" i="2" s="1"/>
  <c r="B41" i="10"/>
  <c r="D38" i="4" s="1"/>
  <c r="T38" i="4" s="1"/>
  <c r="U37" i="2" s="1"/>
  <c r="V37" i="2" s="1"/>
  <c r="C43" i="10"/>
  <c r="I3" i="10"/>
  <c r="I2" i="10"/>
  <c r="W32" i="2" l="1"/>
  <c r="W33" i="2" s="1"/>
  <c r="W34" i="2" s="1"/>
  <c r="W35" i="2" s="1"/>
  <c r="W36" i="2" s="1"/>
  <c r="W37" i="2" s="1"/>
  <c r="W38" i="2" s="1"/>
  <c r="W39" i="2" s="1"/>
  <c r="W40" i="2" s="1"/>
  <c r="W41" i="2" s="1"/>
  <c r="U36" i="4"/>
  <c r="U40" i="4"/>
  <c r="U34" i="4"/>
  <c r="U42" i="4"/>
  <c r="U39" i="4"/>
  <c r="U32" i="4"/>
  <c r="U41" i="4"/>
  <c r="U35" i="4"/>
  <c r="U38" i="4"/>
  <c r="U37" i="4"/>
  <c r="U33" i="4"/>
</calcChain>
</file>

<file path=xl/sharedStrings.xml><?xml version="1.0" encoding="utf-8"?>
<sst xmlns="http://schemas.openxmlformats.org/spreadsheetml/2006/main" count="288" uniqueCount="195">
  <si>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</si>
  <si>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</si>
  <si>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</si>
  <si>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</si>
  <si>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</si>
  <si>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</si>
  <si>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</si>
  <si>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</si>
  <si>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</si>
  <si>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</si>
  <si>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</si>
  <si>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</si>
  <si>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</si>
  <si>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</si>
  <si>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</si>
  <si>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</si>
  <si>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</si>
  <si>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</si>
  <si>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</si>
  <si>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</si>
  <si>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</si>
  <si>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</si>
  <si>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</si>
  <si>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</si>
  <si>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</si>
  <si>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</si>
  <si>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</si>
  <si>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</si>
  <si>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</si>
  <si>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</si>
  <si>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</si>
  <si>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</si>
  <si>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</si>
  <si>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Cell Phones</t>
  </si>
  <si>
    <t>Internet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</si>
  <si>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</si>
  <si>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</si>
  <si>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</si>
  <si>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</si>
  <si>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</si>
  <si>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</si>
  <si>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</si>
  <si>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</si>
  <si>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</si>
  <si>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</si>
  <si>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</si>
  <si>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</si>
  <si>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</si>
  <si>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</si>
  <si>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</si>
  <si>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</si>
  <si>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</si>
  <si>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</si>
  <si>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</si>
  <si>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</si>
  <si>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</si>
  <si>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</si>
  <si>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</si>
  <si>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</si>
  <si>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</si>
  <si>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</si>
  <si>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</si>
  <si>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</si>
  <si>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</si>
  <si>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</si>
  <si>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</si>
  <si>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</si>
  <si>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</si>
  <si>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</si>
  <si>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</si>
  <si>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</si>
  <si>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</si>
  <si>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</si>
  <si>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</si>
  <si>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</si>
  <si>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</si>
  <si>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</si>
  <si>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</si>
  <si>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</si>
  <si>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</si>
  <si>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</si>
  <si>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</si>
  <si>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</si>
  <si>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</si>
  <si>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</si>
  <si>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</si>
  <si>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</si>
  <si>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</si>
  <si>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</si>
  <si>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</si>
  <si>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</si>
  <si>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</si>
  <si>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</si>
  <si>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</si>
  <si>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</si>
  <si>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</si>
  <si>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</si>
  <si>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</si>
  <si>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</si>
  <si>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</si>
  <si>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</si>
  <si>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</si>
  <si>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</si>
  <si>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</si>
  <si>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</si>
  <si>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</si>
  <si>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</si>
  <si>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</si>
  <si>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</si>
  <si>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</si>
  <si>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</si>
  <si>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</si>
  <si>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</si>
  <si>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</si>
  <si>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</si>
  <si>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</si>
  <si>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</si>
  <si>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</si>
  <si>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</si>
  <si>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</si>
  <si>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</si>
  <si>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</si>
  <si>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</si>
  <si>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</si>
  <si>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</si>
  <si>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</si>
  <si>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</si>
  <si>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</si>
  <si>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</si>
  <si>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</si>
  <si>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</si>
  <si>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</si>
  <si>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</si>
  <si>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</si>
  <si>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</si>
  <si>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</si>
  <si>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</si>
  <si>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</si>
  <si>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</si>
  <si>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</si>
  <si>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</si>
  <si>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</si>
  <si>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</si>
  <si>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</si>
  <si>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</si>
  <si>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</si>
  <si>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</si>
  <si>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</si>
  <si>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</si>
  <si>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</si>
  <si>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</si>
  <si>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</si>
  <si>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</si>
  <si>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</si>
  <si>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</si>
  <si>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</si>
  <si>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</si>
  <si>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</si>
  <si>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</si>
  <si>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</si>
  <si>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</si>
  <si>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(% of income)</t>
  </si>
  <si>
    <t>If no loans, only change loan amount to "0"</t>
  </si>
  <si>
    <t>Mortgage Down Payment w/ closing costs</t>
  </si>
  <si>
    <t>Add mortgage down payment</t>
  </si>
  <si>
    <t>Add car payment starting year</t>
  </si>
  <si>
    <t>Car 1 payment year start</t>
  </si>
  <si>
    <t>Car 2 payment year start</t>
  </si>
  <si>
    <t>D</t>
  </si>
  <si>
    <t>Current Rev</t>
  </si>
  <si>
    <t>General Information</t>
  </si>
  <si>
    <t>Monthly Costs While Renting</t>
  </si>
  <si>
    <t>Maximum Post-Tax Savings Allowed</t>
  </si>
  <si>
    <t>Inflation While Renting</t>
  </si>
  <si>
    <t>Car 3 payment year start</t>
  </si>
  <si>
    <t>Car 3 payment year end</t>
  </si>
  <si>
    <t>Car 3 payment</t>
  </si>
  <si>
    <t>Renting Information</t>
  </si>
  <si>
    <t>Pre-Tax Savings Employer Match (%)</t>
  </si>
  <si>
    <t>Car Insurance &amp; Registration</t>
  </si>
  <si>
    <t>Year Renting Starts</t>
  </si>
  <si>
    <t>Post-Tax Savings ($)</t>
  </si>
  <si>
    <t>Home Information</t>
  </si>
  <si>
    <t>Monthly Costs While Owning a Home</t>
  </si>
  <si>
    <t>Inflation While Owning</t>
  </si>
  <si>
    <t>Gasoline</t>
  </si>
  <si>
    <t>SS, Med &amp; CA Dis</t>
  </si>
  <si>
    <t>E</t>
  </si>
  <si>
    <t>Updated data input sheet to have different sections for monthly costs during renting &amp; home ownership</t>
  </si>
  <si>
    <t>Updated monthly cost names</t>
  </si>
  <si>
    <t>Added code to only allow child deduction for 18 years</t>
  </si>
  <si>
    <t>Fixed post-tax retirement maximum. Allow user to input maximum allowed savings</t>
  </si>
  <si>
    <t>Added employer match for retirement</t>
  </si>
  <si>
    <t>Added more car payments, 3 total</t>
  </si>
  <si>
    <t>Added inflation for all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</si>
</sst>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0" fillId="2" borderId="2" xfId="4" applyFont="1" applyFill="1" applyBorder="1" applyAlignment="1">
      <alignment horizontal="center" wrapText="1"/>
    </xf>
    <xf numFmtId="9" fontId="0" fillId="2" borderId="5" xfId="4" applyFont="1" applyFill="1" applyBorder="1" applyAlignment="1">
      <alignment horizontal="center" wrapText="1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44" fontId="0" fillId="0" borderId="0" xfId="3" applyFont="1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/>
    <xf numFmtId="0" fontId="0" fillId="0" borderId="0" xfId="0" applyBorder="1" applyAlignment="1">
      <alignment horizontal="center" wrapText="1"/>
    </xf>
    <xf numFmtId="169" fontId="0" fillId="0" borderId="0" xfId="3" applyNumberFormat="1" applyFont="1" applyFill="1" applyBorder="1"/>
    <xf numFmtId="0" fontId="0" fillId="0" borderId="0" xfId="0" applyBorder="1"/>
    <xf numFmtId="0" fontId="0" fillId="0" borderId="26" xfId="0" applyBorder="1"/>
    <xf numFmtId="0" fontId="0" fillId="0" borderId="0" xfId="0" applyBorder="1" applyAlignment="1">
      <alignment wrapText="1"/>
    </xf>
    <xf numFmtId="0" fontId="0" fillId="0" borderId="28" xfId="0" applyBorder="1"/>
    <xf numFmtId="0" fontId="0" fillId="0" borderId="28" xfId="0" applyFill="1" applyBorder="1"/>
    <xf numFmtId="0" fontId="1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wrapText="1"/>
    </xf>
    <xf numFmtId="169" fontId="0" fillId="0" borderId="28" xfId="3" applyNumberFormat="1" applyFont="1" applyFill="1" applyBorder="1"/>
    <xf numFmtId="169" fontId="0" fillId="0" borderId="28" xfId="3" applyNumberFormat="1" applyFont="1" applyFill="1" applyBorder="1" applyAlignment="1">
      <alignment horizontal="center"/>
    </xf>
    <xf numFmtId="169" fontId="0" fillId="0" borderId="29" xfId="3" applyNumberFormat="1" applyFont="1" applyFill="1" applyBorder="1" applyAlignment="1">
      <alignment horizontal="center"/>
    </xf>
    <xf numFmtId="169" fontId="0" fillId="2" borderId="3" xfId="3" applyNumberFormat="1" applyFont="1" applyFill="1" applyBorder="1" applyAlignment="1">
      <alignment horizontal="center"/>
    </xf>
    <xf numFmtId="169" fontId="0" fillId="0" borderId="3" xfId="3" applyNumberFormat="1" applyFont="1" applyFill="1" applyBorder="1" applyAlignment="1">
      <alignment horizontal="center"/>
    </xf>
    <xf numFmtId="169" fontId="0" fillId="2" borderId="22" xfId="3" applyNumberFormat="1" applyFont="1" applyFill="1" applyBorder="1" applyAlignment="1">
      <alignment horizontal="center"/>
    </xf>
    <xf numFmtId="0" fontId="0" fillId="0" borderId="29" xfId="0" applyBorder="1"/>
    <xf numFmtId="0" fontId="1" fillId="0" borderId="28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169" fontId="0" fillId="2" borderId="21" xfId="3" applyNumberFormat="1" applyFont="1" applyFill="1" applyBorder="1" applyAlignment="1">
      <alignment horizontal="center" wrapText="1"/>
    </xf>
    <xf numFmtId="169" fontId="0" fillId="0" borderId="26" xfId="3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165" fontId="1" fillId="0" borderId="6" xfId="0" applyNumberFormat="1" applyFont="1" applyBorder="1" applyAlignment="1">
      <alignment wrapText="1"/>
    </xf>
    <xf numFmtId="165" fontId="0" fillId="2" borderId="5" xfId="0" applyNumberForma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0" fontId="0" fillId="2" borderId="5" xfId="0" applyNumberFormat="1" applyFill="1" applyBorder="1" applyAlignment="1">
      <alignment wrapText="1"/>
    </xf>
    <xf numFmtId="169" fontId="0" fillId="2" borderId="2" xfId="3" applyNumberFormat="1" applyFont="1" applyFill="1" applyBorder="1" applyAlignment="1">
      <alignment horizontal="center" wrapText="1"/>
    </xf>
    <xf numFmtId="169" fontId="0" fillId="2" borderId="5" xfId="3" applyNumberFormat="1" applyFont="1" applyFill="1" applyBorder="1" applyAlignment="1">
      <alignment horizontal="center" wrapText="1"/>
    </xf>
    <xf numFmtId="169" fontId="0" fillId="2" borderId="9" xfId="3" applyNumberFormat="1" applyFont="1" applyFill="1" applyBorder="1" applyAlignment="1">
      <alignment wrapText="1"/>
    </xf>
    <xf numFmtId="1" fontId="0" fillId="2" borderId="5" xfId="0" applyNumberFormat="1" applyFill="1" applyBorder="1" applyAlignment="1">
      <alignment wrapText="1"/>
    </xf>
    <xf numFmtId="44" fontId="0" fillId="0" borderId="9" xfId="3" applyNumberFormat="1" applyFont="1" applyFill="1" applyBorder="1" applyAlignment="1">
      <alignment wrapText="1"/>
    </xf>
    <xf numFmtId="0" fontId="0" fillId="0" borderId="26" xfId="0" applyBorder="1" applyAlignment="1">
      <alignment wrapText="1"/>
    </xf>
    <xf numFmtId="169" fontId="0" fillId="0" borderId="0" xfId="3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44" fontId="0" fillId="2" borderId="5" xfId="3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44" fontId="0" fillId="2" borderId="9" xfId="3" applyFont="1" applyFill="1" applyBorder="1" applyAlignment="1">
      <alignment horizontal="center" wrapText="1"/>
    </xf>
    <xf numFmtId="44" fontId="0" fillId="0" borderId="26" xfId="3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9" fontId="0" fillId="0" borderId="7" xfId="3" applyNumberFormat="1" applyFont="1" applyFill="1" applyBorder="1" applyAlignment="1">
      <alignment horizontal="center" wrapText="1"/>
    </xf>
    <xf numFmtId="169" fontId="0" fillId="0" borderId="9" xfId="3" applyNumberFormat="1" applyFont="1" applyFill="1" applyBorder="1" applyAlignment="1">
      <alignment horizontal="center"/>
    </xf>
    <xf numFmtId="169" fontId="1" fillId="0" borderId="19" xfId="3" applyNumberFormat="1" applyFont="1" applyFill="1" applyBorder="1" applyAlignment="1">
      <alignment horizontal="center" wrapText="1"/>
    </xf>
    <xf numFmtId="169" fontId="0" fillId="0" borderId="23" xfId="3" applyNumberFormat="1" applyFont="1" applyFill="1" applyBorder="1" applyAlignment="1">
      <alignment horizontal="center" wrapText="1"/>
    </xf>
    <xf numFmtId="169" fontId="0" fillId="0" borderId="24" xfId="3" applyNumberFormat="1" applyFont="1" applyFill="1" applyBorder="1" applyAlignment="1">
      <alignment horizontal="center"/>
    </xf>
    <xf numFmtId="169" fontId="0" fillId="0" borderId="25" xfId="3" applyNumberFormat="1" applyFont="1" applyFill="1" applyBorder="1" applyAlignment="1">
      <alignment horizontal="center"/>
    </xf>
    <xf numFmtId="0" fontId="1" fillId="0" borderId="7" xfId="0" applyFont="1" applyBorder="1"/>
    <xf numFmtId="10" fontId="0" fillId="2" borderId="9" xfId="0" applyNumberFormat="1" applyFill="1" applyBorder="1"/>
    <xf numFmtId="9" fontId="0" fillId="2" borderId="20" xfId="0" applyNumberForma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9" fontId="0" fillId="2" borderId="7" xfId="3" applyNumberFormat="1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9" fontId="0" fillId="0" borderId="26" xfId="3" applyNumberFormat="1" applyFont="1" applyBorder="1" applyAlignment="1">
      <alignment horizontal="center"/>
    </xf>
    <xf numFmtId="9" fontId="0" fillId="0" borderId="28" xfId="4" applyFont="1" applyFill="1" applyBorder="1" applyAlignment="1">
      <alignment horizontal="center" wrapText="1"/>
    </xf>
    <xf numFmtId="44" fontId="0" fillId="0" borderId="28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169" fontId="0" fillId="0" borderId="12" xfId="3" applyNumberFormat="1" applyFont="1" applyBorder="1" applyAlignment="1">
      <alignment horizontal="center" wrapText="1"/>
    </xf>
    <xf numFmtId="169" fontId="0" fillId="0" borderId="14" xfId="3" applyNumberFormat="1" applyFont="1" applyBorder="1" applyAlignment="1">
      <alignment horizontal="center" wrapText="1"/>
    </xf>
    <xf numFmtId="169" fontId="0" fillId="0" borderId="18" xfId="3" applyNumberFormat="1" applyFont="1" applyBorder="1" applyAlignment="1">
      <alignment horizontal="center" wrapText="1"/>
    </xf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Input'!$C$16+'Data Input'!$I$3&gt;Table1[[#This Row],[Column1]],('Data Input'!$C$6)*(1+'Data Input'!$C$15)^(Table1[[#This Row],[Column1]]-'Data Input'!$I$3),0)</calculatedColumnFormula>
    </tableColumn>
    <tableColumn id="3" name="Column3" headerRowDxfId="64" dataDxfId="63">
      <calculatedColumnFormula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calculatedColumnFormula>
    </tableColumn>
    <tableColumn id="4" name="Column4" headerRowDxfId="62" dataDxfId="61">
      <calculatedColumnFormula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calculatedColumnFormula>
    </tableColumn>
    <tableColumn id="5" name="Column5" headerRowDxfId="60" dataDxfId="59">
      <calculatedColumnFormula>IF('Data Input'!$F$16+'Data Input'!$I$3&gt;Table1[[#This Row],[Column1]],('Data Input'!$F$6)*(1+'Data Input'!$F$15)^(Table1[[#This Row],[Column1]]-'Data Input'!$I$3),0)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calculatedColumnFormula>
    </tableColumn>
    <tableColumn id="8" name="Column8" headerRowDxfId="52" dataDxfId="51">
      <calculatedColumnFormula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Input'!$C$11+Table1[[#This Row],[Column5]]*'Data Input'!$F$11+'Data Input'!$C$10+'Data Input'!$F$10)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Input'!$I$5</calculatedColumnFormula>
    </tableColumn>
    <tableColumn id="18" name="Column19" headerRowDxfId="30" dataDxfId="29">
      <calculatedColumnFormula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Row],[Column19]])+IF(Table1[[#This Row],[Column1]]='Data Input'!$I$4,'Data Input'!$C$44,0)</calculatedColumnFormula>
    </tableColumn>
    <tableColumn id="20" name="Column21" headerRowDxfId="26" dataDxfId="25">
      <calculatedColumnFormula>Table1[[#This Row],[Column17]]-Table1[[#This Row],[Column20]]/12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tableColumns count="21">
    <tableColumn id="1" name="year" dataDxfId="20"/>
    <tableColumn id="2" name="Utilities" dataDxfId="19">
      <calculatedColumnFormula>IF(Table12[[#This Row],[year]]&lt;'Data Input'!$I$4,12*'Data Input'!$B$24*(1+'Data Input'!$E$29)^(Table12[[#This Row],[year]]-'Data Input'!$I$3),12*'Data Input'!$B$35*(1+'Data Input'!$E$38)^(Table12[[#This Row],[year]]-'Data Input'!$I$4))</calculatedColumnFormula>
    </tableColumn>
    <tableColumn id="3" name="Car Insurance &amp; Registration" dataDxfId="18">
      <calculatedColumnFormula>IF(Table12[[#This Row],[year]]&lt;'Data Input'!$I$4,12*'Data Input'!$C$24*(1+'Data Input'!$E$29)^(Table12[[#This Row],[year]]-'Data Input'!$I$3),12*'Data Input'!$C$35*(1+'Data Input'!$E$38)^(Table12[[#This Row],[year]]-'Data Input'!$I$4))</calculatedColumnFormula>
    </tableColumn>
    <tableColumn id="15" name="Debt Payments" dataDxfId="17">
      <calculatedColumnFormula>ROUNDDOWN('Student Loans'!B6+'Credit Card Debt'!B6,2)</calculatedColumnFormula>
    </tableColumn>
    <tableColumn id="21" name="Post-Tax Savings (IRA)" dataDxfId="16">
      <calculatedColumnFormula>MIN('Data Input'!$C$12+'Data Input'!$F$12,'Main Info'!B2*'Data Input'!$C$11+'Main Info'!E2*'Data Input'!$F$11+'Data Input'!$C$10+'Data Input'!$F$10)</calculatedColumnFormula>
    </tableColumn>
    <tableColumn id="4" name="Car Repairs &amp; Car Payment" dataDxfId="15">
      <calculatedColumnFormula>IF(Table12[[#This Row],[year]]&lt;'Data Input'!$I$4,12*'Data Input'!$F$24*(1+'Data Input'!$E$29)^(Table12[[#This Row],[year]]-'Data Input'!$I$3),12*'Data Input'!$F$35*(1+'Data Input'!$E$38)^(Table12[[#This Row],[year]]-'Data Input'!$I$4))</calculatedColumnFormula>
    </tableColumn>
    <tableColumn id="5" name="Cell Phones" dataDxfId="14">
      <calculatedColumnFormula>IF(Table12[[#This Row],[year]]&lt;'Data Input'!$I$4,12*'Data Input'!$G$24*(1+'Data Input'!$E$29)^(Table12[[#This Row],[year]]-'Data Input'!$I$3),12*'Data Input'!$G$35*(1+'Data Input'!$E$38)^(Table12[[#This Row],[year]]-'Data Input'!$I$4))</calculatedColumnFormula>
    </tableColumn>
    <tableColumn id="6" name="Internet" dataDxfId="13">
      <calculatedColumnFormula>IF(Table12[[#This Row],[year]]&lt;'Data Input'!$I$4,12*'Data Input'!$H$24*(1+'Data Input'!$E$29)^(Table12[[#This Row],[year]]-'Data Input'!$I$3),12*'Data Input'!$H$35*(1+'Data Input'!$E$38)^(Table12[[#This Row],[year]]-'Data Input'!$I$4))</calculatedColumnFormula>
    </tableColumn>
    <tableColumn id="7" name="Gasoline" dataDxfId="12">
      <calculatedColumnFormula>12*'Data Input'!$I$24</calculatedColumnFormula>
    </tableColumn>
    <tableColumn id="8" name="Groceries" dataDxfId="11">
      <calculatedColumnFormula>IF(Table12[[#This Row],[year]]&lt;'Data Input'!$I$4,12*'Data Input'!$I$24*(1+'Data Input'!$E$29)^(Table12[[#This Row],[year]]-'Data Input'!$I$3),12*'Data Input'!$I$35*(1+'Data Input'!$E$38)^(Table12[[#This Row],[year]]-'Data Input'!$I$4))</calculatedColumnFormula>
    </tableColumn>
    <tableColumn id="9" name="Meals Out" dataDxfId="10">
      <calculatedColumnFormula>IF(Table12[[#This Row],[year]]&lt;'Data Input'!$I$4,12*'Data Input'!$J$24*(1+'Data Input'!$E$29)^(Table12[[#This Row],[year]]-'Data Input'!$I$3),12*'Data Input'!$J$35*(1+'Data Input'!$E$38)^(Table12[[#This Row],[year]]-'Data Input'!$I$4))</calculatedColumnFormula>
    </tableColumn>
    <tableColumn id="10" name="House Supplies" dataDxfId="9">
      <calculatedColumnFormula>IF(Table12[[#This Row],[year]]&lt;'Data Input'!$I$4,12*'Data Input'!$K$24*(1+'Data Input'!$E$29)^(Table12[[#This Row],[year]]-'Data Input'!$I$3),12*'Data Input'!$K$35*(1+'Data Input'!$E$38)^(Table12[[#This Row],[year]]-'Data Input'!$I$4))</calculatedColumnFormula>
    </tableColumn>
    <tableColumn id="11" name="Vacation" dataDxfId="8">
      <calculatedColumnFormula>IF(Table12[[#This Row],[year]]&lt;'Data Input'!$I$4,12*'Data Input'!$M$24*(1+'Data Input'!$E$29)^(Table12[[#This Row],[year]]-'Data Input'!$I$3),12*'Data Input'!$M$35*(1+'Data Input'!$E$38)^(Table12[[#This Row],[year]]-'Data Input'!$I$4))</calculatedColumnFormula>
    </tableColumn>
    <tableColumn id="12" name="Pocket Money" dataDxfId="7">
      <calculatedColumnFormula>IF(Table12[[#This Row],[year]]&lt;'Data Input'!$I$4,12*'Data Input'!$N$24,12*'Data Input'!$N$35)</calculatedColumnFormula>
    </tableColumn>
    <tableColumn id="14" name="Clothing" dataDxfId="6">
      <calculatedColumnFormula>IF(Table12[[#This Row],[year]]&lt;'Data Input'!$I$4,12*'Data Input'!$O$24*(1+'Data Input'!$E$29)^(Table12[[#This Row],[year]]-'Data Input'!$I$3),12*'Data Input'!$O$35*(1+'Data Input'!$E$38)^(Table12[[#This Row],[year]]-'Data Input'!$I$4))</calculatedColumnFormula>
    </tableColumn>
    <tableColumn id="13" name="Charity" dataDxfId="5">
      <calculatedColumnFormula>IF(Table12[[#This Row],[year]]&lt;'Data Input'!$I$4,12*'Data Input'!$P$24*(1+'Data Input'!$E$29)^(Table12[[#This Row],[year]]-'Data Input'!$I$3),12*'Data Input'!$P$35*(1+'Data Input'!$E$38)^(Table12[[#This Row],[year]]-'Data Input'!$I$4))</calculatedColumnFormula>
    </tableColumn>
    <tableColumn id="16" name="Entertainment" dataDxfId="4">
      <calculatedColumnFormula>IF(Table12[[#This Row],[year]]&lt;'Data Input'!$I$4,12*'Data Input'!$Q$24*(1+'Data Input'!$E$29)^(Table12[[#This Row],[year]]-'Data Input'!$I$3),12*'Data Input'!$Q$35*(1+'Data Input'!$E$38)^(Table12[[#This Row],[year]]-'Data Input'!$I$4))</calculatedColumnFormula>
    </tableColumn>
    <tableColumn id="17" name="Gifts" dataDxfId="3">
      <calculatedColumnFormula>IF(Table12[[#This Row],[year]]&lt;'Data Input'!$I$4,12*'Data Input'!$R$24*(1+'Data Input'!$E$29)^(Table12[[#This Row],[year]]-'Data Input'!$I$3),12*'Data Input'!$R$35*(1+'Data Input'!$E$38)^(Table12[[#This Row],[year]]-'Data Input'!$I$4))</calculatedColumnFormula>
    </tableColumn>
    <tableColumn id="18" name="Misc. Housing costs" dataDxfId="2">
      <calculatedColumnFormula>IF(Table12[[#This Row],[year]]&lt;'Data Input'!$I$4,12*'Data Input'!$S$24*(1+'Data Input'!$E$29)^(Table12[[#This Row],[year]]-'Data Input'!$I$3),12*'Data Input'!$S$35*(1+'Data Input'!$E$38)^(Table12[[#This Row],[year]]-'Data Input'!$I$4))</calculatedColumnFormula>
    </tableColumn>
    <tableColumn id="19" name="Total" dataDxfId="1">
      <calculatedColumnFormula>SUM(Table12[[#This Row],[Utilities]:[Misc. Housing costs]])</calculatedColumnFormula>
    </tableColumn>
    <tableColumn id="20" name="Monthly Total" dataDxfId="0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tabSelected="1" zoomScale="70" zoomScaleNormal="70" workbookViewId="0">
      <selection activeCell="F7" sqref="F7"/>
    </sheetView>
  </sheetViews>
  <sheetFormatPr defaultRowHeight="15"/>
  <cols>
    <col min="1" max="1" width="2.28515625" customWidth="1"/>
    <col min="2" max="2" width="25.7109375" style="8" customWidth="1"/>
    <col min="3" max="3" width="15.28515625" customWidth="1"/>
    <col min="4" max="4" width="14.5703125" style="16" customWidth="1"/>
    <col min="5" max="5" width="23.28515625" customWidth="1"/>
    <col min="6" max="6" width="14.7109375" customWidth="1"/>
    <col min="7" max="7" width="10.42578125" style="16" customWidth="1"/>
    <col min="8" max="8" width="16.28515625" style="16" customWidth="1"/>
    <col min="9" max="9" width="12.5703125" customWidth="1"/>
    <col min="10" max="10" width="13" customWidth="1"/>
    <col min="11" max="11" width="18.140625" bestFit="1" customWidth="1"/>
    <col min="12" max="12" width="12" customWidth="1"/>
    <col min="13" max="13" width="12.85546875" customWidth="1"/>
    <col min="14" max="14" width="18.140625" bestFit="1" customWidth="1"/>
    <col min="15" max="15" width="12" bestFit="1" customWidth="1"/>
    <col min="16" max="16" width="11.42578125" customWidth="1"/>
    <col min="17" max="17" width="13.140625" customWidth="1"/>
    <col min="18" max="18" width="9.7109375" customWidth="1"/>
    <col min="19" max="19" width="11.140625" style="16" customWidth="1"/>
    <col min="20" max="20" width="11" bestFit="1" customWidth="1"/>
    <col min="21" max="21" width="6.7109375" customWidth="1"/>
    <col min="22" max="22" width="7.85546875" customWidth="1"/>
  </cols>
  <sheetData>
    <row r="1" spans="2:15" s="16" customFormat="1" ht="15.75" thickBot="1">
      <c r="B1" s="8"/>
    </row>
    <row r="2" spans="2:15" s="16" customFormat="1" ht="15.75" thickBot="1">
      <c r="B2" s="179" t="s">
        <v>170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1"/>
    </row>
    <row r="3" spans="2:15" s="16" customFormat="1" ht="30">
      <c r="B3" s="163" t="s">
        <v>44</v>
      </c>
      <c r="C3" s="165"/>
      <c r="D3" s="165"/>
      <c r="E3" s="165"/>
      <c r="F3" s="164"/>
      <c r="G3" s="105"/>
      <c r="H3" s="57" t="s">
        <v>180</v>
      </c>
      <c r="I3" s="126">
        <v>2016</v>
      </c>
      <c r="J3" s="105"/>
      <c r="K3" s="176" t="s">
        <v>147</v>
      </c>
      <c r="L3" s="177"/>
      <c r="M3" s="178" t="s">
        <v>162</v>
      </c>
      <c r="N3" s="176" t="s">
        <v>151</v>
      </c>
      <c r="O3" s="177"/>
    </row>
    <row r="4" spans="2:15" s="16" customFormat="1" ht="30">
      <c r="B4" s="166" t="str">
        <f>C5</f>
        <v>Johnny</v>
      </c>
      <c r="C4" s="167"/>
      <c r="D4" s="96"/>
      <c r="E4" s="167" t="str">
        <f>F5</f>
        <v>Ellis</v>
      </c>
      <c r="F4" s="168"/>
      <c r="G4" s="105"/>
      <c r="H4" s="48" t="s">
        <v>149</v>
      </c>
      <c r="I4" s="127">
        <v>2018</v>
      </c>
      <c r="J4" s="105"/>
      <c r="K4" s="128" t="s">
        <v>5</v>
      </c>
      <c r="L4" s="129">
        <v>0</v>
      </c>
      <c r="M4" s="178"/>
      <c r="N4" s="128" t="s">
        <v>152</v>
      </c>
      <c r="O4" s="129">
        <v>0</v>
      </c>
    </row>
    <row r="5" spans="2:15" s="16" customFormat="1" ht="30">
      <c r="B5" s="48" t="s">
        <v>51</v>
      </c>
      <c r="C5" s="130" t="s">
        <v>125</v>
      </c>
      <c r="D5" s="96"/>
      <c r="E5" s="44" t="str">
        <f>B5</f>
        <v>Name</v>
      </c>
      <c r="F5" s="131" t="s">
        <v>126</v>
      </c>
      <c r="G5" s="105"/>
      <c r="H5" s="48" t="s">
        <v>106</v>
      </c>
      <c r="I5" s="131">
        <v>24</v>
      </c>
      <c r="J5" s="105"/>
      <c r="K5" s="58" t="s">
        <v>6</v>
      </c>
      <c r="L5" s="132">
        <v>0.04</v>
      </c>
      <c r="M5" s="178"/>
      <c r="N5" s="58" t="s">
        <v>6</v>
      </c>
      <c r="O5" s="132">
        <v>0.03</v>
      </c>
    </row>
    <row r="6" spans="2:15" s="16" customFormat="1" ht="30.75" thickBot="1">
      <c r="B6" s="48" t="s">
        <v>44</v>
      </c>
      <c r="C6" s="133">
        <v>40000</v>
      </c>
      <c r="D6" s="96"/>
      <c r="E6" s="44" t="str">
        <f t="shared" ref="E6:E12" si="0">B6</f>
        <v>Income</v>
      </c>
      <c r="F6" s="134">
        <v>10000</v>
      </c>
      <c r="G6" s="105"/>
      <c r="H6" s="49" t="str">
        <f>CONCATENATE("Savings @ Start of ", I3)</f>
        <v>Savings @ Start of 2016</v>
      </c>
      <c r="I6" s="135">
        <v>10000</v>
      </c>
      <c r="J6" s="105"/>
      <c r="K6" s="58" t="s">
        <v>148</v>
      </c>
      <c r="L6" s="136">
        <v>3</v>
      </c>
      <c r="M6" s="178"/>
      <c r="N6" s="58" t="s">
        <v>148</v>
      </c>
      <c r="O6" s="136">
        <v>3</v>
      </c>
    </row>
    <row r="7" spans="2:15" s="16" customFormat="1" ht="30.75" thickBot="1">
      <c r="B7" s="48" t="s">
        <v>158</v>
      </c>
      <c r="C7" s="133">
        <v>0</v>
      </c>
      <c r="D7" s="96"/>
      <c r="E7" s="44" t="str">
        <f t="shared" si="0"/>
        <v>Pre-Tax Savings ($)</v>
      </c>
      <c r="F7" s="134"/>
      <c r="G7" s="105"/>
      <c r="H7" s="105"/>
      <c r="I7" s="105"/>
      <c r="J7" s="105"/>
      <c r="K7" s="69" t="s">
        <v>120</v>
      </c>
      <c r="L7" s="137">
        <f>'Student Loans'!K3</f>
        <v>0</v>
      </c>
      <c r="M7" s="178"/>
      <c r="N7" s="69" t="s">
        <v>120</v>
      </c>
      <c r="O7" s="137">
        <f>'Credit Card Debt'!K3</f>
        <v>0</v>
      </c>
    </row>
    <row r="8" spans="2:15" s="16" customFormat="1" ht="30.75" thickBot="1">
      <c r="B8" s="48" t="s">
        <v>159</v>
      </c>
      <c r="C8" s="51">
        <v>0</v>
      </c>
      <c r="D8" s="96"/>
      <c r="E8" s="44" t="str">
        <f t="shared" si="0"/>
        <v>Pre-Tax Savings (% of income)</v>
      </c>
      <c r="F8" s="52"/>
      <c r="G8" s="105"/>
      <c r="H8" s="105"/>
      <c r="I8" s="105"/>
      <c r="J8" s="105"/>
      <c r="K8" s="105"/>
      <c r="L8" s="105"/>
      <c r="M8" s="105"/>
      <c r="N8" s="105"/>
      <c r="O8" s="138"/>
    </row>
    <row r="9" spans="2:15" s="16" customFormat="1" ht="30">
      <c r="B9" s="48" t="s">
        <v>178</v>
      </c>
      <c r="C9" s="51">
        <v>0.06</v>
      </c>
      <c r="D9" s="96"/>
      <c r="E9" s="44" t="str">
        <f>B9</f>
        <v>Pre-Tax Savings Employer Match (%)</v>
      </c>
      <c r="F9" s="52"/>
      <c r="G9" s="105"/>
      <c r="H9" s="169" t="s">
        <v>55</v>
      </c>
      <c r="I9" s="170"/>
      <c r="J9" s="105"/>
      <c r="K9" s="163" t="s">
        <v>107</v>
      </c>
      <c r="L9" s="164"/>
      <c r="M9" s="119"/>
      <c r="N9" s="169" t="s">
        <v>46</v>
      </c>
      <c r="O9" s="170"/>
    </row>
    <row r="10" spans="2:15" s="16" customFormat="1">
      <c r="B10" s="48" t="s">
        <v>181</v>
      </c>
      <c r="C10" s="133">
        <v>0</v>
      </c>
      <c r="D10" s="96"/>
      <c r="E10" s="44" t="str">
        <f t="shared" si="0"/>
        <v>Post-Tax Savings ($)</v>
      </c>
      <c r="F10" s="134"/>
      <c r="G10" s="105"/>
      <c r="H10" s="48" t="s">
        <v>57</v>
      </c>
      <c r="I10" s="131">
        <v>2020</v>
      </c>
      <c r="J10" s="105"/>
      <c r="K10" s="58" t="s">
        <v>108</v>
      </c>
      <c r="L10" s="134">
        <v>300</v>
      </c>
      <c r="M10" s="139"/>
      <c r="N10" s="48" t="s">
        <v>115</v>
      </c>
      <c r="O10" s="131">
        <v>15000</v>
      </c>
    </row>
    <row r="11" spans="2:15" s="16" customFormat="1" ht="30">
      <c r="B11" s="48" t="s">
        <v>161</v>
      </c>
      <c r="C11" s="51">
        <v>0.1</v>
      </c>
      <c r="D11" s="96"/>
      <c r="E11" s="44" t="str">
        <f t="shared" si="0"/>
        <v>Post-Tax Savings, IRA (% of income)</v>
      </c>
      <c r="F11" s="52"/>
      <c r="G11" s="105"/>
      <c r="H11" s="48" t="s">
        <v>56</v>
      </c>
      <c r="I11" s="131">
        <v>2020</v>
      </c>
      <c r="J11" s="105"/>
      <c r="K11" s="58" t="s">
        <v>166</v>
      </c>
      <c r="L11" s="140">
        <v>2025</v>
      </c>
      <c r="M11" s="41"/>
      <c r="N11" s="48" t="s">
        <v>113</v>
      </c>
      <c r="O11" s="141">
        <v>3</v>
      </c>
    </row>
    <row r="12" spans="2:15" s="16" customFormat="1" ht="30">
      <c r="B12" s="108" t="s">
        <v>172</v>
      </c>
      <c r="C12" s="133">
        <v>5500</v>
      </c>
      <c r="D12" s="105"/>
      <c r="E12" s="109" t="str">
        <f t="shared" si="0"/>
        <v>Maximum Post-Tax Savings Allowed</v>
      </c>
      <c r="F12" s="134">
        <f>C12</f>
        <v>5500</v>
      </c>
      <c r="G12" s="105"/>
      <c r="H12" s="48" t="s">
        <v>58</v>
      </c>
      <c r="I12" s="131">
        <v>2040</v>
      </c>
      <c r="J12" s="105"/>
      <c r="K12" s="58" t="s">
        <v>109</v>
      </c>
      <c r="L12" s="140">
        <v>2030</v>
      </c>
      <c r="M12" s="41"/>
      <c r="N12" s="48" t="s">
        <v>114</v>
      </c>
      <c r="O12" s="131">
        <v>20</v>
      </c>
    </row>
    <row r="13" spans="2:15" s="16" customFormat="1" ht="15.75" thickBot="1">
      <c r="B13" s="48" t="s">
        <v>53</v>
      </c>
      <c r="C13" s="133">
        <v>3000</v>
      </c>
      <c r="D13" s="96"/>
      <c r="E13" s="44" t="str">
        <f>B13</f>
        <v>Bonuses ($)</v>
      </c>
      <c r="F13" s="134"/>
      <c r="G13" s="105"/>
      <c r="H13" s="49" t="s">
        <v>59</v>
      </c>
      <c r="I13" s="142"/>
      <c r="J13" s="105"/>
      <c r="K13" s="58" t="s">
        <v>110</v>
      </c>
      <c r="L13" s="134">
        <v>250</v>
      </c>
      <c r="M13" s="41"/>
      <c r="N13" s="48" t="s">
        <v>116</v>
      </c>
      <c r="O13" s="141">
        <f>O11*(O10/O12)</f>
        <v>2250</v>
      </c>
    </row>
    <row r="14" spans="2:15" s="16" customFormat="1" ht="30.75" thickBot="1">
      <c r="B14" s="48" t="s">
        <v>54</v>
      </c>
      <c r="C14" s="51"/>
      <c r="D14" s="96"/>
      <c r="E14" s="44" t="str">
        <f>B14</f>
        <v>Bonuses (% of income)</v>
      </c>
      <c r="F14" s="52"/>
      <c r="G14" s="105"/>
      <c r="H14" s="105"/>
      <c r="I14" s="105"/>
      <c r="J14" s="105"/>
      <c r="K14" s="58" t="s">
        <v>167</v>
      </c>
      <c r="L14" s="140">
        <v>2016</v>
      </c>
      <c r="M14" s="41"/>
      <c r="N14" s="49" t="s">
        <v>117</v>
      </c>
      <c r="O14" s="143">
        <f>O13/12</f>
        <v>187.5</v>
      </c>
    </row>
    <row r="15" spans="2:15" s="16" customFormat="1" ht="30">
      <c r="B15" s="48" t="s">
        <v>52</v>
      </c>
      <c r="C15" s="51">
        <v>0.04</v>
      </c>
      <c r="D15" s="96"/>
      <c r="E15" s="44" t="str">
        <f>B15</f>
        <v>Yearly Raise (%)</v>
      </c>
      <c r="F15" s="52">
        <v>0.04</v>
      </c>
      <c r="G15" s="105"/>
      <c r="H15" s="105"/>
      <c r="I15" s="105"/>
      <c r="J15" s="105"/>
      <c r="K15" s="58" t="s">
        <v>111</v>
      </c>
      <c r="L15" s="140">
        <v>2021</v>
      </c>
      <c r="M15" s="41"/>
      <c r="N15" s="118"/>
      <c r="O15" s="144"/>
    </row>
    <row r="16" spans="2:15" s="16" customFormat="1" ht="15.75" thickBot="1">
      <c r="B16" s="49" t="str">
        <f>CONCATENATE("Years ",C5, " will work")</f>
        <v>Years Johnny will work</v>
      </c>
      <c r="C16" s="145">
        <v>40</v>
      </c>
      <c r="D16" s="146"/>
      <c r="E16" s="50" t="str">
        <f>CONCATENATE("Years ",F5, " will work")</f>
        <v>Years Ellis will work</v>
      </c>
      <c r="F16" s="142">
        <v>3</v>
      </c>
      <c r="G16" s="105"/>
      <c r="H16" s="105"/>
      <c r="I16" s="105"/>
      <c r="J16" s="105"/>
      <c r="K16" s="58" t="s">
        <v>176</v>
      </c>
      <c r="L16" s="134">
        <v>275</v>
      </c>
      <c r="M16" s="105"/>
      <c r="N16" s="105"/>
      <c r="O16" s="138"/>
    </row>
    <row r="17" spans="2:22" s="16" customFormat="1" ht="30">
      <c r="B17" s="123"/>
      <c r="C17" s="84"/>
      <c r="D17" s="84"/>
      <c r="E17" s="119"/>
      <c r="F17" s="84"/>
      <c r="G17" s="103"/>
      <c r="H17" s="103"/>
      <c r="I17" s="103"/>
      <c r="J17" s="103"/>
      <c r="K17" s="58" t="s">
        <v>174</v>
      </c>
      <c r="L17" s="68">
        <v>2035</v>
      </c>
      <c r="M17" s="103"/>
      <c r="N17" s="103"/>
      <c r="O17" s="104"/>
    </row>
    <row r="18" spans="2:22" s="16" customFormat="1" ht="30.75" thickBot="1">
      <c r="B18" s="120"/>
      <c r="C18" s="121"/>
      <c r="D18" s="121"/>
      <c r="E18" s="122"/>
      <c r="F18" s="121"/>
      <c r="G18" s="106"/>
      <c r="H18" s="106"/>
      <c r="I18" s="106"/>
      <c r="J18" s="106"/>
      <c r="K18" s="69" t="s">
        <v>175</v>
      </c>
      <c r="L18" s="70">
        <v>2040</v>
      </c>
      <c r="M18" s="106"/>
      <c r="N18" s="106"/>
      <c r="O18" s="116"/>
    </row>
    <row r="19" spans="2:22" s="106" customFormat="1" ht="15.75" thickBot="1">
      <c r="B19" s="122"/>
      <c r="C19" s="121"/>
      <c r="D19" s="121"/>
      <c r="E19" s="122"/>
      <c r="F19" s="121"/>
      <c r="K19" s="117"/>
      <c r="L19" s="107"/>
    </row>
    <row r="20" spans="2:22" s="8" customFormat="1" ht="15.75" thickBot="1">
      <c r="T20" s="32"/>
    </row>
    <row r="21" spans="2:22" s="16" customFormat="1" ht="15.75" thickBot="1">
      <c r="B21" s="182" t="s">
        <v>177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4"/>
      <c r="T21" s="92"/>
      <c r="U21" s="92"/>
      <c r="V21" s="92"/>
    </row>
    <row r="22" spans="2:22" s="16" customFormat="1">
      <c r="B22" s="171" t="s">
        <v>171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3"/>
    </row>
    <row r="23" spans="2:22" s="16" customFormat="1" ht="45">
      <c r="B23" s="58" t="s">
        <v>32</v>
      </c>
      <c r="C23" s="43" t="s">
        <v>179</v>
      </c>
      <c r="D23" s="43" t="s">
        <v>146</v>
      </c>
      <c r="E23" s="43" t="s">
        <v>160</v>
      </c>
      <c r="F23" s="43" t="s">
        <v>48</v>
      </c>
      <c r="G23" s="43" t="s">
        <v>33</v>
      </c>
      <c r="H23" s="43" t="s">
        <v>34</v>
      </c>
      <c r="I23" s="43" t="s">
        <v>185</v>
      </c>
      <c r="J23" s="43" t="s">
        <v>35</v>
      </c>
      <c r="K23" s="43" t="s">
        <v>36</v>
      </c>
      <c r="L23" s="43" t="s">
        <v>37</v>
      </c>
      <c r="M23" s="43" t="s">
        <v>38</v>
      </c>
      <c r="N23" s="43" t="s">
        <v>39</v>
      </c>
      <c r="O23" s="43" t="s">
        <v>40</v>
      </c>
      <c r="P23" s="43" t="s">
        <v>128</v>
      </c>
      <c r="Q23" s="43" t="s">
        <v>41</v>
      </c>
      <c r="R23" s="43" t="s">
        <v>42</v>
      </c>
      <c r="S23" s="59" t="s">
        <v>43</v>
      </c>
    </row>
    <row r="24" spans="2:22" s="16" customFormat="1">
      <c r="B24" s="124">
        <v>300</v>
      </c>
      <c r="C24" s="113">
        <v>250</v>
      </c>
      <c r="D24" s="114">
        <f>L7+O7</f>
        <v>0</v>
      </c>
      <c r="E24" s="114">
        <f>MIN(C12+F12,C11*C6+F6*F11+C10+F10)/12</f>
        <v>333.33333333333331</v>
      </c>
      <c r="F24" s="78">
        <f>(100+'Data Input'!F61)</f>
        <v>350</v>
      </c>
      <c r="G24" s="113">
        <v>100</v>
      </c>
      <c r="H24" s="113">
        <v>60</v>
      </c>
      <c r="I24" s="78">
        <f>O14</f>
        <v>187.5</v>
      </c>
      <c r="J24" s="113">
        <v>400</v>
      </c>
      <c r="K24" s="113">
        <v>100</v>
      </c>
      <c r="L24" s="113">
        <v>100</v>
      </c>
      <c r="M24" s="113">
        <v>200</v>
      </c>
      <c r="N24" s="113">
        <v>200</v>
      </c>
      <c r="O24" s="113">
        <v>100</v>
      </c>
      <c r="P24" s="113">
        <v>100</v>
      </c>
      <c r="Q24" s="113">
        <v>100</v>
      </c>
      <c r="R24" s="113">
        <v>200</v>
      </c>
      <c r="S24" s="115">
        <v>100</v>
      </c>
    </row>
    <row r="25" spans="2:22" s="16" customFormat="1" ht="15.75" thickBot="1">
      <c r="B25" s="147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148"/>
    </row>
    <row r="26" spans="2:22" s="16" customFormat="1" ht="15.75" thickBot="1">
      <c r="B26" s="150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</row>
    <row r="27" spans="2:22" s="16" customFormat="1" ht="47.25" customHeight="1" thickBot="1">
      <c r="B27" s="174" t="s">
        <v>156</v>
      </c>
      <c r="C27" s="175"/>
      <c r="D27" s="103"/>
      <c r="E27" s="103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25"/>
    </row>
    <row r="28" spans="2:22" s="16" customFormat="1" ht="30.75" customHeight="1">
      <c r="B28" s="63" t="s">
        <v>154</v>
      </c>
      <c r="C28" s="64">
        <v>1380</v>
      </c>
      <c r="D28" s="103"/>
      <c r="E28" s="149" t="s">
        <v>173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125"/>
    </row>
    <row r="29" spans="2:22" s="16" customFormat="1" ht="15.75" thickBot="1">
      <c r="B29" s="153" t="s">
        <v>155</v>
      </c>
      <c r="C29" s="154">
        <v>0.02</v>
      </c>
      <c r="D29" s="106"/>
      <c r="E29" s="155">
        <v>0.01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2"/>
      <c r="T29" s="85"/>
      <c r="U29" s="85"/>
      <c r="V29" s="85"/>
    </row>
    <row r="30" spans="2:22" s="106" customFormat="1" ht="15.75" thickBot="1">
      <c r="B30" s="156"/>
      <c r="C30" s="110"/>
      <c r="D30" s="107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</row>
    <row r="31" spans="2:22" s="16" customFormat="1" ht="15.75" thickBot="1">
      <c r="B31" s="101"/>
      <c r="C31" s="102"/>
      <c r="D31" s="8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2:22" s="16" customFormat="1" ht="15.75" thickBot="1">
      <c r="B32" s="185" t="s">
        <v>182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7"/>
      <c r="T32" s="85"/>
      <c r="U32" s="85"/>
      <c r="V32" s="85"/>
    </row>
    <row r="33" spans="2:22" s="16" customFormat="1">
      <c r="B33" s="188" t="s">
        <v>183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90"/>
      <c r="T33" s="85"/>
      <c r="U33" s="85"/>
      <c r="V33" s="85"/>
    </row>
    <row r="34" spans="2:22" s="16" customFormat="1" ht="45">
      <c r="B34" s="58" t="str">
        <f>B23</f>
        <v>Utilities</v>
      </c>
      <c r="C34" s="43" t="str">
        <f t="shared" ref="C34:S34" si="1">C23</f>
        <v>Car Insurance &amp; Registration</v>
      </c>
      <c r="D34" s="43" t="str">
        <f t="shared" si="1"/>
        <v>Debt Payments</v>
      </c>
      <c r="E34" s="43" t="str">
        <f t="shared" si="1"/>
        <v>Post-Tax Savings (IRA)</v>
      </c>
      <c r="F34" s="43" t="str">
        <f t="shared" si="1"/>
        <v>Car Repairs &amp; Car Payment</v>
      </c>
      <c r="G34" s="43" t="str">
        <f t="shared" si="1"/>
        <v>Cell Phones</v>
      </c>
      <c r="H34" s="43" t="str">
        <f t="shared" si="1"/>
        <v>Internet</v>
      </c>
      <c r="I34" s="43" t="str">
        <f t="shared" si="1"/>
        <v>Gasoline</v>
      </c>
      <c r="J34" s="43" t="str">
        <f t="shared" si="1"/>
        <v>Groceries</v>
      </c>
      <c r="K34" s="43" t="str">
        <f t="shared" si="1"/>
        <v>Meals Out</v>
      </c>
      <c r="L34" s="43" t="str">
        <f t="shared" si="1"/>
        <v>House Supplies</v>
      </c>
      <c r="M34" s="43" t="str">
        <f t="shared" si="1"/>
        <v>Vacation</v>
      </c>
      <c r="N34" s="43" t="str">
        <f t="shared" si="1"/>
        <v>Pocket Money</v>
      </c>
      <c r="O34" s="43" t="str">
        <f t="shared" si="1"/>
        <v>Clothing</v>
      </c>
      <c r="P34" s="43" t="str">
        <f t="shared" si="1"/>
        <v>Charity</v>
      </c>
      <c r="Q34" s="43" t="str">
        <f t="shared" si="1"/>
        <v>Entertainment</v>
      </c>
      <c r="R34" s="43" t="str">
        <f t="shared" si="1"/>
        <v>Gifts</v>
      </c>
      <c r="S34" s="59" t="str">
        <f t="shared" si="1"/>
        <v>Misc. Housing costs</v>
      </c>
      <c r="T34" s="85"/>
      <c r="U34" s="85"/>
      <c r="V34" s="85"/>
    </row>
    <row r="35" spans="2:22" s="16" customFormat="1" ht="15.75" thickBot="1">
      <c r="B35" s="157">
        <v>400</v>
      </c>
      <c r="C35" s="60">
        <v>250</v>
      </c>
      <c r="D35" s="89">
        <f>D24</f>
        <v>0</v>
      </c>
      <c r="E35" s="89">
        <f>E24</f>
        <v>333.33333333333331</v>
      </c>
      <c r="F35" s="61">
        <f>F24</f>
        <v>350</v>
      </c>
      <c r="G35" s="60">
        <v>100</v>
      </c>
      <c r="H35" s="60">
        <v>60</v>
      </c>
      <c r="I35" s="61">
        <f>I24</f>
        <v>187.5</v>
      </c>
      <c r="J35" s="60">
        <v>400</v>
      </c>
      <c r="K35" s="60">
        <v>100</v>
      </c>
      <c r="L35" s="60">
        <v>100</v>
      </c>
      <c r="M35" s="60">
        <v>200</v>
      </c>
      <c r="N35" s="60">
        <v>200</v>
      </c>
      <c r="O35" s="60">
        <v>100</v>
      </c>
      <c r="P35" s="60">
        <v>100</v>
      </c>
      <c r="Q35" s="60">
        <v>100</v>
      </c>
      <c r="R35" s="60">
        <v>200</v>
      </c>
      <c r="S35" s="62">
        <v>100</v>
      </c>
      <c r="T35" s="85"/>
      <c r="U35" s="85"/>
      <c r="V35" s="85"/>
    </row>
    <row r="36" spans="2:22" s="16" customFormat="1" ht="15.75" thickBot="1">
      <c r="B36" s="158"/>
      <c r="C36" s="102"/>
      <c r="D36" s="8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125"/>
      <c r="T36" s="85"/>
      <c r="U36" s="85"/>
      <c r="V36" s="85"/>
    </row>
    <row r="37" spans="2:22" s="16" customFormat="1" ht="27.75" customHeight="1">
      <c r="B37" s="174" t="s">
        <v>118</v>
      </c>
      <c r="C37" s="175"/>
      <c r="D37" s="88"/>
      <c r="E37" s="149" t="s">
        <v>184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125"/>
      <c r="T37" s="85"/>
      <c r="U37" s="85"/>
      <c r="V37" s="85"/>
    </row>
    <row r="38" spans="2:22" s="16" customFormat="1" ht="15.75" thickBot="1">
      <c r="B38" s="63" t="s">
        <v>5</v>
      </c>
      <c r="C38" s="64">
        <v>400000</v>
      </c>
      <c r="D38" s="103"/>
      <c r="E38" s="155">
        <v>0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59"/>
      <c r="T38" s="45"/>
      <c r="U38" s="45"/>
      <c r="V38" s="45"/>
    </row>
    <row r="39" spans="2:22" s="16" customFormat="1">
      <c r="B39" s="65" t="s">
        <v>6</v>
      </c>
      <c r="C39" s="66">
        <v>0.04</v>
      </c>
      <c r="D39" s="103"/>
      <c r="E39" s="103"/>
      <c r="F39" s="103"/>
      <c r="G39" s="83"/>
      <c r="H39" s="103"/>
      <c r="I39" s="103"/>
      <c r="J39" s="45"/>
      <c r="K39" s="103"/>
      <c r="L39" s="103"/>
      <c r="M39" s="103"/>
      <c r="N39" s="103"/>
      <c r="O39" s="103"/>
      <c r="P39" s="45"/>
      <c r="Q39" s="103"/>
      <c r="R39" s="103"/>
      <c r="S39" s="104"/>
    </row>
    <row r="40" spans="2:22">
      <c r="B40" s="65" t="s">
        <v>119</v>
      </c>
      <c r="C40" s="67">
        <v>30</v>
      </c>
      <c r="D40" s="103"/>
      <c r="E40" s="103"/>
      <c r="F40" s="103"/>
      <c r="G40" s="3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4"/>
    </row>
    <row r="41" spans="2:22">
      <c r="B41" s="58" t="s">
        <v>122</v>
      </c>
      <c r="C41" s="68">
        <v>30</v>
      </c>
      <c r="D41" s="103"/>
      <c r="E41" s="103"/>
      <c r="F41" s="103"/>
      <c r="G41" s="84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4"/>
    </row>
    <row r="42" spans="2:22">
      <c r="B42" s="58" t="s">
        <v>123</v>
      </c>
      <c r="C42" s="64">
        <v>6000</v>
      </c>
      <c r="D42" s="103"/>
      <c r="E42" s="103"/>
      <c r="F42" s="103"/>
      <c r="G42" s="8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</row>
    <row r="43" spans="2:22">
      <c r="B43" s="58" t="s">
        <v>124</v>
      </c>
      <c r="C43" s="64">
        <v>1200</v>
      </c>
      <c r="D43" s="103"/>
      <c r="E43" s="103"/>
      <c r="F43" s="103"/>
      <c r="G43" s="85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4"/>
    </row>
    <row r="44" spans="2:22" s="16" customFormat="1" ht="30">
      <c r="B44" s="97" t="s">
        <v>163</v>
      </c>
      <c r="C44" s="64">
        <v>100000</v>
      </c>
      <c r="D44" s="103"/>
      <c r="E44" s="103"/>
      <c r="F44" s="103"/>
      <c r="G44" s="86"/>
      <c r="H44" s="103"/>
      <c r="I44" s="103"/>
      <c r="J44" s="103"/>
      <c r="K44" s="93"/>
      <c r="L44" s="94"/>
      <c r="M44" s="103"/>
      <c r="N44" s="103"/>
      <c r="O44" s="103"/>
      <c r="P44" s="103"/>
      <c r="Q44" s="103"/>
      <c r="R44" s="103"/>
      <c r="S44" s="104"/>
    </row>
    <row r="45" spans="2:22" s="16" customFormat="1" ht="30.75" thickBot="1">
      <c r="B45" s="69" t="s">
        <v>120</v>
      </c>
      <c r="C45" s="75">
        <f>'Mortgage Sheet'!K3</f>
        <v>2509.6611818618112</v>
      </c>
      <c r="D45" s="106"/>
      <c r="E45" s="106"/>
      <c r="F45" s="106"/>
      <c r="G45" s="160"/>
      <c r="H45" s="106"/>
      <c r="I45" s="106"/>
      <c r="J45" s="106"/>
      <c r="K45" s="117"/>
      <c r="L45" s="161"/>
      <c r="M45" s="106"/>
      <c r="N45" s="106"/>
      <c r="O45" s="106"/>
      <c r="P45" s="106"/>
      <c r="Q45" s="106"/>
      <c r="R45" s="106"/>
      <c r="S45" s="116"/>
    </row>
    <row r="46" spans="2:22" s="16" customFormat="1">
      <c r="B46" s="8"/>
      <c r="G46" s="86"/>
      <c r="K46" s="93"/>
      <c r="L46" s="94"/>
    </row>
    <row r="47" spans="2:22">
      <c r="G47" s="85"/>
      <c r="J47" s="16"/>
      <c r="K47" s="16"/>
      <c r="L47" s="16"/>
      <c r="M47" s="16"/>
      <c r="N47" s="16"/>
      <c r="O47" s="16"/>
      <c r="P47" s="16"/>
      <c r="Q47" s="16"/>
    </row>
    <row r="48" spans="2:22" s="16" customFormat="1">
      <c r="B48" s="8"/>
      <c r="G48" s="86"/>
      <c r="K48" s="8"/>
      <c r="L48" s="8"/>
    </row>
    <row r="49" spans="2:17" s="8" customFormat="1">
      <c r="G49" s="86"/>
      <c r="K49" s="16"/>
      <c r="L49" s="16"/>
    </row>
    <row r="50" spans="2:17">
      <c r="G50" s="84"/>
      <c r="I50" s="16"/>
      <c r="J50" s="16"/>
      <c r="K50" s="16"/>
      <c r="L50" s="16"/>
      <c r="M50" s="16"/>
      <c r="N50" s="16"/>
      <c r="O50" s="16"/>
      <c r="P50" s="16"/>
      <c r="Q50" s="16"/>
    </row>
    <row r="51" spans="2:17">
      <c r="G51" s="87"/>
      <c r="I51" s="16"/>
      <c r="J51" s="16"/>
      <c r="K51" s="16"/>
      <c r="L51" s="16"/>
      <c r="M51" s="16"/>
      <c r="N51" s="16"/>
      <c r="O51" s="16"/>
      <c r="P51" s="16"/>
      <c r="Q51" s="16"/>
    </row>
    <row r="52" spans="2:17">
      <c r="J52" s="16"/>
      <c r="K52" s="16"/>
      <c r="L52" s="16"/>
      <c r="M52" s="16"/>
      <c r="N52" s="16"/>
      <c r="O52" s="16"/>
      <c r="P52" s="16"/>
      <c r="Q52" s="16"/>
    </row>
    <row r="53" spans="2:17">
      <c r="J53" s="16"/>
      <c r="K53" s="16"/>
      <c r="L53" s="16"/>
      <c r="M53" s="16"/>
      <c r="N53" s="16"/>
      <c r="O53" s="16"/>
      <c r="P53" s="16"/>
      <c r="Q53" s="16"/>
    </row>
    <row r="54" spans="2:17">
      <c r="J54" s="16"/>
      <c r="K54" s="16"/>
      <c r="L54" s="16"/>
      <c r="M54" s="16"/>
      <c r="N54" s="16"/>
      <c r="O54" s="16"/>
      <c r="P54" s="16"/>
      <c r="Q54" s="16"/>
    </row>
    <row r="55" spans="2:17">
      <c r="J55" s="16"/>
      <c r="K55" s="16"/>
      <c r="L55" s="16"/>
      <c r="M55" s="16"/>
      <c r="N55" s="16"/>
      <c r="O55" s="16"/>
      <c r="P55" s="16"/>
      <c r="Q55" s="16"/>
    </row>
    <row r="56" spans="2:17">
      <c r="J56" s="16"/>
      <c r="K56" s="16"/>
      <c r="L56" s="16"/>
      <c r="M56" s="16"/>
      <c r="N56" s="16"/>
      <c r="O56" s="16"/>
      <c r="P56" s="16"/>
      <c r="Q56" s="16"/>
    </row>
    <row r="57" spans="2:17">
      <c r="J57" s="16"/>
      <c r="K57" s="16"/>
      <c r="L57" s="16"/>
      <c r="M57" s="16"/>
      <c r="N57" s="16"/>
      <c r="O57" s="16"/>
      <c r="P57" s="16"/>
      <c r="Q57" s="16"/>
    </row>
    <row r="58" spans="2:17" s="16" customFormat="1">
      <c r="B58" s="8"/>
    </row>
    <row r="59" spans="2:17" s="16" customFormat="1">
      <c r="B59" s="8"/>
      <c r="G59" s="87"/>
      <c r="H59" s="83"/>
      <c r="I59" s="98"/>
    </row>
    <row r="60" spans="2:17">
      <c r="B60" s="162" t="s">
        <v>63</v>
      </c>
      <c r="C60" s="162"/>
      <c r="E60" s="162" t="s">
        <v>112</v>
      </c>
      <c r="F60" s="162"/>
      <c r="G60" s="84"/>
      <c r="H60" s="84"/>
    </row>
    <row r="61" spans="2:17">
      <c r="B61" s="96">
        <f>I3</f>
        <v>2016</v>
      </c>
      <c r="C61" s="95">
        <f t="shared" ref="C61:C90" si="2">IF(AND(B61&gt;=$I$10,$I$10&gt;0,(B61-$I$10)&lt;18),1,0)+IF(AND(B61&gt;=$I$11,$I$11&gt;0,(B61-$I$11)&lt;18),1,0)+IF(AND(B61&gt;=$I$12,$I$12&gt;0,(B61-$I$12)&lt;18),1,0)+IF(AND(B61&gt;=$I$13,$I$13&gt;0,(B61-$I$13)&lt;18),1,0)</f>
        <v>0</v>
      </c>
      <c r="E61" s="27">
        <f>B61</f>
        <v>2016</v>
      </c>
      <c r="F61" s="28">
        <f>IF(AND(E61&gt;=$L$11,E61&lt;=$L$12),$L$10,0)+IF(AND(E61&gt;=$L$14,E61&lt;=$L$15),$L$13,0)++IF(AND(E61&gt;=$L$17,E61&lt;=$L$18),$L$16,0)</f>
        <v>250</v>
      </c>
      <c r="G61" s="85"/>
      <c r="H61" s="85"/>
    </row>
    <row r="62" spans="2:17">
      <c r="B62" s="96">
        <f>B61+1</f>
        <v>2017</v>
      </c>
      <c r="C62" s="95">
        <f t="shared" si="2"/>
        <v>0</v>
      </c>
      <c r="E62" s="27">
        <f t="shared" ref="E62:E90" si="3">B62</f>
        <v>2017</v>
      </c>
      <c r="F62" s="28">
        <f t="shared" ref="F62:F90" si="4">IF(AND(E62&gt;=$L$11,E62&lt;=$L$12),$L$10,0)+IF(AND(E62&gt;=$L$14,E62&lt;=$L$15),$L$13,0)++IF(AND(E62&gt;=$L$17,E62&lt;=$L$18),$L$16,0)</f>
        <v>250</v>
      </c>
      <c r="G62" s="85"/>
      <c r="H62" s="85"/>
    </row>
    <row r="63" spans="2:17">
      <c r="B63" s="96">
        <f t="shared" ref="B63:B90" si="5">B62+1</f>
        <v>2018</v>
      </c>
      <c r="C63" s="95">
        <f t="shared" si="2"/>
        <v>0</v>
      </c>
      <c r="E63" s="27">
        <f t="shared" si="3"/>
        <v>2018</v>
      </c>
      <c r="F63" s="28">
        <f t="shared" si="4"/>
        <v>250</v>
      </c>
      <c r="G63" s="85"/>
      <c r="H63" s="85"/>
    </row>
    <row r="64" spans="2:17">
      <c r="B64" s="96">
        <f t="shared" si="5"/>
        <v>2019</v>
      </c>
      <c r="C64" s="95">
        <f t="shared" si="2"/>
        <v>0</v>
      </c>
      <c r="E64" s="27">
        <f t="shared" si="3"/>
        <v>2019</v>
      </c>
      <c r="F64" s="28">
        <f t="shared" si="4"/>
        <v>250</v>
      </c>
      <c r="G64" s="85"/>
      <c r="H64" s="85"/>
    </row>
    <row r="65" spans="2:8">
      <c r="B65" s="96">
        <f t="shared" si="5"/>
        <v>2020</v>
      </c>
      <c r="C65" s="95">
        <f t="shared" si="2"/>
        <v>2</v>
      </c>
      <c r="E65" s="27">
        <f t="shared" si="3"/>
        <v>2020</v>
      </c>
      <c r="F65" s="28">
        <f t="shared" si="4"/>
        <v>250</v>
      </c>
      <c r="G65" s="85"/>
      <c r="H65" s="85"/>
    </row>
    <row r="66" spans="2:8">
      <c r="B66" s="96">
        <f t="shared" si="5"/>
        <v>2021</v>
      </c>
      <c r="C66" s="95">
        <f t="shared" si="2"/>
        <v>2</v>
      </c>
      <c r="E66" s="27">
        <f t="shared" si="3"/>
        <v>2021</v>
      </c>
      <c r="F66" s="28">
        <f t="shared" si="4"/>
        <v>250</v>
      </c>
      <c r="G66" s="85"/>
      <c r="H66" s="85"/>
    </row>
    <row r="67" spans="2:8">
      <c r="B67" s="96">
        <f t="shared" si="5"/>
        <v>2022</v>
      </c>
      <c r="C67" s="95">
        <f t="shared" si="2"/>
        <v>2</v>
      </c>
      <c r="E67" s="27">
        <f t="shared" si="3"/>
        <v>2022</v>
      </c>
      <c r="F67" s="28">
        <f t="shared" si="4"/>
        <v>0</v>
      </c>
      <c r="G67" s="85"/>
      <c r="H67" s="85"/>
    </row>
    <row r="68" spans="2:8">
      <c r="B68" s="96">
        <f t="shared" si="5"/>
        <v>2023</v>
      </c>
      <c r="C68" s="95">
        <f t="shared" si="2"/>
        <v>2</v>
      </c>
      <c r="E68" s="27">
        <f t="shared" si="3"/>
        <v>2023</v>
      </c>
      <c r="F68" s="28">
        <f t="shared" si="4"/>
        <v>0</v>
      </c>
      <c r="G68" s="45"/>
      <c r="H68" s="45"/>
    </row>
    <row r="69" spans="2:8">
      <c r="B69" s="96">
        <f t="shared" si="5"/>
        <v>2024</v>
      </c>
      <c r="C69" s="95">
        <f t="shared" si="2"/>
        <v>2</v>
      </c>
      <c r="E69" s="27">
        <f t="shared" si="3"/>
        <v>2024</v>
      </c>
      <c r="F69" s="28">
        <f t="shared" si="4"/>
        <v>0</v>
      </c>
      <c r="G69" s="45"/>
      <c r="H69" s="45"/>
    </row>
    <row r="70" spans="2:8">
      <c r="B70" s="96">
        <f t="shared" si="5"/>
        <v>2025</v>
      </c>
      <c r="C70" s="95">
        <f t="shared" si="2"/>
        <v>2</v>
      </c>
      <c r="E70" s="27">
        <f t="shared" si="3"/>
        <v>2025</v>
      </c>
      <c r="F70" s="28">
        <f t="shared" si="4"/>
        <v>300</v>
      </c>
      <c r="G70" s="45"/>
      <c r="H70" s="45"/>
    </row>
    <row r="71" spans="2:8">
      <c r="B71" s="96">
        <f t="shared" si="5"/>
        <v>2026</v>
      </c>
      <c r="C71" s="95">
        <f t="shared" si="2"/>
        <v>2</v>
      </c>
      <c r="E71" s="27">
        <f t="shared" si="3"/>
        <v>2026</v>
      </c>
      <c r="F71" s="28">
        <f t="shared" si="4"/>
        <v>300</v>
      </c>
      <c r="G71" s="45"/>
      <c r="H71" s="45"/>
    </row>
    <row r="72" spans="2:8">
      <c r="B72" s="96">
        <f t="shared" si="5"/>
        <v>2027</v>
      </c>
      <c r="C72" s="95">
        <f t="shared" si="2"/>
        <v>2</v>
      </c>
      <c r="E72" s="27">
        <f t="shared" si="3"/>
        <v>2027</v>
      </c>
      <c r="F72" s="28">
        <f t="shared" si="4"/>
        <v>300</v>
      </c>
      <c r="G72" s="45"/>
      <c r="H72" s="45"/>
    </row>
    <row r="73" spans="2:8">
      <c r="B73" s="96">
        <f t="shared" si="5"/>
        <v>2028</v>
      </c>
      <c r="C73" s="95">
        <f t="shared" si="2"/>
        <v>2</v>
      </c>
      <c r="E73" s="27">
        <f t="shared" si="3"/>
        <v>2028</v>
      </c>
      <c r="F73" s="28">
        <f t="shared" si="4"/>
        <v>300</v>
      </c>
      <c r="G73" s="45"/>
      <c r="H73" s="45"/>
    </row>
    <row r="74" spans="2:8">
      <c r="B74" s="96">
        <f t="shared" si="5"/>
        <v>2029</v>
      </c>
      <c r="C74" s="95">
        <f t="shared" si="2"/>
        <v>2</v>
      </c>
      <c r="E74" s="27">
        <f t="shared" si="3"/>
        <v>2029</v>
      </c>
      <c r="F74" s="28">
        <f t="shared" si="4"/>
        <v>300</v>
      </c>
      <c r="G74" s="45"/>
      <c r="H74" s="45"/>
    </row>
    <row r="75" spans="2:8">
      <c r="B75" s="96">
        <f t="shared" si="5"/>
        <v>2030</v>
      </c>
      <c r="C75" s="95">
        <f t="shared" si="2"/>
        <v>2</v>
      </c>
      <c r="E75" s="27">
        <f t="shared" si="3"/>
        <v>2030</v>
      </c>
      <c r="F75" s="28">
        <f t="shared" si="4"/>
        <v>300</v>
      </c>
      <c r="G75" s="45"/>
      <c r="H75" s="45"/>
    </row>
    <row r="76" spans="2:8">
      <c r="B76" s="96">
        <f t="shared" si="5"/>
        <v>2031</v>
      </c>
      <c r="C76" s="95">
        <f t="shared" si="2"/>
        <v>2</v>
      </c>
      <c r="E76" s="27">
        <f t="shared" si="3"/>
        <v>2031</v>
      </c>
      <c r="F76" s="28">
        <f t="shared" si="4"/>
        <v>0</v>
      </c>
      <c r="G76" s="45"/>
      <c r="H76" s="45"/>
    </row>
    <row r="77" spans="2:8">
      <c r="B77" s="96">
        <f t="shared" si="5"/>
        <v>2032</v>
      </c>
      <c r="C77" s="95">
        <f t="shared" si="2"/>
        <v>2</v>
      </c>
      <c r="E77" s="27">
        <f t="shared" si="3"/>
        <v>2032</v>
      </c>
      <c r="F77" s="28">
        <f t="shared" si="4"/>
        <v>0</v>
      </c>
      <c r="G77" s="45"/>
      <c r="H77" s="45"/>
    </row>
    <row r="78" spans="2:8">
      <c r="B78" s="96">
        <f t="shared" si="5"/>
        <v>2033</v>
      </c>
      <c r="C78" s="95">
        <f t="shared" si="2"/>
        <v>2</v>
      </c>
      <c r="E78" s="27">
        <f t="shared" si="3"/>
        <v>2033</v>
      </c>
      <c r="F78" s="28">
        <f t="shared" si="4"/>
        <v>0</v>
      </c>
      <c r="G78" s="45"/>
      <c r="H78" s="45"/>
    </row>
    <row r="79" spans="2:8">
      <c r="B79" s="96">
        <f t="shared" si="5"/>
        <v>2034</v>
      </c>
      <c r="C79" s="95">
        <f t="shared" si="2"/>
        <v>2</v>
      </c>
      <c r="E79" s="27">
        <f t="shared" si="3"/>
        <v>2034</v>
      </c>
      <c r="F79" s="28">
        <f t="shared" si="4"/>
        <v>0</v>
      </c>
      <c r="G79" s="45"/>
      <c r="H79" s="45"/>
    </row>
    <row r="80" spans="2:8">
      <c r="B80" s="96">
        <f t="shared" si="5"/>
        <v>2035</v>
      </c>
      <c r="C80" s="95">
        <f t="shared" si="2"/>
        <v>2</v>
      </c>
      <c r="E80" s="27">
        <f t="shared" si="3"/>
        <v>2035</v>
      </c>
      <c r="F80" s="28">
        <f t="shared" si="4"/>
        <v>275</v>
      </c>
      <c r="G80" s="45"/>
      <c r="H80" s="45"/>
    </row>
    <row r="81" spans="2:8">
      <c r="B81" s="96">
        <f t="shared" si="5"/>
        <v>2036</v>
      </c>
      <c r="C81" s="95">
        <f t="shared" si="2"/>
        <v>2</v>
      </c>
      <c r="E81" s="27">
        <f t="shared" si="3"/>
        <v>2036</v>
      </c>
      <c r="F81" s="28">
        <f t="shared" si="4"/>
        <v>275</v>
      </c>
      <c r="G81" s="45"/>
      <c r="H81" s="45"/>
    </row>
    <row r="82" spans="2:8">
      <c r="B82" s="96">
        <f t="shared" si="5"/>
        <v>2037</v>
      </c>
      <c r="C82" s="95">
        <f t="shared" si="2"/>
        <v>2</v>
      </c>
      <c r="E82" s="27">
        <f t="shared" si="3"/>
        <v>2037</v>
      </c>
      <c r="F82" s="28">
        <f t="shared" si="4"/>
        <v>275</v>
      </c>
      <c r="G82" s="45"/>
      <c r="H82" s="45"/>
    </row>
    <row r="83" spans="2:8">
      <c r="B83" s="96">
        <f t="shared" si="5"/>
        <v>2038</v>
      </c>
      <c r="C83" s="95">
        <f t="shared" si="2"/>
        <v>0</v>
      </c>
      <c r="E83" s="27">
        <f t="shared" si="3"/>
        <v>2038</v>
      </c>
      <c r="F83" s="28">
        <f t="shared" si="4"/>
        <v>275</v>
      </c>
      <c r="G83" s="45"/>
      <c r="H83" s="45"/>
    </row>
    <row r="84" spans="2:8">
      <c r="B84" s="96">
        <f t="shared" si="5"/>
        <v>2039</v>
      </c>
      <c r="C84" s="95">
        <f t="shared" si="2"/>
        <v>0</v>
      </c>
      <c r="E84" s="27">
        <f t="shared" si="3"/>
        <v>2039</v>
      </c>
      <c r="F84" s="28">
        <f t="shared" si="4"/>
        <v>275</v>
      </c>
      <c r="G84" s="45"/>
      <c r="H84" s="45"/>
    </row>
    <row r="85" spans="2:8">
      <c r="B85" s="96">
        <f t="shared" si="5"/>
        <v>2040</v>
      </c>
      <c r="C85" s="95">
        <f t="shared" si="2"/>
        <v>1</v>
      </c>
      <c r="E85" s="27">
        <f t="shared" si="3"/>
        <v>2040</v>
      </c>
      <c r="F85" s="28">
        <f t="shared" si="4"/>
        <v>275</v>
      </c>
      <c r="G85" s="45"/>
      <c r="H85" s="45"/>
    </row>
    <row r="86" spans="2:8">
      <c r="B86" s="96">
        <f t="shared" si="5"/>
        <v>2041</v>
      </c>
      <c r="C86" s="95">
        <f t="shared" si="2"/>
        <v>1</v>
      </c>
      <c r="E86" s="27">
        <f t="shared" si="3"/>
        <v>2041</v>
      </c>
      <c r="F86" s="28">
        <f t="shared" si="4"/>
        <v>0</v>
      </c>
      <c r="G86" s="45"/>
      <c r="H86" s="45"/>
    </row>
    <row r="87" spans="2:8">
      <c r="B87" s="96">
        <f t="shared" si="5"/>
        <v>2042</v>
      </c>
      <c r="C87" s="95">
        <f t="shared" si="2"/>
        <v>1</v>
      </c>
      <c r="E87" s="27">
        <f t="shared" si="3"/>
        <v>2042</v>
      </c>
      <c r="F87" s="28">
        <f t="shared" si="4"/>
        <v>0</v>
      </c>
      <c r="G87" s="45"/>
      <c r="H87" s="45"/>
    </row>
    <row r="88" spans="2:8">
      <c r="B88" s="96">
        <f t="shared" si="5"/>
        <v>2043</v>
      </c>
      <c r="C88" s="95">
        <f t="shared" si="2"/>
        <v>1</v>
      </c>
      <c r="E88" s="27">
        <f t="shared" si="3"/>
        <v>2043</v>
      </c>
      <c r="F88" s="28">
        <f t="shared" si="4"/>
        <v>0</v>
      </c>
      <c r="G88" s="45"/>
      <c r="H88" s="45"/>
    </row>
    <row r="89" spans="2:8">
      <c r="B89" s="96">
        <f t="shared" si="5"/>
        <v>2044</v>
      </c>
      <c r="C89" s="95">
        <f t="shared" si="2"/>
        <v>1</v>
      </c>
      <c r="E89" s="27">
        <f t="shared" si="3"/>
        <v>2044</v>
      </c>
      <c r="F89" s="28">
        <f t="shared" si="4"/>
        <v>0</v>
      </c>
      <c r="G89" s="45"/>
      <c r="H89" s="45"/>
    </row>
    <row r="90" spans="2:8">
      <c r="B90" s="96">
        <f t="shared" si="5"/>
        <v>2045</v>
      </c>
      <c r="C90" s="95">
        <f t="shared" si="2"/>
        <v>1</v>
      </c>
      <c r="E90" s="27">
        <f t="shared" si="3"/>
        <v>2045</v>
      </c>
      <c r="F90" s="28">
        <f t="shared" si="4"/>
        <v>0</v>
      </c>
      <c r="G90" s="45"/>
      <c r="H90" s="45"/>
    </row>
  </sheetData>
  <mergeCells count="18">
    <mergeCell ref="B2:O2"/>
    <mergeCell ref="N9:O9"/>
    <mergeCell ref="B21:S21"/>
    <mergeCell ref="B32:S32"/>
    <mergeCell ref="B33:S33"/>
    <mergeCell ref="B60:C60"/>
    <mergeCell ref="K9:L9"/>
    <mergeCell ref="E60:F60"/>
    <mergeCell ref="B3:F3"/>
    <mergeCell ref="B4:C4"/>
    <mergeCell ref="E4:F4"/>
    <mergeCell ref="H9:I9"/>
    <mergeCell ref="B22:S22"/>
    <mergeCell ref="B27:C27"/>
    <mergeCell ref="B37:C37"/>
    <mergeCell ref="K3:L3"/>
    <mergeCell ref="N3:O3"/>
    <mergeCell ref="M3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L2" sqref="L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1.140625" customWidth="1"/>
    <col min="13" max="13" width="10.5703125" bestFit="1" customWidth="1"/>
    <col min="14" max="14" width="12.140625" customWidth="1"/>
    <col min="15" max="15" width="9.28515625" customWidth="1"/>
    <col min="16" max="16" width="12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">
        <v>20</v>
      </c>
      <c r="B1" s="26" t="str">
        <f>CONCATENATE('Data Input'!C5, " ", 'Data Input'!B6)</f>
        <v>Johnny Income</v>
      </c>
      <c r="C1" s="26" t="s">
        <v>45</v>
      </c>
      <c r="D1" s="26" t="s">
        <v>19</v>
      </c>
      <c r="E1" s="26" t="str">
        <f>CONCATENATE('Data Input'!F5, " ", 'Data Input'!B6)</f>
        <v>Ellis Income</v>
      </c>
      <c r="F1" s="26" t="s">
        <v>12</v>
      </c>
      <c r="G1" s="26" t="s">
        <v>13</v>
      </c>
      <c r="H1" s="26" t="s">
        <v>88</v>
      </c>
      <c r="I1" s="26" t="s">
        <v>87</v>
      </c>
      <c r="J1" s="26" t="s">
        <v>14</v>
      </c>
      <c r="K1" s="26" t="s">
        <v>15</v>
      </c>
      <c r="L1" s="26" t="s">
        <v>186</v>
      </c>
      <c r="M1" s="26" t="s">
        <v>16</v>
      </c>
      <c r="N1" s="26" t="s">
        <v>17</v>
      </c>
      <c r="O1" s="26" t="s">
        <v>18</v>
      </c>
      <c r="P1" s="26" t="s">
        <v>121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49</v>
      </c>
      <c r="V1" s="26" t="s">
        <v>26</v>
      </c>
      <c r="W1" s="26" t="s">
        <v>27</v>
      </c>
      <c r="AA1" s="31"/>
    </row>
    <row r="2" spans="1:28">
      <c r="A2" s="8">
        <f>'Data Input'!I3</f>
        <v>2016</v>
      </c>
      <c r="B2" s="11">
        <f>IF('Data Input'!$C$16+'Data Input'!$I$3&gt;Table1[[#This Row],[Column1]],('Data Input'!$C$6)*(1+'Data Input'!$C$15)^(Table1[[#This Row],[Column1]]-'Data Input'!$I$3),0)</f>
        <v>40000</v>
      </c>
      <c r="C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" s="11">
        <f>IF('Data Input'!$F$16+'Data Input'!$I$3&gt;Table1[[#This Row],[Column1]],('Data Input'!$F$6)*(1+'Data Input'!$F$15)^(Table1[[#This Row],[Column1]]-'Data Input'!$I$3),0)</f>
        <v>10000</v>
      </c>
      <c r="F2" s="11">
        <f>Table1[[#This Row],[Column2]]+Table1[[#This Row],[Column4]]+Table1[[#This Row],[Column5]]-Table1[[#This Row],[Column3]]-Table1[[#This Row],[Column23]]</f>
        <v>44694</v>
      </c>
      <c r="G2" s="11">
        <f>Table1[[#This Row],[Column2]]+Table1[[#This Row],[Column4]]+Table1[[#This Row],[Column5]]-Table1[[#This Row],[Column3]]-Table1[[#This Row],[Column8]]</f>
        <v>32300</v>
      </c>
      <c r="H2" s="11">
        <f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f>
        <v>8306</v>
      </c>
      <c r="I2" s="11">
        <f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f>
        <v>20700</v>
      </c>
      <c r="J2" s="11">
        <f>'Tax Information'!E25</f>
        <v>886.3599999999999</v>
      </c>
      <c r="K2" s="11">
        <f>'Tax Information'!C25</f>
        <v>3917.35</v>
      </c>
      <c r="L2" s="11">
        <f>(0.01+0.0765)*(Table1[[#This Row],[Column2]]+Table1[[#This Row],[Column4]]+Table1[[#This Row],[Column5]])</f>
        <v>4584.5</v>
      </c>
      <c r="M2" s="11">
        <f>(Table1[[#This Row],[Column2]]+Table1[[#This Row],[Column4]]+Table1[[#This Row],[Column5]])</f>
        <v>53000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43611.79</v>
      </c>
      <c r="O2" s="12">
        <f>1-(Table1[[#This Row],[Column13]]/Table1[[#This Row],[Column12]])</f>
        <v>0.17713603773584907</v>
      </c>
      <c r="P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</f>
        <v>6400</v>
      </c>
      <c r="Q2" s="11">
        <f>Table1[[#This Row],[Column12]]/12</f>
        <v>4416.666666666667</v>
      </c>
      <c r="R2" s="11">
        <f>Table1[[#This Row],[Column13]]/12</f>
        <v>3634.3158333333336</v>
      </c>
      <c r="S2" s="18">
        <f>Table1[[#This Row],[Column13]]/'Data Input'!$I$5</f>
        <v>1817.1579166666668</v>
      </c>
      <c r="T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f>
        <v>2254.3158333333336</v>
      </c>
      <c r="U2" s="18">
        <f>Spending!T3+12*(Table1[[#This Row],[Column17]]-Table1[[#This Row],[Column19]])+IF(Table1[[#This Row],[Column1]]='Data Input'!$I$4,'Data Input'!$C$44,0)</f>
        <v>55780</v>
      </c>
      <c r="V2" s="14">
        <f>Table1[[#This Row],[Column17]]-Table1[[#This Row],[Column20]]/12</f>
        <v>-1014.0174999999995</v>
      </c>
      <c r="W2" s="11">
        <f>'Data Input'!I6+12*Table1[[#This Row],[Column21]]-IF(Table1[[#This Row],[Column1]]='Data Input'!I4,'Data Input'!C44,0)</f>
        <v>-2168.2099999999937</v>
      </c>
      <c r="AB2" s="18"/>
    </row>
    <row r="3" spans="1:28">
      <c r="A3">
        <f>A2+1</f>
        <v>2017</v>
      </c>
      <c r="B3" s="11">
        <f>IF('Data Input'!$C$16+'Data Input'!$I$3&gt;Table1[[#This Row],[Column1]],('Data Input'!$C$6)*(1+'Data Input'!$C$15)^(Table1[[#This Row],[Column1]]-'Data Input'!$I$3),0)</f>
        <v>41600</v>
      </c>
      <c r="C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" s="11">
        <f>IF('Data Input'!$F$16+'Data Input'!$I$3&gt;Table1[[#This Row],[Column1]],('Data Input'!$F$6)*(1+'Data Input'!$F$15)^(Table1[[#This Row],[Column1]]-'Data Input'!$I$3),0)</f>
        <v>10400</v>
      </c>
      <c r="F3" s="11">
        <f>Table1[[#This Row],[Column2]]+Table1[[#This Row],[Column4]]+Table1[[#This Row],[Column5]]-Table1[[#This Row],[Column3]]-Table1[[#This Row],[Column23]]</f>
        <v>46694</v>
      </c>
      <c r="G3" s="11">
        <f>Table1[[#This Row],[Column2]]+Table1[[#This Row],[Column4]]+Table1[[#This Row],[Column5]]-Table1[[#This Row],[Column3]]-Table1[[#This Row],[Column8]]</f>
        <v>34300</v>
      </c>
      <c r="H3" s="11">
        <f>IF(Table1[[#This Row],[Column1]]&lt;'Data Input'!$I$4,MAX('Tax Information'!$C$15+'Data Input'!C62*'Tax Information'!$C$5,Spending!P4+'Student Loans'!B7),MAX('Tax Information'!$C$15+'Data Input'!C62*'Tax Information'!$C$5,'Mortgage Sheet'!C7+Spending!P4+'Student Loans'!C7))+'Tax Information'!$C$13*('Data Input'!C62+2)</f>
        <v>8306</v>
      </c>
      <c r="I3" s="11">
        <f>IF(Table1[[#This Row],[Column1]]&lt;'Data Input'!$I$4,MAX('Tax Information'!$C$6+'Data Input'!C62*'Tax Information'!$C$5,Table1[[#This Row],[Column9]]+Spending!P4+'Student Loans'!C7),MAX('Tax Information'!$C$6+'Data Input'!C62*'Tax Information'!$C$5,'Mortgage Sheet'!C7+Table1[[#This Row],[Column9]]+Spending!P4+'Student Loans'!C7))+'Tax Information'!$C$4*('Data Input'!C62+2)</f>
        <v>20700</v>
      </c>
      <c r="J3" s="18">
        <f>'Tax Information'!E26</f>
        <v>1932.7199999999998</v>
      </c>
      <c r="K3" s="6">
        <f>'Tax Information'!C26</f>
        <v>4217.3500000000004</v>
      </c>
      <c r="L3" s="18">
        <f>(0.01+0.0765)*(Table1[[#This Row],[Column2]]+Table1[[#This Row],[Column4]]+Table1[[#This Row],[Column5]])</f>
        <v>4757.5</v>
      </c>
      <c r="M3" s="6">
        <f>(Table1[[#This Row],[Column2]]+Table1[[#This Row],[Column4]]+Table1[[#This Row],[Column5]])</f>
        <v>55000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44092.43</v>
      </c>
      <c r="O3" s="7">
        <f>1-(Table1[[#This Row],[Column13]]/Table1[[#This Row],[Column12]])</f>
        <v>0.19831945454545452</v>
      </c>
      <c r="P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</f>
        <v>13056</v>
      </c>
      <c r="Q3" s="6">
        <f>Table1[[#This Row],[Column12]]/12</f>
        <v>4583.333333333333</v>
      </c>
      <c r="R3" s="6">
        <f>Table1[[#This Row],[Column13]]/12</f>
        <v>3674.3691666666668</v>
      </c>
      <c r="S3" s="18">
        <f>Table1[[#This Row],[Column13]]/'Data Input'!$I$5</f>
        <v>1837.1845833333334</v>
      </c>
      <c r="T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Sheet'!B7/12,'Mortgage Sheet'!$K$2))</f>
        <v>2266.7691666666669</v>
      </c>
      <c r="U3" s="18">
        <f>Spending!T4+12*(Table1[[#This Row],[Column17]]-Table1[[#This Row],[Column19]])+IF(Table1[[#This Row],[Column1]]='Data Input'!$I$4,'Data Input'!$C$44,0)</f>
        <v>56576.899999999994</v>
      </c>
      <c r="V3" s="14">
        <f>Table1[[#This Row],[Column17]]-Table1[[#This Row],[Column20]]/12</f>
        <v>-1040.372499999999</v>
      </c>
      <c r="W3" s="6">
        <f>W2+12*Table1[[#This Row],[Column21]]</f>
        <v>-14652.679999999982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Input'!$C$16+'Data Input'!$I$3&gt;Table1[[#This Row],[Column1]],('Data Input'!$C$6)*(1+'Data Input'!$C$15)^(Table1[[#This Row],[Column1]]-'Data Input'!$I$3),0)</f>
        <v>43264.000000000007</v>
      </c>
      <c r="C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" s="11">
        <f>IF('Data Input'!$F$16+'Data Input'!$I$3&gt;Table1[[#This Row],[Column1]],('Data Input'!$F$6)*(1+'Data Input'!$F$15)^(Table1[[#This Row],[Column1]]-'Data Input'!$I$3),0)</f>
        <v>10816.000000000002</v>
      </c>
      <c r="F4" s="11">
        <f>Table1[[#This Row],[Column2]]+Table1[[#This Row],[Column4]]+Table1[[#This Row],[Column5]]-Table1[[#This Row],[Column3]]-Table1[[#This Row],[Column23]]</f>
        <v>34261.981051321258</v>
      </c>
      <c r="G4" s="11">
        <f>Table1[[#This Row],[Column2]]+Table1[[#This Row],[Column4]]+Table1[[#This Row],[Column5]]-Table1[[#This Row],[Column3]]-Table1[[#This Row],[Column8]]</f>
        <v>25851.741430294831</v>
      </c>
      <c r="H4" s="11">
        <f>IF(Table1[[#This Row],[Column1]]&lt;'Data Input'!$I$4,MAX('Tax Information'!$C$15+'Data Input'!C63*'Tax Information'!$C$5,Spending!P5+'Student Loans'!B8),MAX('Tax Information'!$C$15+'Data Input'!C63*'Tax Information'!$C$5,'Mortgage Sheet'!C8+Spending!P5+'Student Loans'!C8))+'Tax Information'!$C$13*('Data Input'!C63+2)</f>
        <v>22818.018948678749</v>
      </c>
      <c r="I4" s="11">
        <f>IF(Table1[[#This Row],[Column1]]&lt;'Data Input'!$I$4,MAX('Tax Information'!$C$6+'Data Input'!C63*'Tax Information'!$C$5,Table1[[#This Row],[Column9]]+Spending!P5+'Student Loans'!C8),MAX('Tax Information'!$C$6+'Data Input'!C63*'Tax Information'!$C$5,'Mortgage Sheet'!C8+Table1[[#This Row],[Column9]]+Spending!P5+'Student Loans'!C8))+'Tax Information'!$C$4*('Data Input'!C63+2)</f>
        <v>31228.258569705176</v>
      </c>
      <c r="J4" s="6">
        <f>'Tax Information'!E27</f>
        <v>528.23962102642508</v>
      </c>
      <c r="K4" s="6">
        <f>'Tax Information'!C27</f>
        <v>2950.1112145442248</v>
      </c>
      <c r="L4" s="18">
        <f>(0.01+0.0765)*(Table1[[#This Row],[Column2]]+Table1[[#This Row],[Column4]]+Table1[[#This Row],[Column5]])</f>
        <v>4937.42</v>
      </c>
      <c r="M4" s="6">
        <f>(Table1[[#This Row],[Column2]]+Table1[[#This Row],[Column4]]+Table1[[#This Row],[Column5]])</f>
        <v>57080.000000000007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48664.229164429358</v>
      </c>
      <c r="O4" s="7">
        <f>1-(Table1[[#This Row],[Column13]]/Table1[[#This Row],[Column12]])</f>
        <v>0.14743817161125872</v>
      </c>
      <c r="P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</f>
        <v>19978.240000000002</v>
      </c>
      <c r="Q4" s="6">
        <f>Table1[[#This Row],[Column12]]/12</f>
        <v>4756.666666666667</v>
      </c>
      <c r="R4" s="6">
        <f>Table1[[#This Row],[Column13]]/12</f>
        <v>4055.3524303691133</v>
      </c>
      <c r="S4" s="18">
        <f>Table1[[#This Row],[Column13]]/'Data Input'!$I$5</f>
        <v>2027.6762151845567</v>
      </c>
      <c r="T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Sheet'!B8/12,'Mortgage Sheet'!$K$2))</f>
        <v>1545.6912485073017</v>
      </c>
      <c r="U4" s="18">
        <f>Spending!T5+12*(Table1[[#This Row],[Column17]]-Table1[[#This Row],[Column19]])+IF(Table1[[#This Row],[Column1]]='Data Input'!$I$4,'Data Input'!$C$44,0)</f>
        <v>170862.33418234176</v>
      </c>
      <c r="V4" s="14">
        <f>Table1[[#This Row],[Column17]]-Table1[[#This Row],[Column20]]/12</f>
        <v>-10183.175418159366</v>
      </c>
      <c r="W4" s="18">
        <f>W3+12*Table1[[#This Row],[Column21]]</f>
        <v>-136850.78501791239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Input'!$C$16+'Data Input'!$I$3&gt;Table1[[#This Row],[Column1]],('Data Input'!$C$6)*(1+'Data Input'!$C$15)^(Table1[[#This Row],[Column1]]-'Data Input'!$I$3),0)</f>
        <v>44994.560000000005</v>
      </c>
      <c r="C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5" s="11">
        <f>IF('Data Input'!$F$16+'Data Input'!$I$3&gt;Table1[[#This Row],[Column1]],('Data Input'!$F$6)*(1+'Data Input'!$F$15)^(Table1[[#This Row],[Column1]]-'Data Input'!$I$3),0)</f>
        <v>0</v>
      </c>
      <c r="F5" s="11">
        <f>Table1[[#This Row],[Column2]]+Table1[[#This Row],[Column4]]+Table1[[#This Row],[Column5]]-Table1[[#This Row],[Column3]]-Table1[[#This Row],[Column23]]</f>
        <v>25482.751034395034</v>
      </c>
      <c r="G5" s="11">
        <f>Table1[[#This Row],[Column2]]+Table1[[#This Row],[Column4]]+Table1[[#This Row],[Column5]]-Table1[[#This Row],[Column3]]-Table1[[#This Row],[Column8]]</f>
        <v>17248.096013707134</v>
      </c>
      <c r="H5" s="11">
        <f>IF(Table1[[#This Row],[Column1]]&lt;'Data Input'!$I$4,MAX('Tax Information'!$C$15+'Data Input'!C64*'Tax Information'!$C$5,Spending!P6+'Student Loans'!B9),MAX('Tax Information'!$C$15+'Data Input'!C64*'Tax Information'!$C$5,'Mortgage Sheet'!C9+Spending!P6+'Student Loans'!C9))+'Tax Information'!$C$13*('Data Input'!C64+2)</f>
        <v>22511.808965604971</v>
      </c>
      <c r="I5" s="11">
        <f>IF(Table1[[#This Row],[Column1]]&lt;'Data Input'!$I$4,MAX('Tax Information'!$C$6+'Data Input'!C64*'Tax Information'!$C$5,Table1[[#This Row],[Column9]]+Spending!P6+'Student Loans'!C9),MAX('Tax Information'!$C$6+'Data Input'!C64*'Tax Information'!$C$5,'Mortgage Sheet'!C9+Table1[[#This Row],[Column9]]+Spending!P6+'Student Loans'!C9))+'Tax Information'!$C$4*('Data Input'!C64+2)</f>
        <v>30746.463986292871</v>
      </c>
      <c r="J5" s="18">
        <f>'Tax Information'!E28</f>
        <v>352.65502068790067</v>
      </c>
      <c r="K5" s="18">
        <f>'Tax Information'!C28</f>
        <v>1724.8096013707136</v>
      </c>
      <c r="L5" s="18">
        <f>(0.01+0.0765)*(Table1[[#This Row],[Column2]]+Table1[[#This Row],[Column4]]+Table1[[#This Row],[Column5]])</f>
        <v>4151.5294400000002</v>
      </c>
      <c r="M5" s="18">
        <f>(Table1[[#This Row],[Column2]]+Table1[[#This Row],[Column4]]+Table1[[#This Row],[Column5]])</f>
        <v>47994.560000000005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41765.565937941392</v>
      </c>
      <c r="O5" s="7">
        <f>1-(Table1[[#This Row],[Column13]]/Table1[[#This Row],[Column12]])</f>
        <v>0.12978541864033366</v>
      </c>
      <c r="P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</f>
        <v>27177.369600000002</v>
      </c>
      <c r="Q5" s="18">
        <f>Table1[[#This Row],[Column12]]/12</f>
        <v>3999.5466666666671</v>
      </c>
      <c r="R5" s="18">
        <f>Table1[[#This Row],[Column13]]/12</f>
        <v>3480.4638281617827</v>
      </c>
      <c r="S5" s="18">
        <f>Table1[[#This Row],[Column13]]/'Data Input'!$I$5</f>
        <v>1740.2319140808913</v>
      </c>
      <c r="T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Sheet'!B9/12,'Mortgage Sheet'!$K$2))</f>
        <v>970.802646299971</v>
      </c>
      <c r="U5" s="18">
        <f>Spending!T6+12*(Table1[[#This Row],[Column17]]-Table1[[#This Row],[Column19]])+IF(Table1[[#This Row],[Column1]]='Data Input'!$I$4,'Data Input'!$C$44,0)</f>
        <v>71035.39018234174</v>
      </c>
      <c r="V5" s="14">
        <f>Table1[[#This Row],[Column17]]-Table1[[#This Row],[Column20]]/12</f>
        <v>-2439.152020366696</v>
      </c>
      <c r="W5" s="18">
        <f>W4+12*Table1[[#This Row],[Column21]]</f>
        <v>-166120.60926231273</v>
      </c>
      <c r="X5" s="18"/>
      <c r="Y5" s="18"/>
      <c r="AB5" s="18"/>
    </row>
    <row r="6" spans="1:28">
      <c r="A6" s="16">
        <f t="shared" si="0"/>
        <v>2020</v>
      </c>
      <c r="B6" s="11">
        <f>IF('Data Input'!$C$16+'Data Input'!$I$3&gt;Table1[[#This Row],[Column1]],('Data Input'!$C$6)*(1+'Data Input'!$C$15)^(Table1[[#This Row],[Column1]]-'Data Input'!$I$3),0)</f>
        <v>46794.342400000009</v>
      </c>
      <c r="C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6" s="11">
        <f>IF('Data Input'!$F$16+'Data Input'!$I$3&gt;Table1[[#This Row],[Column1]],('Data Input'!$F$6)*(1+'Data Input'!$F$15)^(Table1[[#This Row],[Column1]]-'Data Input'!$I$3),0)</f>
        <v>0</v>
      </c>
      <c r="F6" s="11">
        <f>Table1[[#This Row],[Column2]]+Table1[[#This Row],[Column4]]+Table1[[#This Row],[Column5]]-Table1[[#This Row],[Column3]]-Table1[[#This Row],[Column23]]</f>
        <v>27383.218884636688</v>
      </c>
      <c r="G6" s="11">
        <f>Table1[[#This Row],[Column2]]+Table1[[#This Row],[Column4]]+Table1[[#This Row],[Column5]]-Table1[[#This Row],[Column3]]-Table1[[#This Row],[Column8]]</f>
        <v>11228.554506943954</v>
      </c>
      <c r="H6" s="11">
        <f>IF(Table1[[#This Row],[Column1]]&lt;'Data Input'!$I$4,MAX('Tax Information'!$C$15+'Data Input'!C65*'Tax Information'!$C$5,Spending!P7+'Student Loans'!B10),MAX('Tax Information'!$C$15+'Data Input'!C65*'Tax Information'!$C$5,'Mortgage Sheet'!C10+Spending!P7+'Student Loans'!C10))+'Tax Information'!$C$13*('Data Input'!C65+2)</f>
        <v>22411.123515363321</v>
      </c>
      <c r="I6" s="11">
        <f>IF(Table1[[#This Row],[Column1]]&lt;'Data Input'!$I$4,MAX('Tax Information'!$C$6+'Data Input'!C65*'Tax Information'!$C$5,Table1[[#This Row],[Column9]]+Spending!P7+'Student Loans'!C10),MAX('Tax Information'!$C$6+'Data Input'!C65*'Tax Information'!$C$5,'Mortgage Sheet'!C10+Table1[[#This Row],[Column9]]+Spending!P7+'Student Loans'!C10))+'Tax Information'!$C$4*('Data Input'!C65+2)</f>
        <v>38565.787893056055</v>
      </c>
      <c r="J6" s="6">
        <f>'Tax Information'!E29</f>
        <v>390.66437769273375</v>
      </c>
      <c r="K6" s="6">
        <f>'Tax Information'!C29</f>
        <v>1122.8554506943954</v>
      </c>
      <c r="L6" s="18">
        <f>(0.01+0.0765)*(Table1[[#This Row],[Column2]]+Table1[[#This Row],[Column4]]+Table1[[#This Row],[Column5]])</f>
        <v>4307.2106176000007</v>
      </c>
      <c r="M6" s="6">
        <f>(Table1[[#This Row],[Column2]]+Table1[[#This Row],[Column4]]+Table1[[#This Row],[Column5]])</f>
        <v>49794.342400000009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43973.611954012878</v>
      </c>
      <c r="O6" s="7">
        <f>1-(Table1[[#This Row],[Column13]]/Table1[[#This Row],[Column12]])</f>
        <v>0.11689541754018884</v>
      </c>
      <c r="P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Input'!$F$10)+P5</f>
        <v>34664.464384000006</v>
      </c>
      <c r="Q6" s="6">
        <f>Table1[[#This Row],[Column12]]/12</f>
        <v>4149.5285333333341</v>
      </c>
      <c r="R6" s="6">
        <f>Table1[[#This Row],[Column13]]/12</f>
        <v>3664.4676628344064</v>
      </c>
      <c r="S6" s="18">
        <f>Table1[[#This Row],[Column13]]/'Data Input'!$I$5</f>
        <v>1832.2338314172032</v>
      </c>
      <c r="T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Sheet'!B10/12,'Mortgage Sheet'!$K$2))</f>
        <v>1154.8064809725947</v>
      </c>
      <c r="U6" s="18">
        <f>Spending!T7+12*(Table1[[#This Row],[Column17]]-Table1[[#This Row],[Column19]])+IF(Table1[[#This Row],[Column1]]='Data Input'!$I$4,'Data Input'!$C$44,0)</f>
        <v>71215.368422341737</v>
      </c>
      <c r="V6" s="14">
        <f>Table1[[#This Row],[Column17]]-Table1[[#This Row],[Column20]]/12</f>
        <v>-2270.146372360738</v>
      </c>
      <c r="W6" s="18">
        <f>W5+12*Table1[[#This Row],[Column21]]</f>
        <v>-193362.36573064158</v>
      </c>
    </row>
    <row r="7" spans="1:28">
      <c r="A7" s="16">
        <f t="shared" si="0"/>
        <v>2021</v>
      </c>
      <c r="B7" s="11">
        <f>IF('Data Input'!$C$16+'Data Input'!$I$3&gt;Table1[[#This Row],[Column1]],('Data Input'!$C$6)*(1+'Data Input'!$C$15)^(Table1[[#This Row],[Column1]]-'Data Input'!$I$3),0)</f>
        <v>48666.116096000012</v>
      </c>
      <c r="C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7" s="11">
        <f>IF('Data Input'!$F$16+'Data Input'!$I$3&gt;Table1[[#This Row],[Column1]],('Data Input'!$F$6)*(1+'Data Input'!$F$15)^(Table1[[#This Row],[Column1]]-'Data Input'!$I$3),0)</f>
        <v>0</v>
      </c>
      <c r="F7" s="11">
        <f>Table1[[#This Row],[Column2]]+Table1[[#This Row],[Column4]]+Table1[[#This Row],[Column5]]-Table1[[#This Row],[Column3]]-Table1[[#This Row],[Column23]]</f>
        <v>29586.661767827278</v>
      </c>
      <c r="G7" s="11">
        <f>Table1[[#This Row],[Column2]]+Table1[[#This Row],[Column4]]+Table1[[#This Row],[Column5]]-Table1[[#This Row],[Column3]]-Table1[[#This Row],[Column8]]</f>
        <v>13387.928532470731</v>
      </c>
      <c r="H7" s="11">
        <f>IF(Table1[[#This Row],[Column1]]&lt;'Data Input'!$I$4,MAX('Tax Information'!$C$15+'Data Input'!C66*'Tax Information'!$C$5,Spending!P8+'Student Loans'!B11),MAX('Tax Information'!$C$15+'Data Input'!C66*'Tax Information'!$C$5,'Mortgage Sheet'!C11+Spending!P8+'Student Loans'!C11))+'Tax Information'!$C$13*('Data Input'!C66+2)</f>
        <v>22079.454328172735</v>
      </c>
      <c r="I7" s="11">
        <f>IF(Table1[[#This Row],[Column1]]&lt;'Data Input'!$I$4,MAX('Tax Information'!$C$6+'Data Input'!C66*'Tax Information'!$C$5,Table1[[#This Row],[Column9]]+Spending!P8+'Student Loans'!C11),MAX('Tax Information'!$C$6+'Data Input'!C66*'Tax Information'!$C$5,'Mortgage Sheet'!C11+Table1[[#This Row],[Column9]]+Spending!P8+'Student Loans'!C11))+'Tax Information'!$C$4*('Data Input'!C66+2)</f>
        <v>38278.187563529282</v>
      </c>
      <c r="J7" s="6">
        <f>'Tax Information'!E30</f>
        <v>434.73323535654555</v>
      </c>
      <c r="K7" s="6">
        <f>'Tax Information'!C30</f>
        <v>1338.7928532470733</v>
      </c>
      <c r="L7" s="18">
        <f>(0.01+0.0765)*(Table1[[#This Row],[Column2]]+Table1[[#This Row],[Column4]]+Table1[[#This Row],[Column5]])</f>
        <v>4469.1190423040007</v>
      </c>
      <c r="M7" s="6">
        <f>(Table1[[#This Row],[Column2]]+Table1[[#This Row],[Column4]]+Table1[[#This Row],[Column5]])</f>
        <v>51666.116096000012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45423.470965092391</v>
      </c>
      <c r="O7" s="7">
        <f>1-(Table1[[#This Row],[Column13]]/Table1[[#This Row],[Column12]])</f>
        <v>0.12082667718448703</v>
      </c>
      <c r="P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Input'!$F$10)+P6</f>
        <v>42451.042959360006</v>
      </c>
      <c r="Q7" s="6">
        <f>Table1[[#This Row],[Column12]]/12</f>
        <v>4305.5096746666677</v>
      </c>
      <c r="R7" s="6">
        <f>Table1[[#This Row],[Column13]]/12</f>
        <v>3785.2892470910324</v>
      </c>
      <c r="S7" s="18">
        <f>Table1[[#This Row],[Column13]]/'Data Input'!$I$5</f>
        <v>1892.6446235455162</v>
      </c>
      <c r="T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Sheet'!B11/12,'Mortgage Sheet'!$K$2))</f>
        <v>1275.6280652292207</v>
      </c>
      <c r="U7" s="18">
        <f>Spending!T8+12*(Table1[[#This Row],[Column17]]-Table1[[#This Row],[Column19]])+IF(Table1[[#This Row],[Column1]]='Data Input'!$I$4,'Data Input'!$C$44,0)</f>
        <v>71402.545791941753</v>
      </c>
      <c r="V7" s="14">
        <f>Table1[[#This Row],[Column17]]-Table1[[#This Row],[Column20]]/12</f>
        <v>-2164.922902237447</v>
      </c>
      <c r="W7" s="18">
        <f>W6+12*Table1[[#This Row],[Column21]]</f>
        <v>-219341.44055749095</v>
      </c>
      <c r="AA7" s="25"/>
    </row>
    <row r="8" spans="1:28">
      <c r="A8" s="16">
        <f t="shared" si="0"/>
        <v>2022</v>
      </c>
      <c r="B8" s="11">
        <f>IF('Data Input'!$C$16+'Data Input'!$I$3&gt;Table1[[#This Row],[Column1]],('Data Input'!$C$6)*(1+'Data Input'!$C$15)^(Table1[[#This Row],[Column1]]-'Data Input'!$I$3),0)</f>
        <v>50612.760739840014</v>
      </c>
      <c r="C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8" s="11">
        <f>IF('Data Input'!$F$16+'Data Input'!$I$3&gt;Table1[[#This Row],[Column1]],('Data Input'!$F$6)*(1+'Data Input'!$F$15)^(Table1[[#This Row],[Column1]]-'Data Input'!$I$3),0)</f>
        <v>0</v>
      </c>
      <c r="F8" s="11">
        <f>Table1[[#This Row],[Column2]]+Table1[[#This Row],[Column4]]+Table1[[#This Row],[Column5]]-Table1[[#This Row],[Column3]]-Table1[[#This Row],[Column23]]</f>
        <v>31878.48831328296</v>
      </c>
      <c r="G8" s="11">
        <f>Table1[[#This Row],[Column2]]+Table1[[#This Row],[Column4]]+Table1[[#This Row],[Column5]]-Table1[[#This Row],[Column3]]-Table1[[#This Row],[Column8]]</f>
        <v>15633.918547017296</v>
      </c>
      <c r="H8" s="11">
        <f>IF(Table1[[#This Row],[Column1]]&lt;'Data Input'!$I$4,MAX('Tax Information'!$C$15+'Data Input'!C67*'Tax Information'!$C$5,Spending!P9+'Student Loans'!B12),MAX('Tax Information'!$C$15+'Data Input'!C67*'Tax Information'!$C$5,'Mortgage Sheet'!C12+Spending!P9+'Student Loans'!C12))+'Tax Information'!$C$13*('Data Input'!C67+2)</f>
        <v>21734.272426557054</v>
      </c>
      <c r="I8" s="11">
        <f>IF(Table1[[#This Row],[Column1]]&lt;'Data Input'!$I$4,MAX('Tax Information'!$C$6+'Data Input'!C67*'Tax Information'!$C$5,Table1[[#This Row],[Column9]]+Spending!P9+'Student Loans'!C12),MAX('Tax Information'!$C$6+'Data Input'!C67*'Tax Information'!$C$5,'Mortgage Sheet'!C12+Table1[[#This Row],[Column9]]+Spending!P9+'Student Loans'!C12))+'Tax Information'!$C$4*('Data Input'!C67+2)</f>
        <v>37978.842192822718</v>
      </c>
      <c r="J8" s="6">
        <f>'Tax Information'!E31</f>
        <v>480.56976626565921</v>
      </c>
      <c r="K8" s="6">
        <f>'Tax Information'!C31</f>
        <v>1563.3918547017297</v>
      </c>
      <c r="L8" s="18">
        <f>(0.01+0.0765)*(Table1[[#This Row],[Column2]]+Table1[[#This Row],[Column4]]+Table1[[#This Row],[Column5]])</f>
        <v>4637.503803996161</v>
      </c>
      <c r="M8" s="6">
        <f>(Table1[[#This Row],[Column2]]+Table1[[#This Row],[Column4]]+Table1[[#This Row],[Column5]])</f>
        <v>53612.760739840014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46931.295314876465</v>
      </c>
      <c r="O8" s="7">
        <f>1-(Table1[[#This Row],[Column13]]/Table1[[#This Row],[Column12]])</f>
        <v>0.12462453588961531</v>
      </c>
      <c r="P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Input'!$F$10)+P7</f>
        <v>50549.084677734405</v>
      </c>
      <c r="Q8" s="6">
        <f>Table1[[#This Row],[Column12]]/12</f>
        <v>4467.7300616533348</v>
      </c>
      <c r="R8" s="6">
        <f>Table1[[#This Row],[Column13]]/12</f>
        <v>3910.9412762397055</v>
      </c>
      <c r="S8" s="18">
        <f>Table1[[#This Row],[Column13]]/'Data Input'!$I$5</f>
        <v>1955.4706381198528</v>
      </c>
      <c r="T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Sheet'!B12/12,'Mortgage Sheet'!$K$2))</f>
        <v>1401.2800943778939</v>
      </c>
      <c r="U8" s="18">
        <f>Spending!T9+12*(Table1[[#This Row],[Column17]]-Table1[[#This Row],[Column19]])+IF(Table1[[#This Row],[Column1]]='Data Input'!$I$4,'Data Input'!$C$44,0)</f>
        <v>71597.21025632575</v>
      </c>
      <c r="V8" s="14">
        <f>Table1[[#This Row],[Column17]]-Table1[[#This Row],[Column20]]/12</f>
        <v>-2055.4929117874403</v>
      </c>
      <c r="W8" s="18">
        <f>W7+12*Table1[[#This Row],[Column21]]</f>
        <v>-244007.35549894022</v>
      </c>
      <c r="Y8" s="24"/>
      <c r="AA8" s="25"/>
      <c r="AB8" s="18"/>
    </row>
    <row r="9" spans="1:28">
      <c r="A9" s="16">
        <f t="shared" si="0"/>
        <v>2023</v>
      </c>
      <c r="B9" s="11">
        <f>IF('Data Input'!$C$16+'Data Input'!$I$3&gt;Table1[[#This Row],[Column1]],('Data Input'!$C$6)*(1+'Data Input'!$C$15)^(Table1[[#This Row],[Column1]]-'Data Input'!$I$3),0)</f>
        <v>52637.27116943361</v>
      </c>
      <c r="C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9" s="11">
        <f>IF('Data Input'!$F$16+'Data Input'!$I$3&gt;Table1[[#This Row],[Column1]],('Data Input'!$F$6)*(1+'Data Input'!$F$15)^(Table1[[#This Row],[Column1]]-'Data Input'!$I$3),0)</f>
        <v>0</v>
      </c>
      <c r="F9" s="11">
        <f>Table1[[#This Row],[Column2]]+Table1[[#This Row],[Column4]]+Table1[[#This Row],[Column5]]-Table1[[#This Row],[Column3]]-Table1[[#This Row],[Column23]]</f>
        <v>34262.243887752047</v>
      </c>
      <c r="G9" s="11">
        <f>Table1[[#This Row],[Column2]]+Table1[[#This Row],[Column4]]+Table1[[#This Row],[Column5]]-Table1[[#This Row],[Column3]]-Table1[[#This Row],[Column8]]</f>
        <v>17969.999009997009</v>
      </c>
      <c r="H9" s="11">
        <f>IF(Table1[[#This Row],[Column1]]&lt;'Data Input'!$I$4,MAX('Tax Information'!$C$15+'Data Input'!C68*'Tax Information'!$C$5,Spending!P10+'Student Loans'!B13),MAX('Tax Information'!$C$15+'Data Input'!C68*'Tax Information'!$C$5,'Mortgage Sheet'!C13+Spending!P10+'Student Loans'!C13))+'Tax Information'!$C$13*('Data Input'!C68+2)</f>
        <v>21375.027281681563</v>
      </c>
      <c r="I9" s="11">
        <f>IF(Table1[[#This Row],[Column1]]&lt;'Data Input'!$I$4,MAX('Tax Information'!$C$6+'Data Input'!C68*'Tax Information'!$C$5,Table1[[#This Row],[Column9]]+Spending!P10+'Student Loans'!C13),MAX('Tax Information'!$C$6+'Data Input'!C68*'Tax Information'!$C$5,'Mortgage Sheet'!C13+Table1[[#This Row],[Column9]]+Spending!P10+'Student Loans'!C13))+'Tax Information'!$C$4*('Data Input'!C68+2)</f>
        <v>37667.272159436601</v>
      </c>
      <c r="J9" s="6">
        <f>'Tax Information'!E32</f>
        <v>528.24487775504099</v>
      </c>
      <c r="K9" s="6">
        <f>'Tax Information'!C32</f>
        <v>1796.9999009997009</v>
      </c>
      <c r="L9" s="18">
        <f>(0.01+0.0765)*(Table1[[#This Row],[Column2]]+Table1[[#This Row],[Column4]]+Table1[[#This Row],[Column5]])</f>
        <v>4812.6239561560069</v>
      </c>
      <c r="M9" s="6">
        <f>(Table1[[#This Row],[Column2]]+Table1[[#This Row],[Column4]]+Table1[[#This Row],[Column5]])</f>
        <v>55637.27116943361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48499.402434522861</v>
      </c>
      <c r="O9" s="7">
        <f>1-(Table1[[#This Row],[Column13]]/Table1[[#This Row],[Column12]])</f>
        <v>0.12829293358356153</v>
      </c>
      <c r="P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Input'!$F$10)+P8</f>
        <v>58971.048064843781</v>
      </c>
      <c r="Q9" s="6">
        <f>Table1[[#This Row],[Column12]]/12</f>
        <v>4636.4392641194672</v>
      </c>
      <c r="R9" s="6">
        <f>Table1[[#This Row],[Column13]]/12</f>
        <v>4041.6168695435717</v>
      </c>
      <c r="S9" s="18">
        <f>Table1[[#This Row],[Column13]]/'Data Input'!$I$5</f>
        <v>2020.8084347717859</v>
      </c>
      <c r="T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Sheet'!B13/12,'Mortgage Sheet'!$K$2))</f>
        <v>1531.9556876817601</v>
      </c>
      <c r="U9" s="18">
        <f>Spending!T10+12*(Table1[[#This Row],[Column17]]-Table1[[#This Row],[Column19]])+IF(Table1[[#This Row],[Column1]]='Data Input'!$I$4,'Data Input'!$C$44,0)</f>
        <v>71799.661299285101</v>
      </c>
      <c r="V9" s="14">
        <f>Table1[[#This Row],[Column17]]-Table1[[#This Row],[Column20]]/12</f>
        <v>-1941.6882387301866</v>
      </c>
      <c r="W9" s="18">
        <f>W8+12*Table1[[#This Row],[Column21]]</f>
        <v>-267307.61436370248</v>
      </c>
    </row>
    <row r="10" spans="1:28">
      <c r="A10" s="16">
        <f t="shared" si="0"/>
        <v>2024</v>
      </c>
      <c r="B10" s="11">
        <f>IF('Data Input'!$C$16+'Data Input'!$I$3&gt;Table1[[#This Row],[Column1]],('Data Input'!$C$6)*(1+'Data Input'!$C$15)^(Table1[[#This Row],[Column1]]-'Data Input'!$I$3),0)</f>
        <v>54742.762016210967</v>
      </c>
      <c r="C1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0" s="11">
        <f>IF('Data Input'!$F$16+'Data Input'!$I$3&gt;Table1[[#This Row],[Column1]],('Data Input'!$F$6)*(1+'Data Input'!$F$15)^(Table1[[#This Row],[Column1]]-'Data Input'!$I$3),0)</f>
        <v>0</v>
      </c>
      <c r="F10" s="11">
        <f>Table1[[#This Row],[Column2]]+Table1[[#This Row],[Column4]]+Table1[[#This Row],[Column5]]-Table1[[#This Row],[Column3]]-Table1[[#This Row],[Column23]]</f>
        <v>36741.616080893567</v>
      </c>
      <c r="G10" s="11">
        <f>Table1[[#This Row],[Column2]]+Table1[[#This Row],[Column4]]+Table1[[#This Row],[Column5]]-Table1[[#This Row],[Column3]]-Table1[[#This Row],[Column8]]</f>
        <v>20399.783759275699</v>
      </c>
      <c r="H10" s="11">
        <f>IF(Table1[[#This Row],[Column1]]&lt;'Data Input'!$I$4,MAX('Tax Information'!$C$15+'Data Input'!C69*'Tax Information'!$C$5,Spending!P11+'Student Loans'!B14),MAX('Tax Information'!$C$15+'Data Input'!C69*'Tax Information'!$C$5,'Mortgage Sheet'!C14+Spending!P11+'Student Loans'!C14))+'Tax Information'!$C$13*('Data Input'!C69+2)</f>
        <v>21001.1459353174</v>
      </c>
      <c r="I10" s="11">
        <f>IF(Table1[[#This Row],[Column1]]&lt;'Data Input'!$I$4,MAX('Tax Information'!$C$6+'Data Input'!C69*'Tax Information'!$C$5,Table1[[#This Row],[Column9]]+Spending!P11+'Student Loans'!C14),MAX('Tax Information'!$C$6+'Data Input'!C69*'Tax Information'!$C$5,'Mortgage Sheet'!C14+Table1[[#This Row],[Column9]]+Spending!P11+'Student Loans'!C14))+'Tax Information'!$C$4*('Data Input'!C69+2)</f>
        <v>37342.978256935268</v>
      </c>
      <c r="J10" s="6">
        <f>'Tax Information'!E33</f>
        <v>577.83232161787134</v>
      </c>
      <c r="K10" s="6">
        <f>'Tax Information'!C33</f>
        <v>2132.3175638913549</v>
      </c>
      <c r="L10" s="18">
        <f>(0.01+0.0765)*(Table1[[#This Row],[Column2]]+Table1[[#This Row],[Column4]]+Table1[[#This Row],[Column5]])</f>
        <v>4994.7489144022484</v>
      </c>
      <c r="M10" s="6">
        <f>(Table1[[#This Row],[Column2]]+Table1[[#This Row],[Column4]]+Table1[[#This Row],[Column5]])</f>
        <v>57742.762016210967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50037.863216299491</v>
      </c>
      <c r="O10" s="7">
        <f>1-(Table1[[#This Row],[Column13]]/Table1[[#This Row],[Column12]])</f>
        <v>0.13343488483887156</v>
      </c>
      <c r="P1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Input'!$F$10)+P9</f>
        <v>67729.889987437535</v>
      </c>
      <c r="Q10" s="6">
        <f>Table1[[#This Row],[Column12]]/12</f>
        <v>4811.8968346842476</v>
      </c>
      <c r="R10" s="6">
        <f>Table1[[#This Row],[Column13]]/12</f>
        <v>4169.8219346916239</v>
      </c>
      <c r="S10" s="18">
        <f>Table1[[#This Row],[Column13]]/'Data Input'!$I$5</f>
        <v>2084.910967345812</v>
      </c>
      <c r="T1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Sheet'!B14/12,'Mortgage Sheet'!$K$2))</f>
        <v>1660.1607528298123</v>
      </c>
      <c r="U10" s="18">
        <f>Spending!T11+12*(Table1[[#This Row],[Column17]]-Table1[[#This Row],[Column19]])+IF(Table1[[#This Row],[Column1]]='Data Input'!$I$4,'Data Input'!$C$44,0)</f>
        <v>72010.21038396284</v>
      </c>
      <c r="V10" s="14">
        <f>Table1[[#This Row],[Column17]]-Table1[[#This Row],[Column20]]/12</f>
        <v>-1831.028930638613</v>
      </c>
      <c r="W10" s="18">
        <f>W9+12*Table1[[#This Row],[Column21]]</f>
        <v>-289279.96153136581</v>
      </c>
      <c r="Y10" s="16"/>
      <c r="Z10" s="16"/>
      <c r="AB10" s="16"/>
    </row>
    <row r="11" spans="1:28">
      <c r="A11" s="16">
        <f t="shared" si="0"/>
        <v>2025</v>
      </c>
      <c r="B11" s="11">
        <f>IF('Data Input'!$C$16+'Data Input'!$I$3&gt;Table1[[#This Row],[Column1]],('Data Input'!$C$6)*(1+'Data Input'!$C$15)^(Table1[[#This Row],[Column1]]-'Data Input'!$I$3),0)</f>
        <v>56932.472496859409</v>
      </c>
      <c r="C1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1" s="11">
        <f>IF('Data Input'!$F$16+'Data Input'!$I$3&gt;Table1[[#This Row],[Column1]],('Data Input'!$F$6)*(1+'Data Input'!$F$15)^(Table1[[#This Row],[Column1]]-'Data Input'!$I$3),0)</f>
        <v>0</v>
      </c>
      <c r="F11" s="11">
        <f>Table1[[#This Row],[Column2]]+Table1[[#This Row],[Column4]]+Table1[[#This Row],[Column5]]-Table1[[#This Row],[Column3]]-Table1[[#This Row],[Column23]]</f>
        <v>39320.440410825977</v>
      </c>
      <c r="G11" s="11">
        <f>Table1[[#This Row],[Column2]]+Table1[[#This Row],[Column4]]+Table1[[#This Row],[Column5]]-Table1[[#This Row],[Column3]]-Table1[[#This Row],[Column8]]</f>
        <v>22213.6051779599</v>
      </c>
      <c r="H11" s="11">
        <f>IF(Table1[[#This Row],[Column1]]&lt;'Data Input'!$I$4,MAX('Tax Information'!$C$15+'Data Input'!C70*'Tax Information'!$C$5,Spending!P12+'Student Loans'!B15),MAX('Tax Information'!$C$15+'Data Input'!C70*'Tax Information'!$C$5,'Mortgage Sheet'!C15+Spending!P12+'Student Loans'!C15))+'Tax Information'!$C$13*('Data Input'!C70+2)</f>
        <v>20612.032086033432</v>
      </c>
      <c r="I11" s="11">
        <f>IF(Table1[[#This Row],[Column1]]&lt;'Data Input'!$I$4,MAX('Tax Information'!$C$6+'Data Input'!C70*'Tax Information'!$C$5,Table1[[#This Row],[Column9]]+Spending!P12+'Student Loans'!C15),MAX('Tax Information'!$C$6+'Data Input'!C70*'Tax Information'!$C$5,'Mortgage Sheet'!C15+Table1[[#This Row],[Column9]]+Spending!P12+'Student Loans'!C15))+'Tax Information'!$C$4*('Data Input'!C70+2)</f>
        <v>37718.867318899509</v>
      </c>
      <c r="J11" s="6">
        <f>'Tax Information'!E34</f>
        <v>1342.8352328660781</v>
      </c>
      <c r="K11" s="6">
        <f>'Tax Information'!C34</f>
        <v>2404.3907766939851</v>
      </c>
      <c r="L11" s="18">
        <f>(0.01+0.0765)*(Table1[[#This Row],[Column2]]+Table1[[#This Row],[Column4]]+Table1[[#This Row],[Column5]])</f>
        <v>5184.1588709783382</v>
      </c>
      <c r="M11" s="6">
        <f>(Table1[[#This Row],[Column2]]+Table1[[#This Row],[Column4]]+Table1[[#This Row],[Column5]])</f>
        <v>59932.472496859409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51001.087616321005</v>
      </c>
      <c r="O11" s="7">
        <f>1-(Table1[[#This Row],[Column13]]/Table1[[#This Row],[Column12]])</f>
        <v>0.14902413513819956</v>
      </c>
      <c r="P1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Input'!$F$10)+P10</f>
        <v>76839.085586935034</v>
      </c>
      <c r="Q11" s="6">
        <f>Table1[[#This Row],[Column12]]/12</f>
        <v>4994.3727080716171</v>
      </c>
      <c r="R11" s="6">
        <f>Table1[[#This Row],[Column13]]/12</f>
        <v>4250.0906346934171</v>
      </c>
      <c r="S11" s="18">
        <f>Table1[[#This Row],[Column13]]/'Data Input'!$I$5</f>
        <v>2125.0453173467085</v>
      </c>
      <c r="T1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Sheet'!B15/12,'Mortgage Sheet'!$K$2))</f>
        <v>1740.4294528316054</v>
      </c>
      <c r="U11" s="18">
        <f>Spending!T12+12*(Table1[[#This Row],[Column17]]-Table1[[#This Row],[Column19]])+IF(Table1[[#This Row],[Column1]]='Data Input'!$I$4,'Data Input'!$C$44,0)</f>
        <v>72229.18143202769</v>
      </c>
      <c r="V11" s="14">
        <f>Table1[[#This Row],[Column17]]-Table1[[#This Row],[Column20]]/12</f>
        <v>-1769.0078179755574</v>
      </c>
      <c r="W11" s="18">
        <f>W10+12*Table1[[#This Row],[Column21]]</f>
        <v>-310508.05534707248</v>
      </c>
      <c r="Y11" s="17"/>
    </row>
    <row r="12" spans="1:28">
      <c r="A12" s="16">
        <f t="shared" si="0"/>
        <v>2026</v>
      </c>
      <c r="B12" s="11">
        <f>IF('Data Input'!$C$16+'Data Input'!$I$3&gt;Table1[[#This Row],[Column1]],('Data Input'!$C$6)*(1+'Data Input'!$C$15)^(Table1[[#This Row],[Column1]]-'Data Input'!$I$3),0)</f>
        <v>59209.771396733784</v>
      </c>
      <c r="C1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2" s="11">
        <f>IF('Data Input'!$F$16+'Data Input'!$I$3&gt;Table1[[#This Row],[Column1]],('Data Input'!$F$6)*(1+'Data Input'!$F$15)^(Table1[[#This Row],[Column1]]-'Data Input'!$I$3),0)</f>
        <v>0</v>
      </c>
      <c r="F12" s="11">
        <f>Table1[[#This Row],[Column2]]+Table1[[#This Row],[Column4]]+Table1[[#This Row],[Column5]]-Table1[[#This Row],[Column3]]-Table1[[#This Row],[Column23]]</f>
        <v>42002.706258575599</v>
      </c>
      <c r="G12" s="11">
        <f>Table1[[#This Row],[Column2]]+Table1[[#This Row],[Column4]]+Table1[[#This Row],[Column5]]-Table1[[#This Row],[Column3]]-Table1[[#This Row],[Column8]]</f>
        <v>24681.28975788955</v>
      </c>
      <c r="H12" s="11">
        <f>IF(Table1[[#This Row],[Column1]]&lt;'Data Input'!$I$4,MAX('Tax Information'!$C$15+'Data Input'!C71*'Tax Information'!$C$5,Spending!P13+'Student Loans'!B16),MAX('Tax Information'!$C$15+'Data Input'!C71*'Tax Information'!$C$5,'Mortgage Sheet'!C16+Spending!P13+'Student Loans'!C16))+'Tax Information'!$C$13*('Data Input'!C71+2)</f>
        <v>20207.065138158185</v>
      </c>
      <c r="I12" s="11">
        <f>IF(Table1[[#This Row],[Column1]]&lt;'Data Input'!$I$4,MAX('Tax Information'!$C$6+'Data Input'!C71*'Tax Information'!$C$5,Table1[[#This Row],[Column9]]+Spending!P13+'Student Loans'!C16),MAX('Tax Information'!$C$6+'Data Input'!C71*'Tax Information'!$C$5,'Mortgage Sheet'!C16+Table1[[#This Row],[Column9]]+Spending!P13+'Student Loans'!C16))+'Tax Information'!$C$4*('Data Input'!C71+2)</f>
        <v>37528.481638844234</v>
      </c>
      <c r="J12" s="6">
        <f>'Tax Information'!E35</f>
        <v>1557.416500686048</v>
      </c>
      <c r="K12" s="6">
        <f>'Tax Information'!C35</f>
        <v>2774.5434636834325</v>
      </c>
      <c r="L12" s="18">
        <f>(0.01+0.0765)*(Table1[[#This Row],[Column2]]+Table1[[#This Row],[Column4]]+Table1[[#This Row],[Column5]])</f>
        <v>5381.1452258174722</v>
      </c>
      <c r="M12" s="6">
        <f>(Table1[[#This Row],[Column2]]+Table1[[#This Row],[Column4]]+Table1[[#This Row],[Column5]])</f>
        <v>62209.771396733784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52496.666206546834</v>
      </c>
      <c r="O12" s="7">
        <f>1-(Table1[[#This Row],[Column13]]/Table1[[#This Row],[Column12]])</f>
        <v>0.15613471922671174</v>
      </c>
      <c r="P1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Input'!$F$10)+P11</f>
        <v>86312.649010412439</v>
      </c>
      <c r="Q12" s="6">
        <f>Table1[[#This Row],[Column12]]/12</f>
        <v>5184.1476163944817</v>
      </c>
      <c r="R12" s="6">
        <f>Table1[[#This Row],[Column13]]/12</f>
        <v>4374.7221838789028</v>
      </c>
      <c r="S12" s="18">
        <f>Table1[[#This Row],[Column13]]/'Data Input'!$I$5</f>
        <v>2187.3610919394514</v>
      </c>
      <c r="T1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Sheet'!B16/12,'Mortgage Sheet'!$K$2))</f>
        <v>1865.0610020170911</v>
      </c>
      <c r="U12" s="18">
        <f>Spending!T13+12*(Table1[[#This Row],[Column17]]-Table1[[#This Row],[Column19]])+IF(Table1[[#This Row],[Column1]]='Data Input'!$I$4,'Data Input'!$C$44,0)</f>
        <v>72456.911322015119</v>
      </c>
      <c r="V12" s="14">
        <f>Table1[[#This Row],[Column17]]-Table1[[#This Row],[Column20]]/12</f>
        <v>-1663.3537596223568</v>
      </c>
      <c r="W12" s="18">
        <f>W11+12*Table1[[#This Row],[Column21]]</f>
        <v>-330468.30046254076</v>
      </c>
      <c r="Z12" s="18"/>
      <c r="AB12" s="16"/>
    </row>
    <row r="13" spans="1:28">
      <c r="A13" s="16">
        <f t="shared" si="0"/>
        <v>2027</v>
      </c>
      <c r="B13" s="11">
        <f>IF('Data Input'!$C$16+'Data Input'!$I$3&gt;Table1[[#This Row],[Column1]],('Data Input'!$C$6)*(1+'Data Input'!$C$15)^(Table1[[#This Row],[Column1]]-'Data Input'!$I$3),0)</f>
        <v>61578.162252603128</v>
      </c>
      <c r="C1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3" s="11">
        <f>IF('Data Input'!$F$16+'Data Input'!$I$3&gt;Table1[[#This Row],[Column1]],('Data Input'!$F$6)*(1+'Data Input'!$F$15)^(Table1[[#This Row],[Column1]]-'Data Input'!$I$3),0)</f>
        <v>0</v>
      </c>
      <c r="F13" s="11">
        <f>Table1[[#This Row],[Column2]]+Table1[[#This Row],[Column4]]+Table1[[#This Row],[Column5]]-Table1[[#This Row],[Column3]]-Table1[[#This Row],[Column23]]</f>
        <v>44792.563040608147</v>
      </c>
      <c r="G13" s="11">
        <f>Table1[[#This Row],[Column2]]+Table1[[#This Row],[Column4]]+Table1[[#This Row],[Column5]]-Table1[[#This Row],[Column3]]-Table1[[#This Row],[Column8]]</f>
        <v>27247.957997359495</v>
      </c>
      <c r="H13" s="11">
        <f>IF(Table1[[#This Row],[Column1]]&lt;'Data Input'!$I$4,MAX('Tax Information'!$C$15+'Data Input'!C72*'Tax Information'!$C$5,Spending!P14+'Student Loans'!B17),MAX('Tax Information'!$C$15+'Data Input'!C72*'Tax Information'!$C$5,'Mortgage Sheet'!C17+Spending!P14+'Student Loans'!C17))+'Tax Information'!$C$13*('Data Input'!C72+2)</f>
        <v>19785.599211994977</v>
      </c>
      <c r="I13" s="11">
        <f>IF(Table1[[#This Row],[Column1]]&lt;'Data Input'!$I$4,MAX('Tax Information'!$C$6+'Data Input'!C72*'Tax Information'!$C$5,Table1[[#This Row],[Column9]]+Spending!P14+'Student Loans'!C17),MAX('Tax Information'!$C$6+'Data Input'!C72*'Tax Information'!$C$5,'Mortgage Sheet'!C17+Table1[[#This Row],[Column9]]+Spending!P14+'Student Loans'!C17))+'Tax Information'!$C$4*('Data Input'!C72+2)</f>
        <v>37330.204255243632</v>
      </c>
      <c r="J13" s="6">
        <f>'Tax Information'!E36</f>
        <v>1780.6050432486518</v>
      </c>
      <c r="K13" s="6">
        <f>'Tax Information'!C36</f>
        <v>3159.5436996039243</v>
      </c>
      <c r="L13" s="18">
        <f>(0.01+0.0765)*(Table1[[#This Row],[Column2]]+Table1[[#This Row],[Column4]]+Table1[[#This Row],[Column5]])</f>
        <v>5586.0110348501703</v>
      </c>
      <c r="M13" s="6">
        <f>(Table1[[#This Row],[Column2]]+Table1[[#This Row],[Column4]]+Table1[[#This Row],[Column5]])</f>
        <v>64578.162252603128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54052.002474900379</v>
      </c>
      <c r="O13" s="7">
        <f>1-(Table1[[#This Row],[Column13]]/Table1[[#This Row],[Column12]])</f>
        <v>0.16299875082429194</v>
      </c>
      <c r="P1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Input'!$F$10)+P12</f>
        <v>96165.154970828939</v>
      </c>
      <c r="Q13" s="6">
        <f>Table1[[#This Row],[Column12]]/12</f>
        <v>5381.5135210502604</v>
      </c>
      <c r="R13" s="6">
        <f>Table1[[#This Row],[Column13]]/12</f>
        <v>4504.3335395750319</v>
      </c>
      <c r="S13" s="18">
        <f>Table1[[#This Row],[Column13]]/'Data Input'!$I$5</f>
        <v>2252.1667697875159</v>
      </c>
      <c r="T1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Sheet'!B17/12,'Mortgage Sheet'!$K$2))</f>
        <v>1994.6723577132202</v>
      </c>
      <c r="U13" s="18">
        <f>Spending!T14+12*(Table1[[#This Row],[Column17]]-Table1[[#This Row],[Column19]])+IF(Table1[[#This Row],[Column1]]='Data Input'!$I$4,'Data Input'!$C$44,0)</f>
        <v>72693.750407602056</v>
      </c>
      <c r="V13" s="14">
        <f>Table1[[#This Row],[Column17]]-Table1[[#This Row],[Column20]]/12</f>
        <v>-1553.4789943918058</v>
      </c>
      <c r="W13" s="18">
        <f>W12+12*Table1[[#This Row],[Column21]]</f>
        <v>-349110.04839524243</v>
      </c>
    </row>
    <row r="14" spans="1:28">
      <c r="A14" s="16">
        <f t="shared" si="0"/>
        <v>2028</v>
      </c>
      <c r="B14" s="11">
        <f>IF('Data Input'!$C$16+'Data Input'!$I$3&gt;Table1[[#This Row],[Column1]],('Data Input'!$C$6)*(1+'Data Input'!$C$15)^(Table1[[#This Row],[Column1]]-'Data Input'!$I$3),0)</f>
        <v>64041.288742707271</v>
      </c>
      <c r="C1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4" s="11">
        <f>IF('Data Input'!$F$16+'Data Input'!$I$3&gt;Table1[[#This Row],[Column1]],('Data Input'!$F$6)*(1+'Data Input'!$F$15)^(Table1[[#This Row],[Column1]]-'Data Input'!$I$3),0)</f>
        <v>0</v>
      </c>
      <c r="F14" s="11">
        <f>Table1[[#This Row],[Column2]]+Table1[[#This Row],[Column4]]+Table1[[#This Row],[Column5]]-Table1[[#This Row],[Column3]]-Table1[[#This Row],[Column23]]</f>
        <v>47694.326628995506</v>
      </c>
      <c r="G14" s="11">
        <f>Table1[[#This Row],[Column2]]+Table1[[#This Row],[Column4]]+Table1[[#This Row],[Column5]]-Table1[[#This Row],[Column3]]-Table1[[#This Row],[Column8]]</f>
        <v>29917.580498675874</v>
      </c>
      <c r="H14" s="11">
        <f>IF(Table1[[#This Row],[Column1]]&lt;'Data Input'!$I$4,MAX('Tax Information'!$C$15+'Data Input'!C73*'Tax Information'!$C$5,Spending!P15+'Student Loans'!B18),MAX('Tax Information'!$C$15+'Data Input'!C73*'Tax Information'!$C$5,'Mortgage Sheet'!C18+Spending!P15+'Student Loans'!C18))+'Tax Information'!$C$13*('Data Input'!C73+2)</f>
        <v>19346.962113711761</v>
      </c>
      <c r="I14" s="11">
        <f>IF(Table1[[#This Row],[Column1]]&lt;'Data Input'!$I$4,MAX('Tax Information'!$C$6+'Data Input'!C73*'Tax Information'!$C$5,Table1[[#This Row],[Column9]]+Spending!P15+'Student Loans'!C18),MAX('Tax Information'!$C$6+'Data Input'!C73*'Tax Information'!$C$5,'Mortgage Sheet'!C18+Table1[[#This Row],[Column9]]+Spending!P15+'Student Loans'!C18))+'Tax Information'!$C$4*('Data Input'!C73+2)</f>
        <v>37123.708244031397</v>
      </c>
      <c r="J14" s="6">
        <f>'Tax Information'!E37</f>
        <v>2012.7461303196405</v>
      </c>
      <c r="K14" s="6">
        <f>'Tax Information'!C37</f>
        <v>3559.9870748013809</v>
      </c>
      <c r="L14" s="18">
        <f>(0.01+0.0765)*(Table1[[#This Row],[Column2]]+Table1[[#This Row],[Column4]]+Table1[[#This Row],[Column5]])</f>
        <v>5799.0714762441785</v>
      </c>
      <c r="M14" s="6">
        <f>(Table1[[#This Row],[Column2]]+Table1[[#This Row],[Column4]]+Table1[[#This Row],[Column5]])</f>
        <v>67041.288742707271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55669.484061342067</v>
      </c>
      <c r="O14" s="7">
        <f>1-(Table1[[#This Row],[Column13]]/Table1[[#This Row],[Column12]])</f>
        <v>0.16962389737178529</v>
      </c>
      <c r="P1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Input'!$F$10)+P13</f>
        <v>106411.7611696621</v>
      </c>
      <c r="Q14" s="6">
        <f>Table1[[#This Row],[Column12]]/12</f>
        <v>5586.7740618922726</v>
      </c>
      <c r="R14" s="6">
        <f>Table1[[#This Row],[Column13]]/12</f>
        <v>4639.1236717785059</v>
      </c>
      <c r="S14" s="18">
        <f>Table1[[#This Row],[Column13]]/'Data Input'!$I$5</f>
        <v>2319.561835889253</v>
      </c>
      <c r="T1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Sheet'!B18/12,'Mortgage Sheet'!$K$2))</f>
        <v>2129.4624899166943</v>
      </c>
      <c r="U14" s="18">
        <f>Spending!T15+12*(Table1[[#This Row],[Column17]]-Table1[[#This Row],[Column19]])+IF(Table1[[#This Row],[Column1]]='Data Input'!$I$4,'Data Input'!$C$44,0)</f>
        <v>72940.063056612475</v>
      </c>
      <c r="V14" s="14">
        <f>Table1[[#This Row],[Column17]]-Table1[[#This Row],[Column20]]/12</f>
        <v>-1439.2149162725336</v>
      </c>
      <c r="W14" s="18">
        <f>W13+12*Table1[[#This Row],[Column21]]</f>
        <v>-366380.62739051285</v>
      </c>
      <c r="Y14" s="16"/>
      <c r="Z14" s="16"/>
    </row>
    <row r="15" spans="1:28">
      <c r="A15" s="16">
        <f t="shared" si="0"/>
        <v>2029</v>
      </c>
      <c r="B15" s="11">
        <f>IF('Data Input'!$C$16+'Data Input'!$I$3&gt;Table1[[#This Row],[Column1]],('Data Input'!$C$6)*(1+'Data Input'!$C$15)^(Table1[[#This Row],[Column1]]-'Data Input'!$I$3),0)</f>
        <v>66602.940292415558</v>
      </c>
      <c r="C1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5" s="11">
        <f>IF('Data Input'!$F$16+'Data Input'!$I$3&gt;Table1[[#This Row],[Column1]],('Data Input'!$F$6)*(1+'Data Input'!$F$15)^(Table1[[#This Row],[Column1]]-'Data Input'!$I$3),0)</f>
        <v>0</v>
      </c>
      <c r="F15" s="11">
        <f>Table1[[#This Row],[Column2]]+Table1[[#This Row],[Column4]]+Table1[[#This Row],[Column5]]-Table1[[#This Row],[Column3]]-Table1[[#This Row],[Column23]]</f>
        <v>50712.486029152933</v>
      </c>
      <c r="G15" s="11">
        <f>Table1[[#This Row],[Column2]]+Table1[[#This Row],[Column4]]+Table1[[#This Row],[Column5]]-Table1[[#This Row],[Column3]]-Table1[[#This Row],[Column8]]</f>
        <v>32694.287146820694</v>
      </c>
      <c r="H15" s="11">
        <f>IF(Table1[[#This Row],[Column1]]&lt;'Data Input'!$I$4,MAX('Tax Information'!$C$15+'Data Input'!C74*'Tax Information'!$C$5,Spending!P16+'Student Loans'!B19),MAX('Tax Information'!$C$15+'Data Input'!C74*'Tax Information'!$C$5,'Mortgage Sheet'!C19+Spending!P16+'Student Loans'!C19))+'Tax Information'!$C$13*('Data Input'!C74+2)</f>
        <v>18890.454263262629</v>
      </c>
      <c r="I15" s="11">
        <f>IF(Table1[[#This Row],[Column1]]&lt;'Data Input'!$I$4,MAX('Tax Information'!$C$6+'Data Input'!C74*'Tax Information'!$C$5,Table1[[#This Row],[Column9]]+Spending!P16+'Student Loans'!C19),MAX('Tax Information'!$C$6+'Data Input'!C74*'Tax Information'!$C$5,'Mortgage Sheet'!C19+Table1[[#This Row],[Column9]]+Spending!P16+'Student Loans'!C19))+'Tax Information'!$C$4*('Data Input'!C74+2)</f>
        <v>36908.653145594864</v>
      </c>
      <c r="J15" s="6">
        <f>'Tax Information'!E38</f>
        <v>2254.1988823322345</v>
      </c>
      <c r="K15" s="6">
        <f>'Tax Information'!C38</f>
        <v>3976.4930720231041</v>
      </c>
      <c r="L15" s="18">
        <f>(0.01+0.0765)*(Table1[[#This Row],[Column2]]+Table1[[#This Row],[Column4]]+Table1[[#This Row],[Column5]])</f>
        <v>6020.6543352939452</v>
      </c>
      <c r="M15" s="6">
        <f>(Table1[[#This Row],[Column2]]+Table1[[#This Row],[Column4]]+Table1[[#This Row],[Column5]])</f>
        <v>69602.940292415558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57351.594002766273</v>
      </c>
      <c r="O15" s="7">
        <f>1-(Table1[[#This Row],[Column13]]/Table1[[#This Row],[Column12]])</f>
        <v>0.17601765440050354</v>
      </c>
      <c r="P1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Input'!$F$10)+P14</f>
        <v>117068.2316164486</v>
      </c>
      <c r="Q15" s="6">
        <f>Table1[[#This Row],[Column12]]/12</f>
        <v>5800.2450243679632</v>
      </c>
      <c r="R15" s="6">
        <f>Table1[[#This Row],[Column13]]/12</f>
        <v>4779.2995002305224</v>
      </c>
      <c r="S15" s="18">
        <f>Table1[[#This Row],[Column13]]/'Data Input'!$I$5</f>
        <v>2389.6497501152612</v>
      </c>
      <c r="T1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Sheet'!B19/12,'Mortgage Sheet'!$K$2))</f>
        <v>2269.6383183687108</v>
      </c>
      <c r="U15" s="18">
        <f>Spending!T16+12*(Table1[[#This Row],[Column17]]-Table1[[#This Row],[Column19]])+IF(Table1[[#This Row],[Column1]]='Data Input'!$I$4,'Data Input'!$C$44,0)</f>
        <v>73196.228211583308</v>
      </c>
      <c r="V15" s="14">
        <f>Table1[[#This Row],[Column17]]-Table1[[#This Row],[Column20]]/12</f>
        <v>-1320.3861840680865</v>
      </c>
      <c r="W15" s="18">
        <f>W14+12*Table1[[#This Row],[Column21]]</f>
        <v>-382225.26159932988</v>
      </c>
      <c r="Z15" s="16"/>
    </row>
    <row r="16" spans="1:28">
      <c r="A16" s="16">
        <f t="shared" si="0"/>
        <v>2030</v>
      </c>
      <c r="B16" s="11">
        <f>IF('Data Input'!$C$16+'Data Input'!$I$3&gt;Table1[[#This Row],[Column1]],('Data Input'!$C$6)*(1+'Data Input'!$C$15)^(Table1[[#This Row],[Column1]]-'Data Input'!$I$3),0)</f>
        <v>69267.057904112182</v>
      </c>
      <c r="C1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6" s="11">
        <f>IF('Data Input'!$F$16+'Data Input'!$I$3&gt;Table1[[#This Row],[Column1]],('Data Input'!$F$6)*(1+'Data Input'!$F$15)^(Table1[[#This Row],[Column1]]-'Data Input'!$I$3),0)</f>
        <v>0</v>
      </c>
      <c r="F16" s="11">
        <f>Table1[[#This Row],[Column2]]+Table1[[#This Row],[Column4]]+Table1[[#This Row],[Column5]]-Table1[[#This Row],[Column3]]-Table1[[#This Row],[Column23]]</f>
        <v>53851.710325480977</v>
      </c>
      <c r="G16" s="11">
        <f>Table1[[#This Row],[Column2]]+Table1[[#This Row],[Column4]]+Table1[[#This Row],[Column5]]-Table1[[#This Row],[Column3]]-Table1[[#This Row],[Column8]]</f>
        <v>35582.373499442503</v>
      </c>
      <c r="H16" s="11">
        <f>IF(Table1[[#This Row],[Column1]]&lt;'Data Input'!$I$4,MAX('Tax Information'!$C$15+'Data Input'!C75*'Tax Information'!$C$5,Spending!P17+'Student Loans'!B20),MAX('Tax Information'!$C$15+'Data Input'!C75*'Tax Information'!$C$5,'Mortgage Sheet'!C20+Spending!P17+'Student Loans'!C20))+'Tax Information'!$C$13*('Data Input'!C75+2)</f>
        <v>18415.347578631205</v>
      </c>
      <c r="I16" s="11">
        <f>IF(Table1[[#This Row],[Column1]]&lt;'Data Input'!$I$4,MAX('Tax Information'!$C$6+'Data Input'!C75*'Tax Information'!$C$5,Table1[[#This Row],[Column9]]+Spending!P17+'Student Loans'!C20),MAX('Tax Information'!$C$6+'Data Input'!C75*'Tax Information'!$C$5,'Mortgage Sheet'!C20+Table1[[#This Row],[Column9]]+Spending!P17+'Student Loans'!C20))+'Tax Information'!$C$4*('Data Input'!C75+2)</f>
        <v>36684.684404669679</v>
      </c>
      <c r="J16" s="6">
        <f>'Tax Information'!E39</f>
        <v>2505.3368260384782</v>
      </c>
      <c r="K16" s="6">
        <f>'Tax Information'!C39</f>
        <v>4409.7060249163751</v>
      </c>
      <c r="L16" s="18">
        <f>(0.01+0.0765)*(Table1[[#This Row],[Column2]]+Table1[[#This Row],[Column4]]+Table1[[#This Row],[Column5]])</f>
        <v>6251.1005087057029</v>
      </c>
      <c r="M16" s="6">
        <f>(Table1[[#This Row],[Column2]]+Table1[[#This Row],[Column4]]+Table1[[#This Row],[Column5]])</f>
        <v>72267.057904112182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59100.914544451625</v>
      </c>
      <c r="O16" s="7">
        <f>1-(Table1[[#This Row],[Column13]]/Table1[[#This Row],[Column12]])</f>
        <v>0.18218734429634731</v>
      </c>
      <c r="P1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Input'!$F$10)+P15</f>
        <v>128150.96088110654</v>
      </c>
      <c r="Q16" s="6">
        <f>Table1[[#This Row],[Column12]]/12</f>
        <v>6022.2548253426821</v>
      </c>
      <c r="R16" s="6">
        <f>Table1[[#This Row],[Column13]]/12</f>
        <v>4925.0762120376357</v>
      </c>
      <c r="S16" s="18">
        <f>Table1[[#This Row],[Column13]]/'Data Input'!$I$5</f>
        <v>2462.5381060188179</v>
      </c>
      <c r="T1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Sheet'!B20/12,'Mortgage Sheet'!$K$2))</f>
        <v>2415.4150301758241</v>
      </c>
      <c r="U16" s="18">
        <f>Spending!T17+12*(Table1[[#This Row],[Column17]]-Table1[[#This Row],[Column19]])+IF(Table1[[#This Row],[Column1]]='Data Input'!$I$4,'Data Input'!$C$44,0)</f>
        <v>73462.63997275295</v>
      </c>
      <c r="V16" s="14">
        <f>Table1[[#This Row],[Column17]]-Table1[[#This Row],[Column20]]/12</f>
        <v>-1196.8104523584434</v>
      </c>
      <c r="W16" s="18">
        <f>W15+12*Table1[[#This Row],[Column21]]</f>
        <v>-396586.9870276312</v>
      </c>
    </row>
    <row r="17" spans="1:31">
      <c r="A17" s="16">
        <f t="shared" si="0"/>
        <v>2031</v>
      </c>
      <c r="B17" s="11">
        <f>IF('Data Input'!$C$16+'Data Input'!$I$3&gt;Table1[[#This Row],[Column1]],('Data Input'!$C$6)*(1+'Data Input'!$C$15)^(Table1[[#This Row],[Column1]]-'Data Input'!$I$3),0)</f>
        <v>72037.740220276668</v>
      </c>
      <c r="C1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7" s="11">
        <f>IF('Data Input'!$F$16+'Data Input'!$I$3&gt;Table1[[#This Row],[Column1]],('Data Input'!$F$6)*(1+'Data Input'!$F$15)^(Table1[[#This Row],[Column1]]-'Data Input'!$I$3),0)</f>
        <v>0</v>
      </c>
      <c r="F17" s="11">
        <f>Table1[[#This Row],[Column2]]+Table1[[#This Row],[Column4]]+Table1[[#This Row],[Column5]]-Table1[[#This Row],[Column3]]-Table1[[#This Row],[Column23]]</f>
        <v>57116.855905660283</v>
      </c>
      <c r="G17" s="11">
        <f>Table1[[#This Row],[Column2]]+Table1[[#This Row],[Column4]]+Table1[[#This Row],[Column5]]-Table1[[#This Row],[Column3]]-Table1[[#This Row],[Column8]]</f>
        <v>38586.307433207461</v>
      </c>
      <c r="H17" s="11">
        <f>IF(Table1[[#This Row],[Column1]]&lt;'Data Input'!$I$4,MAX('Tax Information'!$C$15+'Data Input'!C76*'Tax Information'!$C$5,Spending!P18+'Student Loans'!B21),MAX('Tax Information'!$C$15+'Data Input'!C76*'Tax Information'!$C$5,'Mortgage Sheet'!C21+Spending!P18+'Student Loans'!C21))+'Tax Information'!$C$13*('Data Input'!C76+2)</f>
        <v>17920.884314616389</v>
      </c>
      <c r="I17" s="11">
        <f>IF(Table1[[#This Row],[Column1]]&lt;'Data Input'!$I$4,MAX('Tax Information'!$C$6+'Data Input'!C76*'Tax Information'!$C$5,Table1[[#This Row],[Column9]]+Spending!P18+'Student Loans'!C21),MAX('Tax Information'!$C$6+'Data Input'!C76*'Tax Information'!$C$5,'Mortgage Sheet'!C21+Table1[[#This Row],[Column9]]+Spending!P18+'Student Loans'!C21))+'Tax Information'!$C$4*('Data Input'!C76+2)</f>
        <v>36451.432787069207</v>
      </c>
      <c r="J17" s="6">
        <f>'Tax Information'!E40</f>
        <v>2766.5484724528224</v>
      </c>
      <c r="K17" s="6">
        <f>'Tax Information'!C40</f>
        <v>4860.296114981119</v>
      </c>
      <c r="L17" s="18">
        <f>(0.01+0.0765)*(Table1[[#This Row],[Column2]]+Table1[[#This Row],[Column4]]+Table1[[#This Row],[Column5]])</f>
        <v>6490.7645290539313</v>
      </c>
      <c r="M17" s="6">
        <f>(Table1[[#This Row],[Column2]]+Table1[[#This Row],[Column4]]+Table1[[#This Row],[Column5]])</f>
        <v>75037.740220276668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60920.131103788794</v>
      </c>
      <c r="O17" s="7">
        <f>1-(Table1[[#This Row],[Column13]]/Table1[[#This Row],[Column12]])</f>
        <v>0.18814011556111632</v>
      </c>
      <c r="P1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Input'!$F$10)+P16</f>
        <v>139676.99931635082</v>
      </c>
      <c r="Q17" s="6">
        <f>Table1[[#This Row],[Column12]]/12</f>
        <v>6253.1450183563893</v>
      </c>
      <c r="R17" s="6">
        <f>Table1[[#This Row],[Column13]]/12</f>
        <v>5076.6775919823995</v>
      </c>
      <c r="S17" s="18">
        <f>Table1[[#This Row],[Column13]]/'Data Input'!$I$5</f>
        <v>2538.3387959911997</v>
      </c>
      <c r="T1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Sheet'!B21/12,'Mortgage Sheet'!$K$2))</f>
        <v>2567.0164101205878</v>
      </c>
      <c r="U17" s="18">
        <f>Spending!T18+12*(Table1[[#This Row],[Column17]]-Table1[[#This Row],[Column19]])+IF(Table1[[#This Row],[Column1]]='Data Input'!$I$4,'Data Input'!$C$44,0)</f>
        <v>73739.70820436941</v>
      </c>
      <c r="V17" s="14">
        <f>Table1[[#This Row],[Column17]]-Table1[[#This Row],[Column20]]/12</f>
        <v>-1068.2980917150517</v>
      </c>
      <c r="W17" s="18">
        <f>W16+12*Table1[[#This Row],[Column21]]</f>
        <v>-409406.56412821182</v>
      </c>
    </row>
    <row r="18" spans="1:31">
      <c r="A18" s="16">
        <f t="shared" si="0"/>
        <v>2032</v>
      </c>
      <c r="B18" s="11">
        <f>IF('Data Input'!$C$16+'Data Input'!$I$3&gt;Table1[[#This Row],[Column1]],('Data Input'!$C$6)*(1+'Data Input'!$C$15)^(Table1[[#This Row],[Column1]]-'Data Input'!$I$3),0)</f>
        <v>74919.249829087756</v>
      </c>
      <c r="C1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8" s="11">
        <f>IF('Data Input'!$F$16+'Data Input'!$I$3&gt;Table1[[#This Row],[Column1]],('Data Input'!$F$6)*(1+'Data Input'!$F$15)^(Table1[[#This Row],[Column1]]-'Data Input'!$I$3),0)</f>
        <v>0</v>
      </c>
      <c r="F18" s="11">
        <f>Table1[[#This Row],[Column2]]+Table1[[#This Row],[Column4]]+Table1[[#This Row],[Column5]]-Table1[[#This Row],[Column3]]-Table1[[#This Row],[Column23]]</f>
        <v>60512.973974779306</v>
      </c>
      <c r="G18" s="11">
        <f>Table1[[#This Row],[Column2]]+Table1[[#This Row],[Column4]]+Table1[[#This Row],[Column5]]-Table1[[#This Row],[Column3]]-Table1[[#This Row],[Column8]]</f>
        <v>43194.47553629255</v>
      </c>
      <c r="H18" s="11">
        <f>IF(Table1[[#This Row],[Column1]]&lt;'Data Input'!$I$4,MAX('Tax Information'!$C$15+'Data Input'!C77*'Tax Information'!$C$5,Spending!P19+'Student Loans'!B22),MAX('Tax Information'!$C$15+'Data Input'!C77*'Tax Information'!$C$5,'Mortgage Sheet'!C22+Spending!P19+'Student Loans'!C22))+'Tax Information'!$C$13*('Data Input'!C77+2)</f>
        <v>17406.275854308453</v>
      </c>
      <c r="I18" s="11">
        <f>IF(Table1[[#This Row],[Column1]]&lt;'Data Input'!$I$4,MAX('Tax Information'!$C$6+'Data Input'!C77*'Tax Information'!$C$5,Table1[[#This Row],[Column9]]+Spending!P19+'Student Loans'!C22),MAX('Tax Information'!$C$6+'Data Input'!C77*'Tax Information'!$C$5,'Mortgage Sheet'!C22+Table1[[#This Row],[Column9]]+Spending!P19+'Student Loans'!C22))+'Tax Information'!$C$4*('Data Input'!C77+2)</f>
        <v>34724.774292795206</v>
      </c>
      <c r="J18" s="6">
        <f>'Tax Information'!E41</f>
        <v>1554.4984384867582</v>
      </c>
      <c r="K18" s="6">
        <f>'Tax Information'!C41</f>
        <v>5551.5213304438821</v>
      </c>
      <c r="L18" s="18">
        <f>(0.01+0.0765)*(Table1[[#This Row],[Column2]]+Table1[[#This Row],[Column4]]+Table1[[#This Row],[Column5]])</f>
        <v>6740.0151102160908</v>
      </c>
      <c r="M18" s="6">
        <f>(Table1[[#This Row],[Column2]]+Table1[[#This Row],[Column4]]+Table1[[#This Row],[Column5]])</f>
        <v>77919.249829087756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64073.214949941022</v>
      </c>
      <c r="O18" s="7">
        <f>1-(Table1[[#This Row],[Column13]]/Table1[[#This Row],[Column12]])</f>
        <v>0.17769723026745465</v>
      </c>
      <c r="P1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Input'!$F$10)+P17</f>
        <v>151664.07928900485</v>
      </c>
      <c r="Q18" s="6">
        <f>Table1[[#This Row],[Column12]]/12</f>
        <v>6493.270819090646</v>
      </c>
      <c r="R18" s="6">
        <f>Table1[[#This Row],[Column13]]/12</f>
        <v>5339.4345791617516</v>
      </c>
      <c r="S18" s="18">
        <f>Table1[[#This Row],[Column13]]/'Data Input'!$I$5</f>
        <v>2669.7172895808758</v>
      </c>
      <c r="T1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Sheet'!B22/12,'Mortgage Sheet'!$K$2))</f>
        <v>2829.7733972999399</v>
      </c>
      <c r="U18" s="18">
        <f>Spending!T19+12*(Table1[[#This Row],[Column17]]-Table1[[#This Row],[Column19]])+IF(Table1[[#This Row],[Column1]]='Data Input'!$I$4,'Data Input'!$C$44,0)</f>
        <v>74027.859165250527</v>
      </c>
      <c r="V18" s="14">
        <f>Table1[[#This Row],[Column17]]-Table1[[#This Row],[Column20]]/12</f>
        <v>-829.55368460912541</v>
      </c>
      <c r="W18" s="18">
        <f>W17+12*Table1[[#This Row],[Column21]]</f>
        <v>-419361.20834352134</v>
      </c>
    </row>
    <row r="19" spans="1:31">
      <c r="A19" s="16">
        <f t="shared" si="0"/>
        <v>2033</v>
      </c>
      <c r="B19" s="11">
        <f>IF('Data Input'!$C$16+'Data Input'!$I$3&gt;Table1[[#This Row],[Column1]],('Data Input'!$C$6)*(1+'Data Input'!$C$15)^(Table1[[#This Row],[Column1]]-'Data Input'!$I$3),0)</f>
        <v>77916.019822251255</v>
      </c>
      <c r="C1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9" s="11">
        <f>IF('Data Input'!$F$16+'Data Input'!$I$3&gt;Table1[[#This Row],[Column1]],('Data Input'!$F$6)*(1+'Data Input'!$F$15)^(Table1[[#This Row],[Column1]]-'Data Input'!$I$3),0)</f>
        <v>0</v>
      </c>
      <c r="F19" s="11">
        <f>Table1[[#This Row],[Column2]]+Table1[[#This Row],[Column4]]+Table1[[#This Row],[Column5]]-Table1[[#This Row],[Column3]]-Table1[[#This Row],[Column23]]</f>
        <v>64045.318370923262</v>
      </c>
      <c r="G19" s="11">
        <f>Table1[[#This Row],[Column2]]+Table1[[#This Row],[Column4]]+Table1[[#This Row],[Column5]]-Table1[[#This Row],[Column3]]-Table1[[#This Row],[Column8]]</f>
        <v>46514.879268667864</v>
      </c>
      <c r="H19" s="11">
        <f>IF(Table1[[#This Row],[Column1]]&lt;'Data Input'!$I$4,MAX('Tax Information'!$C$15+'Data Input'!C78*'Tax Information'!$C$5,Spending!P20+'Student Loans'!B23),MAX('Tax Information'!$C$15+'Data Input'!C78*'Tax Information'!$C$5,'Mortgage Sheet'!C23+Spending!P20+'Student Loans'!C23))+'Tax Information'!$C$13*('Data Input'!C78+2)</f>
        <v>16870.701451327994</v>
      </c>
      <c r="I19" s="11">
        <f>IF(Table1[[#This Row],[Column1]]&lt;'Data Input'!$I$4,MAX('Tax Information'!$C$6+'Data Input'!C78*'Tax Information'!$C$5,Table1[[#This Row],[Column9]]+Spending!P20+'Student Loans'!C23),MAX('Tax Information'!$C$6+'Data Input'!C78*'Tax Information'!$C$5,'Mortgage Sheet'!C23+Table1[[#This Row],[Column9]]+Spending!P20+'Student Loans'!C23))+'Tax Information'!$C$4*('Data Input'!C78+2)</f>
        <v>34401.140553583391</v>
      </c>
      <c r="J19" s="6">
        <f>'Tax Information'!E42</f>
        <v>1766.4391022553955</v>
      </c>
      <c r="K19" s="6">
        <f>'Tax Information'!C42</f>
        <v>6049.5818903001791</v>
      </c>
      <c r="L19" s="18">
        <f>(0.01+0.0765)*(Table1[[#This Row],[Column2]]+Table1[[#This Row],[Column4]]+Table1[[#This Row],[Column5]])</f>
        <v>6999.2357146247332</v>
      </c>
      <c r="M19" s="6">
        <f>(Table1[[#This Row],[Column2]]+Table1[[#This Row],[Column4]]+Table1[[#This Row],[Column5]])</f>
        <v>80916.019822251255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66100.763115070949</v>
      </c>
      <c r="O19" s="7">
        <f>1-(Table1[[#This Row],[Column13]]/Table1[[#This Row],[Column12]])</f>
        <v>0.1830942344881159</v>
      </c>
      <c r="P1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Input'!$F$10)+P18</f>
        <v>164130.64246056505</v>
      </c>
      <c r="Q19" s="6">
        <f>Table1[[#This Row],[Column12]]/12</f>
        <v>6743.0016518542716</v>
      </c>
      <c r="R19" s="6">
        <f>Table1[[#This Row],[Column13]]/12</f>
        <v>5508.3969262559121</v>
      </c>
      <c r="S19" s="18">
        <f>Table1[[#This Row],[Column13]]/'Data Input'!$I$5</f>
        <v>2754.1984631279561</v>
      </c>
      <c r="T1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Sheet'!B23/12,'Mortgage Sheet'!$K$2))</f>
        <v>2998.7357443941005</v>
      </c>
      <c r="U19" s="18">
        <f>Spending!T20+12*(Table1[[#This Row],[Column17]]-Table1[[#This Row],[Column19]])+IF(Table1[[#This Row],[Column1]]='Data Input'!$I$4,'Data Input'!$C$44,0)</f>
        <v>74327.536164566875</v>
      </c>
      <c r="V19" s="14">
        <f>Table1[[#This Row],[Column17]]-Table1[[#This Row],[Column20]]/12</f>
        <v>-685.56442079132739</v>
      </c>
      <c r="W19" s="18">
        <f>W18+12*Table1[[#This Row],[Column21]]</f>
        <v>-427587.98139301728</v>
      </c>
      <c r="AB19" s="17"/>
      <c r="AE19" s="18"/>
    </row>
    <row r="20" spans="1:31">
      <c r="A20" s="16">
        <f t="shared" si="0"/>
        <v>2034</v>
      </c>
      <c r="B20" s="11">
        <f>IF('Data Input'!$C$16+'Data Input'!$I$3&gt;Table1[[#This Row],[Column1]],('Data Input'!$C$6)*(1+'Data Input'!$C$15)^(Table1[[#This Row],[Column1]]-'Data Input'!$I$3),0)</f>
        <v>81032.660615141314</v>
      </c>
      <c r="C2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0" s="11">
        <f>IF('Data Input'!$F$16+'Data Input'!$I$3&gt;Table1[[#This Row],[Column1]],('Data Input'!$F$6)*(1+'Data Input'!$F$15)^(Table1[[#This Row],[Column1]]-'Data Input'!$I$3),0)</f>
        <v>0</v>
      </c>
      <c r="F20" s="11">
        <f>Table1[[#This Row],[Column2]]+Table1[[#This Row],[Column4]]+Table1[[#This Row],[Column5]]-Table1[[#This Row],[Column3]]-Table1[[#This Row],[Column23]]</f>
        <v>67719.35369431955</v>
      </c>
      <c r="G20" s="11">
        <f>Table1[[#This Row],[Column2]]+Table1[[#This Row],[Column4]]+Table1[[#This Row],[Column5]]-Table1[[#This Row],[Column3]]-Table1[[#This Row],[Column8]]</f>
        <v>49968.472472660374</v>
      </c>
      <c r="H20" s="11">
        <f>IF(Table1[[#This Row],[Column1]]&lt;'Data Input'!$I$4,MAX('Tax Information'!$C$15+'Data Input'!C79*'Tax Information'!$C$5,Spending!P21+'Student Loans'!B24),MAX('Tax Information'!$C$15+'Data Input'!C79*'Tax Information'!$C$5,'Mortgage Sheet'!C24+Spending!P21+'Student Loans'!C24))+'Tax Information'!$C$13*('Data Input'!C79+2)</f>
        <v>16313.306920821768</v>
      </c>
      <c r="I20" s="11">
        <f>IF(Table1[[#This Row],[Column1]]&lt;'Data Input'!$I$4,MAX('Tax Information'!$C$6+'Data Input'!C79*'Tax Information'!$C$5,Table1[[#This Row],[Column9]]+Spending!P21+'Student Loans'!C24),MAX('Tax Information'!$C$6+'Data Input'!C79*'Tax Information'!$C$5,'Mortgage Sheet'!C24+Table1[[#This Row],[Column9]]+Spending!P21+'Student Loans'!C24))+'Tax Information'!$C$4*('Data Input'!C79+2)</f>
        <v>34064.18814248094</v>
      </c>
      <c r="J20" s="6">
        <f>'Tax Information'!E43</f>
        <v>1986.8812216591728</v>
      </c>
      <c r="K20" s="6">
        <f>'Tax Information'!C43</f>
        <v>6567.6208708990562</v>
      </c>
      <c r="L20" s="18">
        <f>(0.01+0.0765)*(Table1[[#This Row],[Column2]]+Table1[[#This Row],[Column4]]+Table1[[#This Row],[Column5]])</f>
        <v>7268.8251432097231</v>
      </c>
      <c r="M20" s="6">
        <f>(Table1[[#This Row],[Column2]]+Table1[[#This Row],[Column4]]+Table1[[#This Row],[Column5]])</f>
        <v>84032.660615141314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68209.333379373362</v>
      </c>
      <c r="O20" s="7">
        <f>1-(Table1[[#This Row],[Column13]]/Table1[[#This Row],[Column12]])</f>
        <v>0.18829972917597759</v>
      </c>
      <c r="P2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Input'!$F$10)+P19</f>
        <v>177095.86815898767</v>
      </c>
      <c r="Q20" s="6">
        <f>Table1[[#This Row],[Column12]]/12</f>
        <v>7002.7217179284426</v>
      </c>
      <c r="R20" s="6">
        <f>Table1[[#This Row],[Column13]]/12</f>
        <v>5684.1111149477802</v>
      </c>
      <c r="S20" s="18">
        <f>Table1[[#This Row],[Column13]]/'Data Input'!$I$5</f>
        <v>2842.0555574738901</v>
      </c>
      <c r="T2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Sheet'!B24/12,'Mortgage Sheet'!$K$2))</f>
        <v>3174.4499330859685</v>
      </c>
      <c r="U20" s="18">
        <f>Spending!T21+12*(Table1[[#This Row],[Column17]]-Table1[[#This Row],[Column19]])+IF(Table1[[#This Row],[Column1]]='Data Input'!$I$4,'Data Input'!$C$44,0)</f>
        <v>74639.200243855885</v>
      </c>
      <c r="V20" s="14">
        <f>Table1[[#This Row],[Column17]]-Table1[[#This Row],[Column20]]/12</f>
        <v>-535.82223870687722</v>
      </c>
      <c r="W20" s="18">
        <f>W19+12*Table1[[#This Row],[Column21]]</f>
        <v>-434017.84825749981</v>
      </c>
    </row>
    <row r="21" spans="1:31">
      <c r="A21" s="16">
        <f t="shared" si="0"/>
        <v>2035</v>
      </c>
      <c r="B21" s="11">
        <f>IF('Data Input'!$C$16+'Data Input'!$I$3&gt;Table1[[#This Row],[Column1]],('Data Input'!$C$6)*(1+'Data Input'!$C$15)^(Table1[[#This Row],[Column1]]-'Data Input'!$I$3),0)</f>
        <v>84273.967039746974</v>
      </c>
      <c r="C2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1" s="11">
        <f>IF('Data Input'!$F$16+'Data Input'!$I$3&gt;Table1[[#This Row],[Column1]],('Data Input'!$F$6)*(1+'Data Input'!$F$15)^(Table1[[#This Row],[Column1]]-'Data Input'!$I$3),0)</f>
        <v>0</v>
      </c>
      <c r="F21" s="11">
        <f>Table1[[#This Row],[Column2]]+Table1[[#This Row],[Column4]]+Table1[[#This Row],[Column5]]-Table1[[#This Row],[Column3]]-Table1[[#This Row],[Column23]]</f>
        <v>71540.763762619303</v>
      </c>
      <c r="G21" s="11">
        <f>Table1[[#This Row],[Column2]]+Table1[[#This Row],[Column4]]+Table1[[#This Row],[Column5]]-Table1[[#This Row],[Column3]]-Table1[[#This Row],[Column8]]</f>
        <v>53560.597936862148</v>
      </c>
      <c r="H21" s="11">
        <f>IF(Table1[[#This Row],[Column1]]&lt;'Data Input'!$I$4,MAX('Tax Information'!$C$15+'Data Input'!C80*'Tax Information'!$C$5,Spending!P22+'Student Loans'!B25),MAX('Tax Information'!$C$15+'Data Input'!C80*'Tax Information'!$C$5,'Mortgage Sheet'!C25+Spending!P22+'Student Loans'!C25))+'Tax Information'!$C$13*('Data Input'!C80+2)</f>
        <v>15733.203277127666</v>
      </c>
      <c r="I21" s="11">
        <f>IF(Table1[[#This Row],[Column1]]&lt;'Data Input'!$I$4,MAX('Tax Information'!$C$6+'Data Input'!C80*'Tax Information'!$C$5,Table1[[#This Row],[Column9]]+Spending!P22+'Student Loans'!C25),MAX('Tax Information'!$C$6+'Data Input'!C80*'Tax Information'!$C$5,'Mortgage Sheet'!C25+Table1[[#This Row],[Column9]]+Spending!P22+'Student Loans'!C25))+'Tax Information'!$C$4*('Data Input'!C80+2)</f>
        <v>33713.369102884826</v>
      </c>
      <c r="J21" s="6">
        <f>'Tax Information'!E44</f>
        <v>2216.165825757158</v>
      </c>
      <c r="K21" s="6">
        <f>'Tax Information'!C44</f>
        <v>7106.4396905293224</v>
      </c>
      <c r="L21" s="18">
        <f>(0.01+0.0765)*(Table1[[#This Row],[Column2]]+Table1[[#This Row],[Column4]]+Table1[[#This Row],[Column5]])</f>
        <v>7549.1981489381124</v>
      </c>
      <c r="M21" s="6">
        <f>(Table1[[#This Row],[Column2]]+Table1[[#This Row],[Column4]]+Table1[[#This Row],[Column5]])</f>
        <v>87273.967039746974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70402.163374522381</v>
      </c>
      <c r="O21" s="7">
        <f>1-(Table1[[#This Row],[Column13]]/Table1[[#This Row],[Column12]])</f>
        <v>0.19332000409172079</v>
      </c>
      <c r="P2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Input'!$F$10)+P20</f>
        <v>190579.70288534719</v>
      </c>
      <c r="Q21" s="6">
        <f>Table1[[#This Row],[Column12]]/12</f>
        <v>7272.8305866455812</v>
      </c>
      <c r="R21" s="6">
        <f>Table1[[#This Row],[Column13]]/12</f>
        <v>5866.8469478768648</v>
      </c>
      <c r="S21" s="18">
        <f>Table1[[#This Row],[Column13]]/'Data Input'!$I$5</f>
        <v>2933.4234739384324</v>
      </c>
      <c r="T2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Sheet'!B25/12,'Mortgage Sheet'!$K$2))</f>
        <v>3357.1857660150531</v>
      </c>
      <c r="U21" s="18">
        <f>Spending!T22+12*(Table1[[#This Row],[Column17]]-Table1[[#This Row],[Column19]])+IF(Table1[[#This Row],[Column1]]='Data Input'!$I$4,'Data Input'!$C$44,0)</f>
        <v>74963.330886316442</v>
      </c>
      <c r="V21" s="14">
        <f>Table1[[#This Row],[Column17]]-Table1[[#This Row],[Column20]]/12</f>
        <v>-380.09729264950511</v>
      </c>
      <c r="W21" s="18">
        <f>W20+12*Table1[[#This Row],[Column21]]</f>
        <v>-438579.01576929388</v>
      </c>
    </row>
    <row r="22" spans="1:31">
      <c r="A22" s="16">
        <f t="shared" si="0"/>
        <v>2036</v>
      </c>
      <c r="B22" s="11">
        <f>IF('Data Input'!$C$16+'Data Input'!$I$3&gt;Table1[[#This Row],[Column1]],('Data Input'!$C$6)*(1+'Data Input'!$C$15)^(Table1[[#This Row],[Column1]]-'Data Input'!$I$3),0)</f>
        <v>87644.925721336855</v>
      </c>
      <c r="C2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2" s="11">
        <f>IF('Data Input'!$F$16+'Data Input'!$I$3&gt;Table1[[#This Row],[Column1]],('Data Input'!$F$6)*(1+'Data Input'!$F$15)^(Table1[[#This Row],[Column1]]-'Data Input'!$I$3),0)</f>
        <v>0</v>
      </c>
      <c r="F22" s="11">
        <f>Table1[[#This Row],[Column2]]+Table1[[#This Row],[Column4]]+Table1[[#This Row],[Column5]]-Table1[[#This Row],[Column3]]-Table1[[#This Row],[Column23]]</f>
        <v>75515.46040540078</v>
      </c>
      <c r="G22" s="11">
        <f>Table1[[#This Row],[Column2]]+Table1[[#This Row],[Column4]]+Table1[[#This Row],[Column5]]-Table1[[#This Row],[Column3]]-Table1[[#This Row],[Column8]]</f>
        <v>57296.812781076733</v>
      </c>
      <c r="H22" s="11">
        <f>IF(Table1[[#This Row],[Column1]]&lt;'Data Input'!$I$4,MAX('Tax Information'!$C$15+'Data Input'!C81*'Tax Information'!$C$5,Spending!P23+'Student Loans'!B26),MAX('Tax Information'!$C$15+'Data Input'!C81*'Tax Information'!$C$5,'Mortgage Sheet'!C26+Spending!P23+'Student Loans'!C26))+'Tax Information'!$C$13*('Data Input'!C81+2)</f>
        <v>15129.465315936075</v>
      </c>
      <c r="I22" s="11">
        <f>IF(Table1[[#This Row],[Column1]]&lt;'Data Input'!$I$4,MAX('Tax Information'!$C$6+'Data Input'!C81*'Tax Information'!$C$5,Table1[[#This Row],[Column9]]+Spending!P23+'Student Loans'!C26),MAX('Tax Information'!$C$6+'Data Input'!C81*'Tax Information'!$C$5,'Mortgage Sheet'!C26+Table1[[#This Row],[Column9]]+Spending!P23+'Student Loans'!C26))+'Tax Information'!$C$4*('Data Input'!C81+2)</f>
        <v>33348.112940260122</v>
      </c>
      <c r="J22" s="6">
        <f>'Tax Information'!E45</f>
        <v>2454.6476243240468</v>
      </c>
      <c r="K22" s="6">
        <f>'Tax Information'!C45</f>
        <v>7666.8719171615094</v>
      </c>
      <c r="L22" s="18">
        <f>(0.01+0.0765)*(Table1[[#This Row],[Column2]]+Table1[[#This Row],[Column4]]+Table1[[#This Row],[Column5]])</f>
        <v>7840.7860748956373</v>
      </c>
      <c r="M22" s="6">
        <f>(Table1[[#This Row],[Column2]]+Table1[[#This Row],[Column4]]+Table1[[#This Row],[Column5]])</f>
        <v>90644.925721336855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72682.620104955655</v>
      </c>
      <c r="O22" s="7">
        <f>1-(Table1[[#This Row],[Column13]]/Table1[[#This Row],[Column12]])</f>
        <v>0.19816118192430776</v>
      </c>
      <c r="P2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Input'!$F$10)+P21</f>
        <v>204602.89100076107</v>
      </c>
      <c r="Q22" s="6">
        <f>Table1[[#This Row],[Column12]]/12</f>
        <v>7553.7438101114049</v>
      </c>
      <c r="R22" s="6">
        <f>Table1[[#This Row],[Column13]]/12</f>
        <v>6056.8850087463043</v>
      </c>
      <c r="S22" s="18">
        <f>Table1[[#This Row],[Column13]]/'Data Input'!$I$5</f>
        <v>3028.4425043731521</v>
      </c>
      <c r="T2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Sheet'!B26/12,'Mortgage Sheet'!$K$2))</f>
        <v>3547.2238268844926</v>
      </c>
      <c r="U22" s="18">
        <f>Spending!T23+12*(Table1[[#This Row],[Column17]]-Table1[[#This Row],[Column19]])+IF(Table1[[#This Row],[Column1]]='Data Input'!$I$4,'Data Input'!$C$44,0)</f>
        <v>75300.426754475426</v>
      </c>
      <c r="V22" s="14">
        <f>Table1[[#This Row],[Column17]]-Table1[[#This Row],[Column20]]/12</f>
        <v>-218.15055412664788</v>
      </c>
      <c r="W22" s="18">
        <f>W21+12*Table1[[#This Row],[Column21]]</f>
        <v>-441196.82241881365</v>
      </c>
    </row>
    <row r="23" spans="1:31">
      <c r="A23" s="16">
        <f t="shared" si="0"/>
        <v>2037</v>
      </c>
      <c r="B23" s="11">
        <f>IF('Data Input'!$C$16+'Data Input'!$I$3&gt;Table1[[#This Row],[Column1]],('Data Input'!$C$6)*(1+'Data Input'!$C$15)^(Table1[[#This Row],[Column1]]-'Data Input'!$I$3),0)</f>
        <v>91150.722750190354</v>
      </c>
      <c r="C2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3" s="11">
        <f>IF('Data Input'!$F$16+'Data Input'!$I$3&gt;Table1[[#This Row],[Column1]],('Data Input'!$F$6)*(1+'Data Input'!$F$15)^(Table1[[#This Row],[Column1]]-'Data Input'!$I$3),0)</f>
        <v>0</v>
      </c>
      <c r="F23" s="11">
        <f>Table1[[#This Row],[Column2]]+Table1[[#This Row],[Column4]]+Table1[[#This Row],[Column5]]-Table1[[#This Row],[Column3]]-Table1[[#This Row],[Column23]]</f>
        <v>79649.592611504064</v>
      </c>
      <c r="G23" s="11">
        <f>Table1[[#This Row],[Column2]]+Table1[[#This Row],[Column4]]+Table1[[#This Row],[Column5]]-Table1[[#This Row],[Column3]]-Table1[[#This Row],[Column8]]</f>
        <v>61182.897054813824</v>
      </c>
      <c r="H23" s="11">
        <f>IF(Table1[[#This Row],[Column1]]&lt;'Data Input'!$I$4,MAX('Tax Information'!$C$15+'Data Input'!C82*'Tax Information'!$C$5,Spending!P24+'Student Loans'!B27),MAX('Tax Information'!$C$15+'Data Input'!C82*'Tax Information'!$C$5,'Mortgage Sheet'!C27+Spending!P24+'Student Loans'!C27))+'Tax Information'!$C$13*('Data Input'!C82+2)</f>
        <v>14501.130138686289</v>
      </c>
      <c r="I23" s="11">
        <f>IF(Table1[[#This Row],[Column1]]&lt;'Data Input'!$I$4,MAX('Tax Information'!$C$6+'Data Input'!C82*'Tax Information'!$C$5,Table1[[#This Row],[Column9]]+Spending!P24+'Student Loans'!C27),MAX('Tax Information'!$C$6+'Data Input'!C82*'Tax Information'!$C$5,'Mortgage Sheet'!C27+Table1[[#This Row],[Column9]]+Spending!P24+'Student Loans'!C27))+'Tax Information'!$C$4*('Data Input'!C82+2)</f>
        <v>32967.82569537653</v>
      </c>
      <c r="J23" s="6">
        <f>'Tax Information'!E46</f>
        <v>2702.6955566902434</v>
      </c>
      <c r="K23" s="6">
        <f>'Tax Information'!C46</f>
        <v>8249.7845582220725</v>
      </c>
      <c r="L23" s="18">
        <f>(0.01+0.0765)*(Table1[[#This Row],[Column2]]+Table1[[#This Row],[Column4]]+Table1[[#This Row],[Column5]])</f>
        <v>8144.0375178914646</v>
      </c>
      <c r="M23" s="6">
        <f>(Table1[[#This Row],[Column2]]+Table1[[#This Row],[Column4]]+Table1[[#This Row],[Column5]])</f>
        <v>94150.722750190354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75054.205117386577</v>
      </c>
      <c r="O23" s="7">
        <f>1-(Table1[[#This Row],[Column13]]/Table1[[#This Row],[Column12]])</f>
        <v>0.20282921973389911</v>
      </c>
      <c r="P2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Input'!$F$10)+P22</f>
        <v>219187.00664079151</v>
      </c>
      <c r="Q23" s="6">
        <f>Table1[[#This Row],[Column12]]/12</f>
        <v>7845.8935625158629</v>
      </c>
      <c r="R23" s="6">
        <f>Table1[[#This Row],[Column13]]/12</f>
        <v>6254.5170931155481</v>
      </c>
      <c r="S23" s="18">
        <f>Table1[[#This Row],[Column13]]/'Data Input'!$I$5</f>
        <v>3127.258546557774</v>
      </c>
      <c r="T2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Sheet'!B27/12,'Mortgage Sheet'!$K$2))</f>
        <v>3744.8559112537364</v>
      </c>
      <c r="U23" s="18">
        <f>Spending!T24+12*(Table1[[#This Row],[Column17]]-Table1[[#This Row],[Column19]])+IF(Table1[[#This Row],[Column1]]='Data Input'!$I$4,'Data Input'!$C$44,0)</f>
        <v>75651.006457360781</v>
      </c>
      <c r="V23" s="14">
        <f>Table1[[#This Row],[Column17]]-Table1[[#This Row],[Column20]]/12</f>
        <v>-49.733444997850711</v>
      </c>
      <c r="W23" s="18">
        <f>W22+12*Table1[[#This Row],[Column21]]</f>
        <v>-441793.62375878787</v>
      </c>
    </row>
    <row r="24" spans="1:31">
      <c r="A24" s="16">
        <f t="shared" si="0"/>
        <v>2038</v>
      </c>
      <c r="B24" s="11">
        <f>IF('Data Input'!$C$16+'Data Input'!$I$3&gt;Table1[[#This Row],[Column1]],('Data Input'!$C$6)*(1+'Data Input'!$C$15)^(Table1[[#This Row],[Column1]]-'Data Input'!$I$3),0)</f>
        <v>94796.751660197959</v>
      </c>
      <c r="C2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4" s="11">
        <f>IF('Data Input'!$F$16+'Data Input'!$I$3&gt;Table1[[#This Row],[Column1]],('Data Input'!$F$6)*(1+'Data Input'!$F$15)^(Table1[[#This Row],[Column1]]-'Data Input'!$I$3),0)</f>
        <v>0</v>
      </c>
      <c r="F24" s="11">
        <f>Table1[[#This Row],[Column2]]+Table1[[#This Row],[Column4]]+Table1[[#This Row],[Column5]]-Table1[[#This Row],[Column3]]-Table1[[#This Row],[Column23]]</f>
        <v>84167.556043353397</v>
      </c>
      <c r="G24" s="11">
        <f>Table1[[#This Row],[Column2]]+Table1[[#This Row],[Column4]]+Table1[[#This Row],[Column5]]-Table1[[#This Row],[Column3]]-Table1[[#This Row],[Column8]]</f>
        <v>73259.351559885123</v>
      </c>
      <c r="H24" s="11">
        <f>IF(Table1[[#This Row],[Column1]]&lt;'Data Input'!$I$4,MAX('Tax Information'!$C$15+'Data Input'!C83*'Tax Information'!$C$5,Spending!P25+'Student Loans'!B28),MAX('Tax Information'!$C$15+'Data Input'!C83*'Tax Information'!$C$5,'Mortgage Sheet'!C28+Spending!P25+'Student Loans'!C28))+'Tax Information'!$C$13*('Data Input'!C83+2)</f>
        <v>13629.195616844569</v>
      </c>
      <c r="I24" s="11">
        <f>IF(Table1[[#This Row],[Column1]]&lt;'Data Input'!$I$4,MAX('Tax Information'!$C$6+'Data Input'!C83*'Tax Information'!$C$5,Table1[[#This Row],[Column9]]+Spending!P25+'Student Loans'!C28),MAX('Tax Information'!$C$6+'Data Input'!C83*'Tax Information'!$C$5,'Mortgage Sheet'!C28+Table1[[#This Row],[Column9]]+Spending!P25+'Student Loans'!C28))+'Tax Information'!$C$4*('Data Input'!C83+2)</f>
        <v>24537.40010031284</v>
      </c>
      <c r="J24" s="6">
        <f>'Tax Information'!E47</f>
        <v>3026.204483468272</v>
      </c>
      <c r="K24" s="6">
        <f>'Tax Information'!C47</f>
        <v>10061.252733982768</v>
      </c>
      <c r="L24" s="18">
        <f>(0.01+0.0765)*(Table1[[#This Row],[Column2]]+Table1[[#This Row],[Column4]]+Table1[[#This Row],[Column5]])</f>
        <v>8459.4190186071228</v>
      </c>
      <c r="M24" s="6">
        <f>(Table1[[#This Row],[Column2]]+Table1[[#This Row],[Column4]]+Table1[[#This Row],[Column5]])</f>
        <v>97796.751660197959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76249.875424139798</v>
      </c>
      <c r="O24" s="7">
        <f>1-(Table1[[#This Row],[Column13]]/Table1[[#This Row],[Column12]])</f>
        <v>0.2203230257680171</v>
      </c>
      <c r="P2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Input'!$F$10)+P23</f>
        <v>234354.48690642318</v>
      </c>
      <c r="Q24" s="6">
        <f>Table1[[#This Row],[Column12]]/12</f>
        <v>8149.7293050164963</v>
      </c>
      <c r="R24" s="6">
        <f>Table1[[#This Row],[Column13]]/12</f>
        <v>6354.1562853449832</v>
      </c>
      <c r="S24" s="18">
        <f>Table1[[#This Row],[Column13]]/'Data Input'!$I$5</f>
        <v>3177.0781426724916</v>
      </c>
      <c r="T2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Sheet'!B28/12,'Mortgage Sheet'!$K$2))</f>
        <v>3844.4951034831715</v>
      </c>
      <c r="U24" s="18">
        <f>Spending!T25+12*(Table1[[#This Row],[Column17]]-Table1[[#This Row],[Column19]])+IF(Table1[[#This Row],[Column1]]='Data Input'!$I$4,'Data Input'!$C$44,0)</f>
        <v>76015.60934836154</v>
      </c>
      <c r="V24" s="14">
        <f>Table1[[#This Row],[Column17]]-Table1[[#This Row],[Column20]]/12</f>
        <v>19.52217298152118</v>
      </c>
      <c r="W24" s="18">
        <f>W23+12*Table1[[#This Row],[Column21]]</f>
        <v>-441559.35768300964</v>
      </c>
    </row>
    <row r="25" spans="1:31">
      <c r="A25" s="16">
        <f t="shared" si="0"/>
        <v>2039</v>
      </c>
      <c r="B25" s="11">
        <f>IF('Data Input'!$C$16+'Data Input'!$I$3&gt;Table1[[#This Row],[Column1]],('Data Input'!$C$6)*(1+'Data Input'!$C$15)^(Table1[[#This Row],[Column1]]-'Data Input'!$I$3),0)</f>
        <v>98588.621726605867</v>
      </c>
      <c r="C2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5" s="11">
        <f>IF('Data Input'!$F$16+'Data Input'!$I$3&gt;Table1[[#This Row],[Column1]],('Data Input'!$F$6)*(1+'Data Input'!$F$15)^(Table1[[#This Row],[Column1]]-'Data Input'!$I$3),0)</f>
        <v>0</v>
      </c>
      <c r="F25" s="11">
        <f>Table1[[#This Row],[Column2]]+Table1[[#This Row],[Column4]]+Table1[[#This Row],[Column5]]-Table1[[#This Row],[Column3]]-Table1[[#This Row],[Column23]]</f>
        <v>88640.002932991367</v>
      </c>
      <c r="G25" s="11">
        <f>Table1[[#This Row],[Column2]]+Table1[[#This Row],[Column4]]+Table1[[#This Row],[Column5]]-Table1[[#This Row],[Column3]]-Table1[[#This Row],[Column8]]</f>
        <v>77374.002698352051</v>
      </c>
      <c r="H25" s="11">
        <f>IF(Table1[[#This Row],[Column1]]&lt;'Data Input'!$I$4,MAX('Tax Information'!$C$15+'Data Input'!C84*'Tax Information'!$C$5,Spending!P26+'Student Loans'!B29),MAX('Tax Information'!$C$15+'Data Input'!C84*'Tax Information'!$C$5,'Mortgage Sheet'!C29+Spending!P26+'Student Loans'!C29))+'Tax Information'!$C$13*('Data Input'!C84+2)</f>
        <v>12948.618793614503</v>
      </c>
      <c r="I25" s="11">
        <f>IF(Table1[[#This Row],[Column1]]&lt;'Data Input'!$I$4,MAX('Tax Information'!$C$6+'Data Input'!C84*'Tax Information'!$C$5,Table1[[#This Row],[Column9]]+Spending!P26+'Student Loans'!C29),MAX('Tax Information'!$C$6+'Data Input'!C84*'Tax Information'!$C$5,'Mortgage Sheet'!C29+Table1[[#This Row],[Column9]]+Spending!P26+'Student Loans'!C29))+'Tax Information'!$C$4*('Data Input'!C84+2)</f>
        <v>24214.619028253812</v>
      </c>
      <c r="J25" s="6">
        <f>'Tax Information'!E48</f>
        <v>3384.0002346393094</v>
      </c>
      <c r="K25" s="6">
        <f>'Tax Information'!C48</f>
        <v>10885.750674588013</v>
      </c>
      <c r="L25" s="18">
        <f>(0.01+0.0765)*(Table1[[#This Row],[Column2]]+Table1[[#This Row],[Column4]]+Table1[[#This Row],[Column5]])</f>
        <v>8787.4157793514059</v>
      </c>
      <c r="M25" s="6">
        <f>(Table1[[#This Row],[Column2]]+Table1[[#This Row],[Column4]]+Table1[[#This Row],[Column5]])</f>
        <v>101588.62172660587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78531.455038027139</v>
      </c>
      <c r="O25" s="7">
        <f>1-(Table1[[#This Row],[Column13]]/Table1[[#This Row],[Column12]])</f>
        <v>0.22696603513954461</v>
      </c>
      <c r="P2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Input'!$F$10)+P24</f>
        <v>250128.66638268012</v>
      </c>
      <c r="Q25" s="6">
        <f>Table1[[#This Row],[Column12]]/12</f>
        <v>8465.7184772171549</v>
      </c>
      <c r="R25" s="6">
        <f>Table1[[#This Row],[Column13]]/12</f>
        <v>6544.2879198355949</v>
      </c>
      <c r="S25" s="18">
        <f>Table1[[#This Row],[Column13]]/'Data Input'!$I$5</f>
        <v>3272.1439599177975</v>
      </c>
      <c r="T2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Sheet'!B29/12,'Mortgage Sheet'!$K$2))</f>
        <v>4034.6267379737833</v>
      </c>
      <c r="U25" s="18">
        <f>Spending!T26+12*(Table1[[#This Row],[Column17]]-Table1[[#This Row],[Column19]])+IF(Table1[[#This Row],[Column1]]='Data Input'!$I$4,'Data Input'!$C$44,0)</f>
        <v>76394.796355002327</v>
      </c>
      <c r="V25" s="14">
        <f>Table1[[#This Row],[Column17]]-Table1[[#This Row],[Column20]]/12</f>
        <v>178.05489025206771</v>
      </c>
      <c r="W25" s="18">
        <f>W24+12*Table1[[#This Row],[Column21]]</f>
        <v>-439422.69899998483</v>
      </c>
    </row>
    <row r="26" spans="1:31">
      <c r="A26" s="16">
        <f t="shared" si="0"/>
        <v>2040</v>
      </c>
      <c r="B26" s="11">
        <f>IF('Data Input'!$C$16+'Data Input'!$I$3&gt;Table1[[#This Row],[Column1]],('Data Input'!$C$6)*(1+'Data Input'!$C$15)^(Table1[[#This Row],[Column1]]-'Data Input'!$I$3),0)</f>
        <v>102532.1665956701</v>
      </c>
      <c r="C2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6" s="11">
        <f>IF('Data Input'!$F$16+'Data Input'!$I$3&gt;Table1[[#This Row],[Column1]],('Data Input'!$F$6)*(1+'Data Input'!$F$15)^(Table1[[#This Row],[Column1]]-'Data Input'!$I$3),0)</f>
        <v>0</v>
      </c>
      <c r="F26" s="11">
        <f>Table1[[#This Row],[Column2]]+Table1[[#This Row],[Column4]]+Table1[[#This Row],[Column5]]-Table1[[#This Row],[Column3]]-Table1[[#This Row],[Column23]]</f>
        <v>93182.852375139511</v>
      </c>
      <c r="G26" s="11">
        <f>Table1[[#This Row],[Column2]]+Table1[[#This Row],[Column4]]+Table1[[#This Row],[Column5]]-Table1[[#This Row],[Column3]]-Table1[[#This Row],[Column8]]</f>
        <v>77612.424185128359</v>
      </c>
      <c r="H26" s="11">
        <f>IF(Table1[[#This Row],[Column1]]&lt;'Data Input'!$I$4,MAX('Tax Information'!$C$15+'Data Input'!C85*'Tax Information'!$C$5,Spending!P27+'Student Loans'!B30),MAX('Tax Information'!$C$15+'Data Input'!C85*'Tax Information'!$C$5,'Mortgage Sheet'!C30+Spending!P27+'Student Loans'!C30))+'Tax Information'!$C$13*('Data Input'!C85+2)</f>
        <v>12349.314220530592</v>
      </c>
      <c r="I26" s="11">
        <f>IF(Table1[[#This Row],[Column1]]&lt;'Data Input'!$I$4,MAX('Tax Information'!$C$6+'Data Input'!C85*'Tax Information'!$C$5,Table1[[#This Row],[Column9]]+Spending!P27+'Student Loans'!C30),MAX('Tax Information'!$C$6+'Data Input'!C85*'Tax Information'!$C$5,'Mortgage Sheet'!C30+Table1[[#This Row],[Column9]]+Spending!P27+'Student Loans'!C30))+'Tax Information'!$C$4*('Data Input'!C85+2)</f>
        <v>27919.742410541752</v>
      </c>
      <c r="J26" s="6">
        <f>'Tax Information'!E49</f>
        <v>3747.428190011161</v>
      </c>
      <c r="K26" s="6">
        <f>'Tax Information'!C49</f>
        <v>10945.35604628209</v>
      </c>
      <c r="L26" s="18">
        <f>(0.01+0.0765)*(Table1[[#This Row],[Column2]]+Table1[[#This Row],[Column4]]+Table1[[#This Row],[Column5]])</f>
        <v>9128.532410525464</v>
      </c>
      <c r="M26" s="6">
        <f>(Table1[[#This Row],[Column2]]+Table1[[#This Row],[Column4]]+Table1[[#This Row],[Column5]])</f>
        <v>105532.1665956701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81710.849948851392</v>
      </c>
      <c r="O26" s="7">
        <f>1-(Table1[[#This Row],[Column13]]/Table1[[#This Row],[Column12]])</f>
        <v>0.22572564759412495</v>
      </c>
      <c r="P2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Input'!$F$10)+P25</f>
        <v>266533.81303798733</v>
      </c>
      <c r="Q26" s="6">
        <f>Table1[[#This Row],[Column12]]/12</f>
        <v>8794.3472163058414</v>
      </c>
      <c r="R26" s="6">
        <f>Table1[[#This Row],[Column13]]/12</f>
        <v>6809.237495737616</v>
      </c>
      <c r="S26" s="18">
        <f>Table1[[#This Row],[Column13]]/'Data Input'!$I$5</f>
        <v>3404.618747868808</v>
      </c>
      <c r="T2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Sheet'!B30/12,'Mortgage Sheet'!$K$2))</f>
        <v>4299.5763138758048</v>
      </c>
      <c r="U26" s="18">
        <f>Spending!T27+12*(Table1[[#This Row],[Column17]]-Table1[[#This Row],[Column19]])+IF(Table1[[#This Row],[Column1]]='Data Input'!$I$4,'Data Input'!$C$44,0)</f>
        <v>76789.150841908748</v>
      </c>
      <c r="V26" s="14">
        <f>Table1[[#This Row],[Column17]]-Table1[[#This Row],[Column20]]/12</f>
        <v>410.14159224522064</v>
      </c>
      <c r="W26" s="18">
        <f>W25+12*Table1[[#This Row],[Column21]]</f>
        <v>-434500.9998930422</v>
      </c>
    </row>
    <row r="27" spans="1:31">
      <c r="A27" s="16">
        <f t="shared" si="0"/>
        <v>2041</v>
      </c>
      <c r="B27" s="11">
        <f>IF('Data Input'!$C$16+'Data Input'!$I$3&gt;Table1[[#This Row],[Column1]],('Data Input'!$C$6)*(1+'Data Input'!$C$15)^(Table1[[#This Row],[Column1]]-'Data Input'!$I$3),0)</f>
        <v>106633.45325949694</v>
      </c>
      <c r="C2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7" s="11">
        <f>IF('Data Input'!$F$16+'Data Input'!$I$3&gt;Table1[[#This Row],[Column1]],('Data Input'!$F$6)*(1+'Data Input'!$F$15)^(Table1[[#This Row],[Column1]]-'Data Input'!$I$3),0)</f>
        <v>0</v>
      </c>
      <c r="F27" s="11">
        <f>Table1[[#This Row],[Column2]]+Table1[[#This Row],[Column4]]+Table1[[#This Row],[Column5]]-Table1[[#This Row],[Column3]]-Table1[[#This Row],[Column23]]</f>
        <v>98021.301033214841</v>
      </c>
      <c r="G27" s="11">
        <f>Table1[[#This Row],[Column2]]+Table1[[#This Row],[Column4]]+Table1[[#This Row],[Column5]]-Table1[[#This Row],[Column3]]-Table1[[#This Row],[Column8]]</f>
        <v>82063.796950557648</v>
      </c>
      <c r="H27" s="11">
        <f>IF(Table1[[#This Row],[Column1]]&lt;'Data Input'!$I$4,MAX('Tax Information'!$C$15+'Data Input'!C86*'Tax Information'!$C$5,Spending!P28+'Student Loans'!B31),MAX('Tax Information'!$C$15+'Data Input'!C86*'Tax Information'!$C$5,'Mortgage Sheet'!C31+Spending!P28+'Student Loans'!C31))+'Tax Information'!$C$13*('Data Input'!C86+2)</f>
        <v>11612.152226282102</v>
      </c>
      <c r="I27" s="11">
        <f>IF(Table1[[#This Row],[Column1]]&lt;'Data Input'!$I$4,MAX('Tax Information'!$C$6+'Data Input'!C86*'Tax Information'!$C$5,Table1[[#This Row],[Column9]]+Spending!P28+'Student Loans'!C31),MAX('Tax Information'!$C$6+'Data Input'!C86*'Tax Information'!$C$5,'Mortgage Sheet'!C31+Table1[[#This Row],[Column9]]+Spending!P28+'Student Loans'!C31))+'Tax Information'!$C$4*('Data Input'!C86+2)</f>
        <v>27569.656308939288</v>
      </c>
      <c r="J27" s="6">
        <f>'Tax Information'!E50</f>
        <v>4134.5040826571876</v>
      </c>
      <c r="K27" s="6">
        <f>'Tax Information'!C50</f>
        <v>12058.199237639412</v>
      </c>
      <c r="L27" s="18">
        <f>(0.01+0.0765)*(Table1[[#This Row],[Column2]]+Table1[[#This Row],[Column4]]+Table1[[#This Row],[Column5]])</f>
        <v>9483.2937069464842</v>
      </c>
      <c r="M27" s="6">
        <f>(Table1[[#This Row],[Column2]]+Table1[[#This Row],[Column4]]+Table1[[#This Row],[Column5]])</f>
        <v>109633.45325949694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83957.456232253855</v>
      </c>
      <c r="O27" s="7">
        <f>1-(Table1[[#This Row],[Column13]]/Table1[[#This Row],[Column12]])</f>
        <v>0.23419856133208972</v>
      </c>
      <c r="P2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Input'!$F$10)+P26</f>
        <v>283595.16555950686</v>
      </c>
      <c r="Q27" s="6">
        <f>Table1[[#This Row],[Column12]]/12</f>
        <v>9136.1211049580779</v>
      </c>
      <c r="R27" s="6">
        <f>Table1[[#This Row],[Column13]]/12</f>
        <v>6996.4546860211549</v>
      </c>
      <c r="S27" s="18">
        <f>Table1[[#This Row],[Column13]]/'Data Input'!$I$5</f>
        <v>3498.2273430105774</v>
      </c>
      <c r="T2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Sheet'!B31/12,'Mortgage Sheet'!$K$2))</f>
        <v>4486.7935041593428</v>
      </c>
      <c r="U27" s="18">
        <f>Spending!T28+12*(Table1[[#This Row],[Column17]]-Table1[[#This Row],[Column19]])+IF(Table1[[#This Row],[Column1]]='Data Input'!$I$4,'Data Input'!$C$44,0)</f>
        <v>77199.279508291438</v>
      </c>
      <c r="V27" s="14">
        <f>Table1[[#This Row],[Column17]]-Table1[[#This Row],[Column20]]/12</f>
        <v>563.18139366353535</v>
      </c>
      <c r="W27" s="18">
        <f>W26+12*Table1[[#This Row],[Column21]]</f>
        <v>-427742.82316907978</v>
      </c>
      <c r="Z27" s="16"/>
    </row>
    <row r="28" spans="1:31">
      <c r="A28" s="16">
        <f t="shared" si="0"/>
        <v>2042</v>
      </c>
      <c r="B28" s="11">
        <f>IF('Data Input'!$C$16+'Data Input'!$I$3&gt;Table1[[#This Row],[Column1]],('Data Input'!$C$6)*(1+'Data Input'!$C$15)^(Table1[[#This Row],[Column1]]-'Data Input'!$I$3),0)</f>
        <v>110898.7913898768</v>
      </c>
      <c r="C2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8" s="11">
        <f>IF('Data Input'!$F$16+'Data Input'!$I$3&gt;Table1[[#This Row],[Column1]],('Data Input'!$F$6)*(1+'Data Input'!$F$15)^(Table1[[#This Row],[Column1]]-'Data Input'!$I$3),0)</f>
        <v>0</v>
      </c>
      <c r="F28" s="11">
        <f>Table1[[#This Row],[Column2]]+Table1[[#This Row],[Column4]]+Table1[[#This Row],[Column5]]-Table1[[#This Row],[Column3]]-Table1[[#This Row],[Column23]]</f>
        <v>103053.83427487071</v>
      </c>
      <c r="G28" s="11">
        <f>Table1[[#This Row],[Column2]]+Table1[[#This Row],[Column4]]+Table1[[#This Row],[Column5]]-Table1[[#This Row],[Column3]]-Table1[[#This Row],[Column8]]</f>
        <v>86693.72753288105</v>
      </c>
      <c r="H28" s="11">
        <f>IF(Table1[[#This Row],[Column1]]&lt;'Data Input'!$I$4,MAX('Tax Information'!$C$15+'Data Input'!C87*'Tax Information'!$C$5,Spending!P29+'Student Loans'!B32),MAX('Tax Information'!$C$15+'Data Input'!C87*'Tax Information'!$C$5,'Mortgage Sheet'!C32+Spending!P29+'Student Loans'!C32))+'Tax Information'!$C$13*('Data Input'!C87+2)</f>
        <v>10844.957115006098</v>
      </c>
      <c r="I28" s="11">
        <f>IF(Table1[[#This Row],[Column1]]&lt;'Data Input'!$I$4,MAX('Tax Information'!$C$6+'Data Input'!C87*'Tax Information'!$C$5,Table1[[#This Row],[Column9]]+Spending!P29+'Student Loans'!C32),MAX('Tax Information'!$C$6+'Data Input'!C87*'Tax Information'!$C$5,'Mortgage Sheet'!C32+Table1[[#This Row],[Column9]]+Spending!P29+'Student Loans'!C32))+'Tax Information'!$C$4*('Data Input'!C87+2)</f>
        <v>27205.063856995755</v>
      </c>
      <c r="J28" s="6">
        <f>'Tax Information'!E51</f>
        <v>4537.1067419896572</v>
      </c>
      <c r="K28" s="6">
        <f>'Tax Information'!C51</f>
        <v>13215.681883220263</v>
      </c>
      <c r="L28" s="18">
        <f>(0.01+0.0765)*(Table1[[#This Row],[Column2]]+Table1[[#This Row],[Column4]]+Table1[[#This Row],[Column5]])</f>
        <v>9852.2454552243435</v>
      </c>
      <c r="M28" s="6">
        <f>(Table1[[#This Row],[Column2]]+Table1[[#This Row],[Column4]]+Table1[[#This Row],[Column5]])</f>
        <v>113898.7913898768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86293.757309442532</v>
      </c>
      <c r="O28" s="7">
        <f>1-(Table1[[#This Row],[Column13]]/Table1[[#This Row],[Column12]])</f>
        <v>0.24236459178870418</v>
      </c>
      <c r="P2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Input'!$F$10)+P27</f>
        <v>301249.09304289945</v>
      </c>
      <c r="Q28" s="6">
        <f>Table1[[#This Row],[Column12]]/12</f>
        <v>9491.5659491564002</v>
      </c>
      <c r="R28" s="6">
        <f>Table1[[#This Row],[Column13]]/12</f>
        <v>7191.1464424535443</v>
      </c>
      <c r="S28" s="18">
        <f>Table1[[#This Row],[Column13]]/'Data Input'!$I$5</f>
        <v>3595.5732212267721</v>
      </c>
      <c r="T2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Sheet'!B32/12,'Mortgage Sheet'!$K$2))</f>
        <v>4681.4852605917331</v>
      </c>
      <c r="U28" s="18">
        <f>Spending!T29+12*(Table1[[#This Row],[Column17]]-Table1[[#This Row],[Column19]])+IF(Table1[[#This Row],[Column1]]='Data Input'!$I$4,'Data Input'!$C$44,0)</f>
        <v>77535.934182341734</v>
      </c>
      <c r="V28" s="14">
        <f>Table1[[#This Row],[Column17]]-Table1[[#This Row],[Column20]]/12</f>
        <v>729.81859392506612</v>
      </c>
      <c r="W28" s="18">
        <f>W27+12*Table1[[#This Row],[Column21]]</f>
        <v>-418985.00004197902</v>
      </c>
    </row>
    <row r="29" spans="1:31">
      <c r="A29" s="16">
        <f t="shared" si="0"/>
        <v>2043</v>
      </c>
      <c r="B29" s="11">
        <f>IF('Data Input'!$C$16+'Data Input'!$I$3&gt;Table1[[#This Row],[Column1]],('Data Input'!$C$6)*(1+'Data Input'!$C$15)^(Table1[[#This Row],[Column1]]-'Data Input'!$I$3),0)</f>
        <v>115334.74304547187</v>
      </c>
      <c r="C2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9" s="11">
        <f>IF('Data Input'!$F$16+'Data Input'!$I$3&gt;Table1[[#This Row],[Column1]],('Data Input'!$F$6)*(1+'Data Input'!$F$15)^(Table1[[#This Row],[Column1]]-'Data Input'!$I$3),0)</f>
        <v>0</v>
      </c>
      <c r="F29" s="11">
        <f>Table1[[#This Row],[Column2]]+Table1[[#This Row],[Column4]]+Table1[[#This Row],[Column5]]-Table1[[#This Row],[Column3]]-Table1[[#This Row],[Column23]]</f>
        <v>108288.23775429568</v>
      </c>
      <c r="G29" s="11">
        <f>Table1[[#This Row],[Column2]]+Table1[[#This Row],[Column4]]+Table1[[#This Row],[Column5]]-Table1[[#This Row],[Column3]]-Table1[[#This Row],[Column8]]</f>
        <v>91441.411643146188</v>
      </c>
      <c r="H29" s="11">
        <f>IF(Table1[[#This Row],[Column1]]&lt;'Data Input'!$I$4,MAX('Tax Information'!$C$15+'Data Input'!C88*'Tax Information'!$C$5,Spending!P30+'Student Loans'!B33),MAX('Tax Information'!$C$15+'Data Input'!C88*'Tax Information'!$C$5,'Mortgage Sheet'!C33+Spending!P30+'Student Loans'!C33))+'Tax Information'!$C$13*('Data Input'!C88+2)</f>
        <v>10046.505291176189</v>
      </c>
      <c r="I29" s="11">
        <f>IF(Table1[[#This Row],[Column1]]&lt;'Data Input'!$I$4,MAX('Tax Information'!$C$6+'Data Input'!C88*'Tax Information'!$C$5,Table1[[#This Row],[Column9]]+Spending!P30+'Student Loans'!C33),MAX('Tax Information'!$C$6+'Data Input'!C88*'Tax Information'!$C$5,'Mortgage Sheet'!C33+Table1[[#This Row],[Column9]]+Spending!P30+'Student Loans'!C33))+'Tax Information'!$C$4*('Data Input'!C88+2)</f>
        <v>26893.331402325686</v>
      </c>
      <c r="J29" s="6">
        <f>'Tax Information'!E52</f>
        <v>5023.8261111494985</v>
      </c>
      <c r="K29" s="6">
        <f>'Tax Information'!C52</f>
        <v>14402.602910786547</v>
      </c>
      <c r="L29" s="18">
        <f>(0.01+0.0765)*(Table1[[#This Row],[Column2]]+Table1[[#This Row],[Column4]]+Table1[[#This Row],[Column5]])</f>
        <v>10235.955273433316</v>
      </c>
      <c r="M29" s="6">
        <f>(Table1[[#This Row],[Column2]]+Table1[[#This Row],[Column4]]+Table1[[#This Row],[Column5]])</f>
        <v>118334.74304547187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88672.358750102518</v>
      </c>
      <c r="O29" s="7">
        <f>1-(Table1[[#This Row],[Column13]]/Table1[[#This Row],[Column12]])</f>
        <v>0.25066505011103246</v>
      </c>
      <c r="P2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Input'!$F$10)+P28</f>
        <v>319169.17762562778</v>
      </c>
      <c r="Q29" s="6">
        <f>Table1[[#This Row],[Column12]]/12</f>
        <v>9861.2285871226559</v>
      </c>
      <c r="R29" s="6">
        <f>Table1[[#This Row],[Column13]]/12</f>
        <v>7389.3632291752101</v>
      </c>
      <c r="S29" s="18">
        <f>Table1[[#This Row],[Column13]]/'Data Input'!$I$5</f>
        <v>3694.6816145876051</v>
      </c>
      <c r="T2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Sheet'!B33/12,'Mortgage Sheet'!$K$2))</f>
        <v>4879.702047313398</v>
      </c>
      <c r="U29" s="18">
        <f>Spending!T30+12*(Table1[[#This Row],[Column17]]-Table1[[#This Row],[Column19]])+IF(Table1[[#This Row],[Column1]]='Data Input'!$I$4,'Data Input'!$C$44,0)</f>
        <v>77535.934182341749</v>
      </c>
      <c r="V29" s="14">
        <f>Table1[[#This Row],[Column17]]-Table1[[#This Row],[Column20]]/12</f>
        <v>928.03538064673103</v>
      </c>
      <c r="W29" s="18">
        <f>W28+12*Table1[[#This Row],[Column21]]</f>
        <v>-407848.57547421823</v>
      </c>
    </row>
    <row r="30" spans="1:31">
      <c r="A30" s="16">
        <f t="shared" si="0"/>
        <v>2044</v>
      </c>
      <c r="B30" s="11">
        <f>IF('Data Input'!$C$16+'Data Input'!$I$3&gt;Table1[[#This Row],[Column1]],('Data Input'!$C$6)*(1+'Data Input'!$C$15)^(Table1[[#This Row],[Column1]]-'Data Input'!$I$3),0)</f>
        <v>119948.13276729078</v>
      </c>
      <c r="C3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0" s="11">
        <f>IF('Data Input'!$F$16+'Data Input'!$I$3&gt;Table1[[#This Row],[Column1]],('Data Input'!$F$6)*(1+'Data Input'!$F$15)^(Table1[[#This Row],[Column1]]-'Data Input'!$I$3),0)</f>
        <v>0</v>
      </c>
      <c r="F30" s="11">
        <f>Table1[[#This Row],[Column2]]+Table1[[#This Row],[Column4]]+Table1[[#This Row],[Column5]]-Table1[[#This Row],[Column3]]-Table1[[#This Row],[Column23]]</f>
        <v>113483.13276729078</v>
      </c>
      <c r="G30" s="11">
        <f>Table1[[#This Row],[Column2]]+Table1[[#This Row],[Column4]]+Table1[[#This Row],[Column5]]-Table1[[#This Row],[Column3]]-Table1[[#This Row],[Column8]]</f>
        <v>96402.658111836412</v>
      </c>
      <c r="H30" s="11">
        <f>IF(Table1[[#This Row],[Column1]]&lt;'Data Input'!$I$4,MAX('Tax Information'!$C$15+'Data Input'!C89*'Tax Information'!$C$5,Spending!P31+'Student Loans'!B34),MAX('Tax Information'!$C$15+'Data Input'!C89*'Tax Information'!$C$5,'Mortgage Sheet'!C34+Spending!P31+'Student Loans'!C34))+'Tax Information'!$C$13*('Data Input'!C89+2)</f>
        <v>9465</v>
      </c>
      <c r="I30" s="11">
        <f>IF(Table1[[#This Row],[Column1]]&lt;'Data Input'!$I$4,MAX('Tax Information'!$C$6+'Data Input'!C89*'Tax Information'!$C$5,Table1[[#This Row],[Column9]]+Spending!P31+'Student Loans'!C34),MAX('Tax Information'!$C$6+'Data Input'!C89*'Tax Information'!$C$5,'Mortgage Sheet'!C34+Table1[[#This Row],[Column9]]+Spending!P31+'Student Loans'!C34))+'Tax Information'!$C$4*('Data Input'!C89+2)</f>
        <v>26545.474655454374</v>
      </c>
      <c r="J30" s="18">
        <f>'Tax Information'!E53</f>
        <v>5506.9513473580428</v>
      </c>
      <c r="K30" s="6">
        <f>'Tax Information'!C53</f>
        <v>15642.914527959103</v>
      </c>
      <c r="L30" s="18">
        <f>(0.01+0.0765)*(Table1[[#This Row],[Column2]]+Table1[[#This Row],[Column4]]+Table1[[#This Row],[Column5]])</f>
        <v>10635.013484370651</v>
      </c>
      <c r="M30" s="6">
        <f>(Table1[[#This Row],[Column2]]+Table1[[#This Row],[Column4]]+Table1[[#This Row],[Column5]])</f>
        <v>122948.13276729078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91163.253407602984</v>
      </c>
      <c r="O30" s="7">
        <f>1-(Table1[[#This Row],[Column13]]/Table1[[#This Row],[Column12]])</f>
        <v>0.25852266841537486</v>
      </c>
      <c r="P3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Input'!$F$10)+P29</f>
        <v>337366.06559166522</v>
      </c>
      <c r="Q30" s="6">
        <f>Table1[[#This Row],[Column12]]/12</f>
        <v>10245.677730607566</v>
      </c>
      <c r="R30" s="6">
        <f>Table1[[#This Row],[Column13]]/12</f>
        <v>7596.937783966915</v>
      </c>
      <c r="S30" s="18">
        <f>Table1[[#This Row],[Column13]]/'Data Input'!$I$5</f>
        <v>3798.4688919834575</v>
      </c>
      <c r="T3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Sheet'!B34/12,'Mortgage Sheet'!$K$2))</f>
        <v>5087.2766021051029</v>
      </c>
      <c r="U30" s="18">
        <f>Spending!T31+12*(Table1[[#This Row],[Column17]]-Table1[[#This Row],[Column19]])+IF(Table1[[#This Row],[Column1]]='Data Input'!$I$4,'Data Input'!$C$44,0)</f>
        <v>77535.934182341749</v>
      </c>
      <c r="V30" s="14">
        <f>Table1[[#This Row],[Column17]]-Table1[[#This Row],[Column20]]/12</f>
        <v>1135.609935438436</v>
      </c>
      <c r="W30" s="18">
        <f>W29+12*Table1[[#This Row],[Column21]]</f>
        <v>-394221.25624895701</v>
      </c>
    </row>
    <row r="31" spans="1:31">
      <c r="A31" s="16">
        <f t="shared" si="0"/>
        <v>2045</v>
      </c>
      <c r="B31" s="11">
        <f>IF('Data Input'!$C$16+'Data Input'!$I$3&gt;Table1[[#This Row],[Column1]],('Data Input'!$C$6)*(1+'Data Input'!$C$15)^(Table1[[#This Row],[Column1]]-'Data Input'!$I$3),0)</f>
        <v>124746.05807798241</v>
      </c>
      <c r="C3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1" s="11">
        <f>IF('Data Input'!$F$16+'Data Input'!$I$3&gt;Table1[[#This Row],[Column1]],('Data Input'!$F$6)*(1+'Data Input'!$F$15)^(Table1[[#This Row],[Column1]]-'Data Input'!$I$3),0)</f>
        <v>0</v>
      </c>
      <c r="F31" s="11">
        <f>Table1[[#This Row],[Column2]]+Table1[[#This Row],[Column4]]+Table1[[#This Row],[Column5]]-Table1[[#This Row],[Column3]]-Table1[[#This Row],[Column23]]</f>
        <v>118281.05807798241</v>
      </c>
      <c r="G31" s="11">
        <f>Table1[[#This Row],[Column2]]+Table1[[#This Row],[Column4]]+Table1[[#This Row],[Column5]]-Table1[[#This Row],[Column3]]-Table1[[#This Row],[Column8]]</f>
        <v>101766.74096490521</v>
      </c>
      <c r="H31" s="11">
        <f>IF(Table1[[#This Row],[Column1]]&lt;'Data Input'!$I$4,MAX('Tax Information'!$C$15+'Data Input'!C90*'Tax Information'!$C$5,Spending!P32+'Student Loans'!B35),MAX('Tax Information'!$C$15+'Data Input'!C90*'Tax Information'!$C$5,'Mortgage Sheet'!C35+Spending!P32+'Student Loans'!C35))+'Tax Information'!$C$13*('Data Input'!C90+2)</f>
        <v>9465</v>
      </c>
      <c r="I31" s="11">
        <f>IF(Table1[[#This Row],[Column1]]&lt;'Data Input'!$I$4,MAX('Tax Information'!$C$6+'Data Input'!C90*'Tax Information'!$C$5,Table1[[#This Row],[Column9]]+Spending!P32+'Student Loans'!C35),MAX('Tax Information'!$C$6+'Data Input'!C90*'Tax Information'!$C$5,'Mortgage Sheet'!C35+Table1[[#This Row],[Column9]]+Spending!P32+'Student Loans'!C35))+'Tax Information'!$C$4*('Data Input'!C90+2)</f>
        <v>25979.317113077195</v>
      </c>
      <c r="J31" s="18">
        <f>'Tax Information'!E54</f>
        <v>5953.1584012523645</v>
      </c>
      <c r="K31" s="18">
        <f>'Tax Information'!C54</f>
        <v>16983.935241226303</v>
      </c>
      <c r="L31" s="18">
        <f>(0.01+0.0765)*(Table1[[#This Row],[Column2]]+Table1[[#This Row],[Column4]]+Table1[[#This Row],[Column5]])</f>
        <v>11050.034023745478</v>
      </c>
      <c r="M31" s="6">
        <f>(Table1[[#This Row],[Column2]]+Table1[[#This Row],[Column4]]+Table1[[#This Row],[Column5]])</f>
        <v>127746.05807798241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93758.930411758265</v>
      </c>
      <c r="O31" s="7">
        <f>1-(Table1[[#This Row],[Column13]]/Table1[[#This Row],[Column12]])</f>
        <v>0.26605226163203211</v>
      </c>
      <c r="P3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Input'!$F$10)+P30</f>
        <v>355850.82907634415</v>
      </c>
      <c r="Q31" s="6">
        <f>Table1[[#This Row],[Column12]]/12</f>
        <v>10645.504839831867</v>
      </c>
      <c r="R31" s="6">
        <f>Table1[[#This Row],[Column13]]/12</f>
        <v>7813.2442009798551</v>
      </c>
      <c r="S31" s="18">
        <f>Table1[[#This Row],[Column13]]/'Data Input'!$I$5</f>
        <v>3906.6221004899276</v>
      </c>
      <c r="T3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Sheet'!B35/12,'Mortgage Sheet'!$K$2))</f>
        <v>5462.7214509398618</v>
      </c>
      <c r="U31" s="18">
        <f>Spending!T32+12*(Table1[[#This Row],[Column17]]-Table1[[#This Row],[Column19]])+IF(Table1[[#This Row],[Column1]]='Data Input'!$I$4,'Data Input'!$C$44,0)</f>
        <v>75626.273000479923</v>
      </c>
      <c r="V31" s="14">
        <f>Table1[[#This Row],[Column17]]-Table1[[#This Row],[Column20]]/12</f>
        <v>1511.0547842731949</v>
      </c>
      <c r="W31" s="18">
        <f>W30+12*Table1[[#This Row],[Column21]]</f>
        <v>-376088.59883767867</v>
      </c>
    </row>
    <row r="32" spans="1:31">
      <c r="A32" s="16">
        <f t="shared" si="0"/>
        <v>2046</v>
      </c>
      <c r="B32" s="11">
        <f>IF('Data Input'!$C$16+'Data Input'!$I$3&gt;Table1[[#This Row],[Column1]],('Data Input'!$C$6)*(1+'Data Input'!$C$15)^(Table1[[#This Row],[Column1]]-'Data Input'!$I$3),0)</f>
        <v>129735.9004011017</v>
      </c>
      <c r="C3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2" s="11">
        <f>IF('Data Input'!$F$16+'Data Input'!$I$3&gt;Table1[[#This Row],[Column1]],('Data Input'!$F$6)*(1+'Data Input'!$F$15)^(Table1[[#This Row],[Column1]]-'Data Input'!$I$3),0)</f>
        <v>0</v>
      </c>
      <c r="F32" s="11">
        <f>Table1[[#This Row],[Column2]]+Table1[[#This Row],[Column4]]+Table1[[#This Row],[Column5]]-Table1[[#This Row],[Column3]]-Table1[[#This Row],[Column23]]</f>
        <v>124429.90040110168</v>
      </c>
      <c r="G32" s="11">
        <f>Table1[[#This Row],[Column2]]+Table1[[#This Row],[Column4]]+Table1[[#This Row],[Column5]]-Table1[[#This Row],[Column3]]-Table1[[#This Row],[Column8]]</f>
        <v>110308.87353687611</v>
      </c>
      <c r="H32" s="11">
        <f>IF(Table1[[#This Row],[Column1]]&lt;'Data Input'!$I$4,MAX('Tax Information'!$C$15+'Data Input'!C91*'Tax Information'!$C$5,Spending!P33+'Student Loans'!B36),MAX('Tax Information'!$C$15+'Data Input'!C91*'Tax Information'!$C$5,'Mortgage Sheet'!C36+Spending!P33+'Student Loans'!C36))+'Tax Information'!$C$13*('Data Input'!C91+2)</f>
        <v>8306</v>
      </c>
      <c r="I32" s="11">
        <f>IF(Table1[[#This Row],[Column1]]&lt;'Data Input'!$I$4,MAX('Tax Information'!$C$6+'Data Input'!C91*'Tax Information'!$C$5,Table1[[#This Row],[Column9]]+Spending!P33+'Student Loans'!C36),MAX('Tax Information'!$C$6+'Data Input'!C91*'Tax Information'!$C$5,'Mortgage Sheet'!C36+Table1[[#This Row],[Column9]]+Spending!P33+'Student Loans'!C36))+'Tax Information'!$C$4*('Data Input'!C91+2)</f>
        <v>22427.026864225561</v>
      </c>
      <c r="J32" s="18">
        <f>'Tax Information'!E55</f>
        <v>6525.0007373024564</v>
      </c>
      <c r="K32" s="18">
        <f>'Tax Information'!C55</f>
        <v>19119.468384219028</v>
      </c>
      <c r="L32" s="18">
        <f>(0.01+0.0765)*(Table1[[#This Row],[Column2]]+Table1[[#This Row],[Column4]]+Table1[[#This Row],[Column5]])</f>
        <v>11481.655384695294</v>
      </c>
      <c r="M32" s="18">
        <f>(Table1[[#This Row],[Column2]]+Table1[[#This Row],[Column4]]+Table1[[#This Row],[Column5]])</f>
        <v>132735.90040110168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95609.775894884893</v>
      </c>
      <c r="O32" s="7">
        <f>1-(Table1[[#This Row],[Column13]]/Table1[[#This Row],[Column12]])</f>
        <v>0.27969919512376806</v>
      </c>
      <c r="P3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Input'!$F$10)+P31</f>
        <v>374634.98310041026</v>
      </c>
      <c r="Q32" s="18">
        <f>Table1[[#This Row],[Column12]]/12</f>
        <v>11061.325033425141</v>
      </c>
      <c r="R32" s="18">
        <f>Table1[[#This Row],[Column13]]/12</f>
        <v>7967.4813245737414</v>
      </c>
      <c r="S32" s="18">
        <f>Table1[[#This Row],[Column13]]/'Data Input'!$I$5</f>
        <v>3983.7406622868707</v>
      </c>
      <c r="T3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Sheet'!B36/12,'Mortgage Sheet'!$K$2))</f>
        <v>5776.0970063555651</v>
      </c>
      <c r="U32" s="18">
        <f>Spending!T33+12*(Table1[[#This Row],[Column17]]-Table1[[#This Row],[Column19]])+IF(Table1[[#This Row],[Column1]]='Data Input'!$I$4,'Data Input'!$C$44,0)</f>
        <v>73716.611818618112</v>
      </c>
      <c r="V32" s="14">
        <f>Table1[[#This Row],[Column17]]-Table1[[#This Row],[Column20]]/12</f>
        <v>1824.430339688899</v>
      </c>
      <c r="W32" s="18">
        <f>W31+12*Table1[[#This Row],[Column21]]</f>
        <v>-354195.43476141186</v>
      </c>
    </row>
    <row r="33" spans="1:26">
      <c r="A33" s="16">
        <f t="shared" si="0"/>
        <v>2047</v>
      </c>
      <c r="B33" s="11">
        <f>IF('Data Input'!$C$16+'Data Input'!$I$3&gt;Table1[[#This Row],[Column1]],('Data Input'!$C$6)*(1+'Data Input'!$C$15)^(Table1[[#This Row],[Column1]]-'Data Input'!$I$3),0)</f>
        <v>134925.33641714577</v>
      </c>
      <c r="C3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3" s="11">
        <f>IF('Data Input'!$F$16+'Data Input'!$I$3&gt;Table1[[#This Row],[Column1]],('Data Input'!$F$6)*(1+'Data Input'!$F$15)^(Table1[[#This Row],[Column1]]-'Data Input'!$I$3),0)</f>
        <v>0</v>
      </c>
      <c r="F33" s="11">
        <f>Table1[[#This Row],[Column2]]+Table1[[#This Row],[Column4]]+Table1[[#This Row],[Column5]]-Table1[[#This Row],[Column3]]-Table1[[#This Row],[Column23]]</f>
        <v>129619.33641714577</v>
      </c>
      <c r="G33" s="11">
        <f>Table1[[#This Row],[Column2]]+Table1[[#This Row],[Column4]]+Table1[[#This Row],[Column5]]-Table1[[#This Row],[Column3]]-Table1[[#This Row],[Column8]]</f>
        <v>115090.07169694616</v>
      </c>
      <c r="H33" s="11">
        <f>IF(Table1[[#This Row],[Column1]]&lt;'Data Input'!$I$4,MAX('Tax Information'!$C$15+'Data Input'!C92*'Tax Information'!$C$5,Spending!P34+'Student Loans'!B37),MAX('Tax Information'!$C$15+'Data Input'!C92*'Tax Information'!$C$5,'Mortgage Sheet'!C37+Spending!P34+'Student Loans'!C37))+'Tax Information'!$C$13*('Data Input'!C92+2)</f>
        <v>8306</v>
      </c>
      <c r="I33" s="11">
        <f>IF(Table1[[#This Row],[Column1]]&lt;'Data Input'!$I$4,MAX('Tax Information'!$C$6+'Data Input'!C92*'Tax Information'!$C$5,Table1[[#This Row],[Column9]]+Spending!P34+'Student Loans'!C37),MAX('Tax Information'!$C$6+'Data Input'!C92*'Tax Information'!$C$5,'Mortgage Sheet'!C37+Table1[[#This Row],[Column9]]+Spending!P34+'Student Loans'!C37))+'Tax Information'!$C$4*('Data Input'!C92+2)</f>
        <v>22835.264720199601</v>
      </c>
      <c r="J33" s="18">
        <f>'Tax Information'!E56</f>
        <v>7007.6182867945563</v>
      </c>
      <c r="K33" s="18">
        <f>'Tax Information'!C56</f>
        <v>20314.767924236541</v>
      </c>
      <c r="L33" s="18">
        <f>(0.01+0.0765)*(Table1[[#This Row],[Column2]]+Table1[[#This Row],[Column4]]+Table1[[#This Row],[Column5]])</f>
        <v>11930.541600083108</v>
      </c>
      <c r="M33" s="18">
        <f>(Table1[[#This Row],[Column2]]+Table1[[#This Row],[Column4]]+Table1[[#This Row],[Column5]])</f>
        <v>137925.33641714577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98672.40860603156</v>
      </c>
      <c r="O33" s="7">
        <f>1-(Table1[[#This Row],[Column13]]/Table1[[#This Row],[Column12]])</f>
        <v>0.28459548354768127</v>
      </c>
      <c r="P3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Input'!$F$10)+P32</f>
        <v>393730.50328543899</v>
      </c>
      <c r="Q33" s="18">
        <f>Table1[[#This Row],[Column12]]/12</f>
        <v>11493.778034762146</v>
      </c>
      <c r="R33" s="18">
        <f>Table1[[#This Row],[Column13]]/12</f>
        <v>8222.7007171692967</v>
      </c>
      <c r="S33" s="18">
        <f>Table1[[#This Row],[Column13]]/'Data Input'!$I$5</f>
        <v>4111.3503585846483</v>
      </c>
      <c r="T3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Sheet'!B37/12,'Mortgage Sheet'!$K$2))</f>
        <v>6190.4548307729383</v>
      </c>
      <c r="U33" s="18">
        <f>Spending!T34+12*(Table1[[#This Row],[Column17]]-Table1[[#This Row],[Column19]])+IF(Table1[[#This Row],[Column1]]='Data Input'!$I$4,'Data Input'!$C$44,0)</f>
        <v>71806.950636756301</v>
      </c>
      <c r="V33" s="14">
        <f>Table1[[#This Row],[Column17]]-Table1[[#This Row],[Column20]]/12</f>
        <v>2238.7881641062713</v>
      </c>
      <c r="W33" s="18">
        <f>W32+12*Table1[[#This Row],[Column21]]</f>
        <v>-327329.97679213661</v>
      </c>
    </row>
    <row r="34" spans="1:26">
      <c r="A34" s="16">
        <f t="shared" si="0"/>
        <v>2048</v>
      </c>
      <c r="B34" s="11">
        <f>IF('Data Input'!$C$16+'Data Input'!$I$3&gt;Table1[[#This Row],[Column1]],('Data Input'!$C$6)*(1+'Data Input'!$C$15)^(Table1[[#This Row],[Column1]]-'Data Input'!$I$3),0)</f>
        <v>140322.34987383161</v>
      </c>
      <c r="C3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4" s="11">
        <f>IF('Data Input'!$F$16+'Data Input'!$I$3&gt;Table1[[#This Row],[Column1]],('Data Input'!$F$6)*(1+'Data Input'!$F$15)^(Table1[[#This Row],[Column1]]-'Data Input'!$I$3),0)</f>
        <v>0</v>
      </c>
      <c r="F34" s="11">
        <f>Table1[[#This Row],[Column2]]+Table1[[#This Row],[Column4]]+Table1[[#This Row],[Column5]]-Table1[[#This Row],[Column3]]-Table1[[#This Row],[Column23]]</f>
        <v>135016.34987383161</v>
      </c>
      <c r="G34" s="11">
        <f>Table1[[#This Row],[Column2]]+Table1[[#This Row],[Column4]]+Table1[[#This Row],[Column5]]-Table1[[#This Row],[Column3]]-Table1[[#This Row],[Column8]]</f>
        <v>120059.79052799002</v>
      </c>
      <c r="H34" s="11">
        <f>IF(Table1[[#This Row],[Column1]]&lt;'Data Input'!$I$4,MAX('Tax Information'!$C$15+'Data Input'!C93*'Tax Information'!$C$5,Spending!P35+'Student Loans'!B38),MAX('Tax Information'!$C$15+'Data Input'!C93*'Tax Information'!$C$5,'Mortgage Sheet'!C38+Spending!P35+'Student Loans'!C38))+'Tax Information'!$C$13*('Data Input'!C93+2)</f>
        <v>8306</v>
      </c>
      <c r="I34" s="11">
        <f>IF(Table1[[#This Row],[Column1]]&lt;'Data Input'!$I$4,MAX('Tax Information'!$C$6+'Data Input'!C93*'Tax Information'!$C$5,Table1[[#This Row],[Column9]]+Spending!P35+'Student Loans'!C38),MAX('Tax Information'!$C$6+'Data Input'!C93*'Tax Information'!$C$5,'Mortgage Sheet'!C38+Table1[[#This Row],[Column9]]+Spending!P35+'Student Loans'!C38))+'Tax Information'!$C$4*('Data Input'!C93+2)</f>
        <v>23262.559345841597</v>
      </c>
      <c r="J34" s="18">
        <f>'Tax Information'!E57</f>
        <v>7509.5405382663403</v>
      </c>
      <c r="K34" s="18">
        <f>'Tax Information'!C57</f>
        <v>21557.197631997504</v>
      </c>
      <c r="L34" s="18">
        <f>(0.01+0.0765)*(Table1[[#This Row],[Column2]]+Table1[[#This Row],[Column4]]+Table1[[#This Row],[Column5]])</f>
        <v>12397.383264086433</v>
      </c>
      <c r="M34" s="18">
        <f>(Table1[[#This Row],[Column2]]+Table1[[#This Row],[Column4]]+Table1[[#This Row],[Column5]])</f>
        <v>143322.34987383161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101858.22843948133</v>
      </c>
      <c r="O34" s="7">
        <f>1-(Table1[[#This Row],[Column13]]/Table1[[#This Row],[Column12]])</f>
        <v>0.2893067373710495</v>
      </c>
      <c r="P3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Input'!$F$10)+P33</f>
        <v>413149.84427786886</v>
      </c>
      <c r="Q34" s="18">
        <f>Table1[[#This Row],[Column12]]/12</f>
        <v>11943.529156152634</v>
      </c>
      <c r="R34" s="18">
        <f>Table1[[#This Row],[Column13]]/12</f>
        <v>8488.1857032901116</v>
      </c>
      <c r="S34" s="18">
        <f>Table1[[#This Row],[Column13]]/'Data Input'!$I$5</f>
        <v>4244.0928516450558</v>
      </c>
      <c r="T3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Sheet'!B38/12,'Mortgage Sheet'!$K$2))</f>
        <v>7888.1857032901116</v>
      </c>
      <c r="U34" s="18">
        <f>Spending!T35+12*(Table1[[#This Row],[Column17]]-Table1[[#This Row],[Column19]])+IF(Table1[[#This Row],[Column1]]='Data Input'!$I$4,'Data Input'!$C$44,0)</f>
        <v>54620</v>
      </c>
      <c r="V34" s="14">
        <f>Table1[[#This Row],[Column17]]-Table1[[#This Row],[Column20]]/12</f>
        <v>3936.5190366234447</v>
      </c>
      <c r="W34" s="18">
        <f>W33+12*Table1[[#This Row],[Column21]]</f>
        <v>-280091.74835265527</v>
      </c>
    </row>
    <row r="35" spans="1:26">
      <c r="A35" s="16">
        <f t="shared" si="0"/>
        <v>2049</v>
      </c>
      <c r="B35" s="11">
        <f>IF('Data Input'!$C$16+'Data Input'!$I$3&gt;Table1[[#This Row],[Column1]],('Data Input'!$C$6)*(1+'Data Input'!$C$15)^(Table1[[#This Row],[Column1]]-'Data Input'!$I$3),0)</f>
        <v>145935.24386878486</v>
      </c>
      <c r="C3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5" s="11">
        <f>IF('Data Input'!$F$16+'Data Input'!$I$3&gt;Table1[[#This Row],[Column1]],('Data Input'!$F$6)*(1+'Data Input'!$F$15)^(Table1[[#This Row],[Column1]]-'Data Input'!$I$3),0)</f>
        <v>0</v>
      </c>
      <c r="F35" s="11">
        <f>Table1[[#This Row],[Column2]]+Table1[[#This Row],[Column4]]+Table1[[#This Row],[Column5]]-Table1[[#This Row],[Column3]]-Table1[[#This Row],[Column23]]</f>
        <v>140629.24386878486</v>
      </c>
      <c r="G35" s="11">
        <f>Table1[[#This Row],[Column2]]+Table1[[#This Row],[Column4]]+Table1[[#This Row],[Column5]]-Table1[[#This Row],[Column3]]-Table1[[#This Row],[Column8]]</f>
        <v>125225.56176599517</v>
      </c>
      <c r="H35" s="11">
        <f>IF(Table1[[#This Row],[Column1]]&lt;'Data Input'!$I$4,MAX('Tax Information'!$C$15+'Data Input'!C94*'Tax Information'!$C$5,Spending!P36+'Student Loans'!B39),MAX('Tax Information'!$C$15+'Data Input'!C94*'Tax Information'!$C$5,'Mortgage Sheet'!C39+Spending!P36+'Student Loans'!C39))+'Tax Information'!$C$13*('Data Input'!C94+2)</f>
        <v>8306</v>
      </c>
      <c r="I35" s="11">
        <f>IF(Table1[[#This Row],[Column1]]&lt;'Data Input'!$I$4,MAX('Tax Information'!$C$6+'Data Input'!C94*'Tax Information'!$C$5,Table1[[#This Row],[Column9]]+Spending!P36+'Student Loans'!C39),MAX('Tax Information'!$C$6+'Data Input'!C94*'Tax Information'!$C$5,'Mortgage Sheet'!C39+Table1[[#This Row],[Column9]]+Spending!P36+'Student Loans'!C39))+'Tax Information'!$C$4*('Data Input'!C94+2)</f>
        <v>23709.682102789695</v>
      </c>
      <c r="J35" s="18">
        <f>'Tax Information'!E58</f>
        <v>8031.5396797969925</v>
      </c>
      <c r="K35" s="18">
        <f>'Tax Information'!C58</f>
        <v>22848.640441498792</v>
      </c>
      <c r="L35" s="18">
        <f>(0.01+0.0765)*(Table1[[#This Row],[Column2]]+Table1[[#This Row],[Column4]]+Table1[[#This Row],[Column5]])</f>
        <v>12882.898594649889</v>
      </c>
      <c r="M35" s="18">
        <f>(Table1[[#This Row],[Column2]]+Table1[[#This Row],[Column4]]+Table1[[#This Row],[Column5]])</f>
        <v>148935.24386878486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105172.16515283918</v>
      </c>
      <c r="O35" s="7">
        <f>1-(Table1[[#This Row],[Column13]]/Table1[[#This Row],[Column12]])</f>
        <v>0.29383964184126821</v>
      </c>
      <c r="P3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Input'!$F$10)+P34</f>
        <v>432905.95890999597</v>
      </c>
      <c r="Q35" s="18">
        <f>Table1[[#This Row],[Column12]]/12</f>
        <v>12411.270322398739</v>
      </c>
      <c r="R35" s="18">
        <f>Table1[[#This Row],[Column13]]/12</f>
        <v>8764.3470960699324</v>
      </c>
      <c r="S35" s="18">
        <f>Table1[[#This Row],[Column13]]/'Data Input'!$I$5</f>
        <v>4382.1735480349662</v>
      </c>
      <c r="T3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Sheet'!B39/12,'Mortgage Sheet'!$K$2))</f>
        <v>8164.3470960699324</v>
      </c>
      <c r="U35" s="18">
        <f>Spending!T36+12*(Table1[[#This Row],[Column17]]-Table1[[#This Row],[Column19]])+IF(Table1[[#This Row],[Column1]]='Data Input'!$I$4,'Data Input'!$C$44,0)</f>
        <v>54620</v>
      </c>
      <c r="V35" s="14">
        <f>Table1[[#This Row],[Column17]]-Table1[[#This Row],[Column20]]/12</f>
        <v>4212.6804294032654</v>
      </c>
      <c r="W35" s="18">
        <f>W34+12*Table1[[#This Row],[Column21]]</f>
        <v>-229539.58319981609</v>
      </c>
    </row>
    <row r="36" spans="1:26">
      <c r="A36" s="16">
        <f t="shared" si="0"/>
        <v>2050</v>
      </c>
      <c r="B36" s="11">
        <f>IF('Data Input'!$C$16+'Data Input'!$I$3&gt;Table1[[#This Row],[Column1]],('Data Input'!$C$6)*(1+'Data Input'!$C$15)^(Table1[[#This Row],[Column1]]-'Data Input'!$I$3),0)</f>
        <v>151772.65362353629</v>
      </c>
      <c r="C3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6" s="11">
        <f>IF('Data Input'!$F$16+'Data Input'!$I$3&gt;Table1[[#This Row],[Column1]],('Data Input'!$F$6)*(1+'Data Input'!$F$15)^(Table1[[#This Row],[Column1]]-'Data Input'!$I$3),0)</f>
        <v>0</v>
      </c>
      <c r="F36" s="11">
        <f>Table1[[#This Row],[Column2]]+Table1[[#This Row],[Column4]]+Table1[[#This Row],[Column5]]-Table1[[#This Row],[Column3]]-Table1[[#This Row],[Column23]]</f>
        <v>146466.65362353629</v>
      </c>
      <c r="G36" s="11">
        <f>Table1[[#This Row],[Column2]]+Table1[[#This Row],[Column4]]+Table1[[#This Row],[Column5]]-Table1[[#This Row],[Column3]]-Table1[[#This Row],[Column8]]</f>
        <v>130595.21838608588</v>
      </c>
      <c r="H36" s="11">
        <f>IF(Table1[[#This Row],[Column1]]&lt;'Data Input'!$I$4,MAX('Tax Information'!$C$15+'Data Input'!C95*'Tax Information'!$C$5,Spending!P37+'Student Loans'!B40),MAX('Tax Information'!$C$15+'Data Input'!C95*'Tax Information'!$C$5,'Mortgage Sheet'!C40+Spending!P37+'Student Loans'!C40))+'Tax Information'!$C$13*('Data Input'!C95+2)</f>
        <v>8306</v>
      </c>
      <c r="I36" s="11">
        <f>IF(Table1[[#This Row],[Column1]]&lt;'Data Input'!$I$4,MAX('Tax Information'!$C$6+'Data Input'!C95*'Tax Information'!$C$5,Table1[[#This Row],[Column9]]+Spending!P37+'Student Loans'!C40),MAX('Tax Information'!$C$6+'Data Input'!C95*'Tax Information'!$C$5,'Mortgage Sheet'!C40+Table1[[#This Row],[Column9]]+Spending!P37+'Student Loans'!C40))+'Tax Information'!$C$4*('Data Input'!C95+2)</f>
        <v>24177.435237450412</v>
      </c>
      <c r="J36" s="18">
        <f>'Tax Information'!E59</f>
        <v>8574.4187869888756</v>
      </c>
      <c r="K36" s="18">
        <f>'Tax Information'!C59</f>
        <v>24191.05459652147</v>
      </c>
      <c r="L36" s="18">
        <f>(0.01+0.0765)*(Table1[[#This Row],[Column2]]+Table1[[#This Row],[Column4]]+Table1[[#This Row],[Column5]])</f>
        <v>13387.834538435887</v>
      </c>
      <c r="M36" s="18">
        <f>(Table1[[#This Row],[Column2]]+Table1[[#This Row],[Column4]]+Table1[[#This Row],[Column5]])</f>
        <v>154772.65362353629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108619.34570159005</v>
      </c>
      <c r="O36" s="7">
        <f>1-(Table1[[#This Row],[Column13]]/Table1[[#This Row],[Column12]])</f>
        <v>0.29820066298151071</v>
      </c>
      <c r="P3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Input'!$F$10)+P35</f>
        <v>453012.31812740816</v>
      </c>
      <c r="Q36" s="18">
        <f>Table1[[#This Row],[Column12]]/12</f>
        <v>12897.721135294691</v>
      </c>
      <c r="R36" s="18">
        <f>Table1[[#This Row],[Column13]]/12</f>
        <v>9051.6121417991708</v>
      </c>
      <c r="S36" s="18">
        <f>Table1[[#This Row],[Column13]]/'Data Input'!$I$5</f>
        <v>4525.8060708995854</v>
      </c>
      <c r="T3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Sheet'!B40/12,'Mortgage Sheet'!$K$2))</f>
        <v>8451.6121417991708</v>
      </c>
      <c r="U36" s="18">
        <f>Spending!T37+12*(Table1[[#This Row],[Column17]]-Table1[[#This Row],[Column19]])+IF(Table1[[#This Row],[Column1]]='Data Input'!$I$4,'Data Input'!$C$44,0)</f>
        <v>54620</v>
      </c>
      <c r="V36" s="14">
        <f>Table1[[#This Row],[Column17]]-Table1[[#This Row],[Column20]]/12</f>
        <v>4499.9454751325038</v>
      </c>
      <c r="W36" s="18">
        <f>W35+12*Table1[[#This Row],[Column21]]</f>
        <v>-175540.23749822605</v>
      </c>
    </row>
    <row r="37" spans="1:26">
      <c r="A37" s="16">
        <f t="shared" si="0"/>
        <v>2051</v>
      </c>
      <c r="B37" s="11">
        <f>IF('Data Input'!$C$16+'Data Input'!$I$3&gt;Table1[[#This Row],[Column1]],('Data Input'!$C$6)*(1+'Data Input'!$C$15)^(Table1[[#This Row],[Column1]]-'Data Input'!$I$3),0)</f>
        <v>157843.55976847775</v>
      </c>
      <c r="C3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7" s="11">
        <f>IF('Data Input'!$F$16+'Data Input'!$I$3&gt;Table1[[#This Row],[Column1]],('Data Input'!$F$6)*(1+'Data Input'!$F$15)^(Table1[[#This Row],[Column1]]-'Data Input'!$I$3),0)</f>
        <v>0</v>
      </c>
      <c r="F37" s="11">
        <f>Table1[[#This Row],[Column2]]+Table1[[#This Row],[Column4]]+Table1[[#This Row],[Column5]]-Table1[[#This Row],[Column3]]-Table1[[#This Row],[Column23]]</f>
        <v>152537.55976847775</v>
      </c>
      <c r="G37" s="11">
        <f>Table1[[#This Row],[Column2]]+Table1[[#This Row],[Column4]]+Table1[[#This Row],[Column5]]-Table1[[#This Row],[Column3]]-Table1[[#This Row],[Column8]]</f>
        <v>136176.90665198737</v>
      </c>
      <c r="H37" s="11">
        <f>IF(Table1[[#This Row],[Column1]]&lt;'Data Input'!$I$4,MAX('Tax Information'!$C$15+'Data Input'!C96*'Tax Information'!$C$5,Spending!P38+'Student Loans'!B41),MAX('Tax Information'!$C$15+'Data Input'!C96*'Tax Information'!$C$5,'Mortgage Sheet'!C41+Spending!P38+'Student Loans'!C41))+'Tax Information'!$C$13*('Data Input'!C96+2)</f>
        <v>8306</v>
      </c>
      <c r="I37" s="11">
        <f>IF(Table1[[#This Row],[Column1]]&lt;'Data Input'!$I$4,MAX('Tax Information'!$C$6+'Data Input'!C96*'Tax Information'!$C$5,Table1[[#This Row],[Column9]]+Spending!P38+'Student Loans'!C41),MAX('Tax Information'!$C$6+'Data Input'!C96*'Tax Information'!$C$5,'Mortgage Sheet'!C41+Table1[[#This Row],[Column9]]+Spending!P38+'Student Loans'!C41))+'Tax Information'!$C$4*('Data Input'!C96+2)</f>
        <v>24666.653116490364</v>
      </c>
      <c r="J37" s="18">
        <f>'Tax Information'!E60</f>
        <v>9139.0130584684302</v>
      </c>
      <c r="K37" s="18">
        <f>'Tax Information'!C60</f>
        <v>25586.476662996844</v>
      </c>
      <c r="L37" s="18">
        <f>(0.01+0.0765)*(Table1[[#This Row],[Column2]]+Table1[[#This Row],[Column4]]+Table1[[#This Row],[Column5]])</f>
        <v>13912.967919973324</v>
      </c>
      <c r="M37" s="18">
        <f>(Table1[[#This Row],[Column2]]+Table1[[#This Row],[Column4]]+Table1[[#This Row],[Column5]])</f>
        <v>160843.55976847775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112205.10212703915</v>
      </c>
      <c r="O37" s="7">
        <f>1-(Table1[[#This Row],[Column13]]/Table1[[#This Row],[Column12]])</f>
        <v>0.30239605310557671</v>
      </c>
      <c r="P3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Input'!$F$10)+P36</f>
        <v>473482.93171351682</v>
      </c>
      <c r="Q37" s="18">
        <f>Table1[[#This Row],[Column12]]/12</f>
        <v>13403.629980706479</v>
      </c>
      <c r="R37" s="18">
        <f>Table1[[#This Row],[Column13]]/12</f>
        <v>9350.4251772532625</v>
      </c>
      <c r="S37" s="18">
        <f>Table1[[#This Row],[Column13]]/'Data Input'!$I$5</f>
        <v>4675.2125886266313</v>
      </c>
      <c r="T3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Sheet'!B41/12,'Mortgage Sheet'!$K$2))</f>
        <v>8750.4251772532625</v>
      </c>
      <c r="U37" s="18">
        <f>Spending!T38+12*(Table1[[#This Row],[Column17]]-Table1[[#This Row],[Column19]])+IF(Table1[[#This Row],[Column1]]='Data Input'!$I$4,'Data Input'!$C$44,0)</f>
        <v>54620</v>
      </c>
      <c r="V37" s="14">
        <f>Table1[[#This Row],[Column17]]-Table1[[#This Row],[Column20]]/12</f>
        <v>4798.7585105865955</v>
      </c>
      <c r="W37" s="18">
        <f>W36+12*Table1[[#This Row],[Column21]]</f>
        <v>-117955.1353711869</v>
      </c>
      <c r="X37" s="16"/>
      <c r="Y37" s="16"/>
      <c r="Z37" s="16"/>
    </row>
    <row r="38" spans="1:26">
      <c r="A38" s="16">
        <f t="shared" si="0"/>
        <v>2052</v>
      </c>
      <c r="B38" s="11">
        <f>IF('Data Input'!$C$16+'Data Input'!$I$3&gt;Table1[[#This Row],[Column1]],('Data Input'!$C$6)*(1+'Data Input'!$C$15)^(Table1[[#This Row],[Column1]]-'Data Input'!$I$3),0)</f>
        <v>164157.30215921684</v>
      </c>
      <c r="C3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8" s="11">
        <f>IF('Data Input'!$F$16+'Data Input'!$I$3&gt;Table1[[#This Row],[Column1]],('Data Input'!$F$6)*(1+'Data Input'!$F$15)^(Table1[[#This Row],[Column1]]-'Data Input'!$I$3),0)</f>
        <v>0</v>
      </c>
      <c r="F38" s="11">
        <f>Table1[[#This Row],[Column2]]+Table1[[#This Row],[Column4]]+Table1[[#This Row],[Column5]]-Table1[[#This Row],[Column3]]-Table1[[#This Row],[Column23]]</f>
        <v>158851.30215921684</v>
      </c>
      <c r="G38" s="11">
        <f>Table1[[#This Row],[Column2]]+Table1[[#This Row],[Column4]]+Table1[[#This Row],[Column5]]-Table1[[#This Row],[Column3]]-Table1[[#This Row],[Column8]]</f>
        <v>141979.09864746881</v>
      </c>
      <c r="H38" s="11">
        <f>IF(Table1[[#This Row],[Column1]]&lt;'Data Input'!$I$4,MAX('Tax Information'!$C$15+'Data Input'!C97*'Tax Information'!$C$5,Spending!P39+'Student Loans'!B42),MAX('Tax Information'!$C$15+'Data Input'!C97*'Tax Information'!$C$5,'Mortgage Sheet'!C42+Spending!P39+'Student Loans'!C42))+'Tax Information'!$C$13*('Data Input'!C97+2)</f>
        <v>8306</v>
      </c>
      <c r="I38" s="11">
        <f>IF(Table1[[#This Row],[Column1]]&lt;'Data Input'!$I$4,MAX('Tax Information'!$C$6+'Data Input'!C97*'Tax Information'!$C$5,Table1[[#This Row],[Column9]]+Spending!P39+'Student Loans'!C42),MAX('Tax Information'!$C$6+'Data Input'!C97*'Tax Information'!$C$5,'Mortgage Sheet'!C42+Table1[[#This Row],[Column9]]+Spending!P39+'Student Loans'!C42))+'Tax Information'!$C$4*('Data Input'!C97+2)</f>
        <v>25178.203511748034</v>
      </c>
      <c r="J38" s="18">
        <f>'Tax Information'!E61</f>
        <v>9726.1911008071656</v>
      </c>
      <c r="K38" s="18">
        <f>'Tax Information'!C61</f>
        <v>27037.024661867203</v>
      </c>
      <c r="L38" s="18">
        <f>(0.01+0.0765)*(Table1[[#This Row],[Column2]]+Table1[[#This Row],[Column4]]+Table1[[#This Row],[Column5]])</f>
        <v>14459.106636772256</v>
      </c>
      <c r="M38" s="18">
        <f>(Table1[[#This Row],[Column2]]+Table1[[#This Row],[Column4]]+Table1[[#This Row],[Column5]])</f>
        <v>167157.30215921684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115934.97975977021</v>
      </c>
      <c r="O38" s="7">
        <f>1-(Table1[[#This Row],[Column13]]/Table1[[#This Row],[Column12]])</f>
        <v>0.3064318563281041</v>
      </c>
      <c r="P3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Input'!$F$10)+P37</f>
        <v>494332.36984306981</v>
      </c>
      <c r="Q38" s="18">
        <f>Table1[[#This Row],[Column12]]/12</f>
        <v>13929.775179934737</v>
      </c>
      <c r="R38" s="18">
        <f>Table1[[#This Row],[Column13]]/12</f>
        <v>9661.248313314185</v>
      </c>
      <c r="S38" s="18">
        <f>Table1[[#This Row],[Column13]]/'Data Input'!$I$5</f>
        <v>4830.6241566570925</v>
      </c>
      <c r="T3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Sheet'!B42/12,'Mortgage Sheet'!$K$2))</f>
        <v>9061.248313314185</v>
      </c>
      <c r="U38" s="18">
        <f>Spending!T39+12*(Table1[[#This Row],[Column17]]-Table1[[#This Row],[Column19]])+IF(Table1[[#This Row],[Column1]]='Data Input'!$I$4,'Data Input'!$C$44,0)</f>
        <v>54620</v>
      </c>
      <c r="V38" s="14">
        <f>Table1[[#This Row],[Column17]]-Table1[[#This Row],[Column20]]/12</f>
        <v>5109.581646647518</v>
      </c>
      <c r="W38" s="18">
        <f>W37+12*Table1[[#This Row],[Column21]]</f>
        <v>-56640.155611416689</v>
      </c>
      <c r="X38" s="16"/>
      <c r="Y38" s="16"/>
      <c r="Z38" s="16"/>
    </row>
    <row r="39" spans="1:26">
      <c r="A39" s="16">
        <f t="shared" si="0"/>
        <v>2053</v>
      </c>
      <c r="B39" s="11">
        <f>IF('Data Input'!$C$16+'Data Input'!$I$3&gt;Table1[[#This Row],[Column1]],('Data Input'!$C$6)*(1+'Data Input'!$C$15)^(Table1[[#This Row],[Column1]]-'Data Input'!$I$3),0)</f>
        <v>170723.59424558555</v>
      </c>
      <c r="C3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9" s="11">
        <f>IF('Data Input'!$F$16+'Data Input'!$I$3&gt;Table1[[#This Row],[Column1]],('Data Input'!$F$6)*(1+'Data Input'!$F$15)^(Table1[[#This Row],[Column1]]-'Data Input'!$I$3),0)</f>
        <v>0</v>
      </c>
      <c r="F39" s="11">
        <f>Table1[[#This Row],[Column2]]+Table1[[#This Row],[Column4]]+Table1[[#This Row],[Column5]]-Table1[[#This Row],[Column3]]-Table1[[#This Row],[Column23]]</f>
        <v>165417.59424558555</v>
      </c>
      <c r="G39" s="11">
        <f>Table1[[#This Row],[Column2]]+Table1[[#This Row],[Column4]]+Table1[[#This Row],[Column5]]-Table1[[#This Row],[Column3]]-Table1[[#This Row],[Column8]]</f>
        <v>148010.60530904323</v>
      </c>
      <c r="H39" s="11">
        <f>IF(Table1[[#This Row],[Column1]]&lt;'Data Input'!$I$4,MAX('Tax Information'!$C$15+'Data Input'!C98*'Tax Information'!$C$5,Spending!P40+'Student Loans'!B43),MAX('Tax Information'!$C$15+'Data Input'!C98*'Tax Information'!$C$5,'Mortgage Sheet'!C43+Spending!P40+'Student Loans'!C43))+'Tax Information'!$C$13*('Data Input'!C98+2)</f>
        <v>8306</v>
      </c>
      <c r="I39" s="11">
        <f>IF(Table1[[#This Row],[Column1]]&lt;'Data Input'!$I$4,MAX('Tax Information'!$C$6+'Data Input'!C98*'Tax Information'!$C$5,Table1[[#This Row],[Column9]]+Spending!P40+'Student Loans'!C43),MAX('Tax Information'!$C$6+'Data Input'!C98*'Tax Information'!$C$5,'Mortgage Sheet'!C43+Table1[[#This Row],[Column9]]+Spending!P40+'Student Loans'!C43))+'Tax Information'!$C$4*('Data Input'!C98+2)</f>
        <v>25712.988936542326</v>
      </c>
      <c r="J39" s="18">
        <f>'Tax Information'!E62</f>
        <v>10336.856264839458</v>
      </c>
      <c r="K39" s="18">
        <f>'Tax Information'!C62</f>
        <v>28544.901327260806</v>
      </c>
      <c r="L39" s="18">
        <f>(0.01+0.0765)*(Table1[[#This Row],[Column2]]+Table1[[#This Row],[Column4]]+Table1[[#This Row],[Column5]])</f>
        <v>15027.09090224315</v>
      </c>
      <c r="M39" s="18">
        <f>(Table1[[#This Row],[Column2]]+Table1[[#This Row],[Column4]]+Table1[[#This Row],[Column5]])</f>
        <v>173723.59424558555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119814.74575124214</v>
      </c>
      <c r="O39" s="7">
        <f>1-(Table1[[#This Row],[Column13]]/Table1[[#This Row],[Column12]])</f>
        <v>0.31031391405668707</v>
      </c>
      <c r="P3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Input'!$F$10)+P38</f>
        <v>515575.78549780493</v>
      </c>
      <c r="Q39" s="18">
        <f>Table1[[#This Row],[Column12]]/12</f>
        <v>14476.96618713213</v>
      </c>
      <c r="R39" s="18">
        <f>Table1[[#This Row],[Column13]]/12</f>
        <v>9984.5621459368449</v>
      </c>
      <c r="S39" s="18">
        <f>Table1[[#This Row],[Column13]]/'Data Input'!$I$5</f>
        <v>4992.2810729684224</v>
      </c>
      <c r="T3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Sheet'!B43/12,'Mortgage Sheet'!$K$2))</f>
        <v>9384.5621459368449</v>
      </c>
      <c r="U39" s="18">
        <f>Spending!T40+12*(Table1[[#This Row],[Column17]]-Table1[[#This Row],[Column19]])+IF(Table1[[#This Row],[Column1]]='Data Input'!$I$4,'Data Input'!$C$44,0)</f>
        <v>54620</v>
      </c>
      <c r="V39" s="14">
        <f>Table1[[#This Row],[Column17]]-Table1[[#This Row],[Column20]]/12</f>
        <v>5432.8954792701779</v>
      </c>
      <c r="W39" s="18">
        <f>W38+12*Table1[[#This Row],[Column21]]</f>
        <v>8554.59013982545</v>
      </c>
      <c r="X39" s="16"/>
      <c r="Y39" s="16"/>
      <c r="Z39" s="16"/>
    </row>
    <row r="40" spans="1:26">
      <c r="A40" s="16">
        <f t="shared" si="0"/>
        <v>2054</v>
      </c>
      <c r="B40" s="11">
        <f>IF('Data Input'!$C$16+'Data Input'!$I$3&gt;Table1[[#This Row],[Column1]],('Data Input'!$C$6)*(1+'Data Input'!$C$15)^(Table1[[#This Row],[Column1]]-'Data Input'!$I$3),0)</f>
        <v>177552.53801540897</v>
      </c>
      <c r="C4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0" s="11">
        <f>IF('Data Input'!$F$16+'Data Input'!$I$3&gt;Table1[[#This Row],[Column1]],('Data Input'!$F$6)*(1+'Data Input'!$F$15)^(Table1[[#This Row],[Column1]]-'Data Input'!$I$3),0)</f>
        <v>0</v>
      </c>
      <c r="F40" s="11">
        <f>Table1[[#This Row],[Column2]]+Table1[[#This Row],[Column4]]+Table1[[#This Row],[Column5]]-Table1[[#This Row],[Column3]]-Table1[[#This Row],[Column23]]</f>
        <v>172246.53801540897</v>
      </c>
      <c r="G40" s="11">
        <f>Table1[[#This Row],[Column2]]+Table1[[#This Row],[Column4]]+Table1[[#This Row],[Column5]]-Table1[[#This Row],[Column3]]-Table1[[#This Row],[Column8]]</f>
        <v>154280.58997997592</v>
      </c>
      <c r="H40" s="11">
        <f>IF(Table1[[#This Row],[Column1]]&lt;'Data Input'!$I$4,MAX('Tax Information'!$C$15+'Data Input'!C99*'Tax Information'!$C$5,Spending!P41+'Student Loans'!B44),MAX('Tax Information'!$C$15+'Data Input'!C99*'Tax Information'!$C$5,'Mortgage Sheet'!C44+Spending!P41+'Student Loans'!C44))+'Tax Information'!$C$13*('Data Input'!C99+2)</f>
        <v>8306</v>
      </c>
      <c r="I40" s="11">
        <f>IF(Table1[[#This Row],[Column1]]&lt;'Data Input'!$I$4,MAX('Tax Information'!$C$6+'Data Input'!C99*'Tax Information'!$C$5,Table1[[#This Row],[Column9]]+Spending!P41+'Student Loans'!C44),MAX('Tax Information'!$C$6+'Data Input'!C99*'Tax Information'!$C$5,'Mortgage Sheet'!C44+Table1[[#This Row],[Column9]]+Spending!P41+'Student Loans'!C44))+'Tax Information'!$C$4*('Data Input'!C99+2)</f>
        <v>26271.948035433034</v>
      </c>
      <c r="J40" s="18">
        <f>'Tax Information'!E63</f>
        <v>10971.948035433034</v>
      </c>
      <c r="K40" s="18">
        <f>'Tax Information'!C63</f>
        <v>30183.785194393258</v>
      </c>
      <c r="L40" s="18">
        <f>(0.01+0.0765)*(Table1[[#This Row],[Column2]]+Table1[[#This Row],[Column4]]+Table1[[#This Row],[Column5]])</f>
        <v>15617.794538332875</v>
      </c>
      <c r="M40" s="18">
        <f>(Table1[[#This Row],[Column2]]+Table1[[#This Row],[Column4]]+Table1[[#This Row],[Column5]])</f>
        <v>180552.53801540897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123779.0102472498</v>
      </c>
      <c r="O40" s="7">
        <f>1-(Table1[[#This Row],[Column13]]/Table1[[#This Row],[Column12]])</f>
        <v>0.31444325508907511</v>
      </c>
      <c r="P4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Input'!$F$10)+P39</f>
        <v>537228.93777872948</v>
      </c>
      <c r="Q40" s="18">
        <f>Table1[[#This Row],[Column12]]/12</f>
        <v>15046.044834617414</v>
      </c>
      <c r="R40" s="18">
        <f>Table1[[#This Row],[Column13]]/12</f>
        <v>10314.917520604149</v>
      </c>
      <c r="S40" s="18">
        <f>Table1[[#This Row],[Column13]]/'Data Input'!$I$5</f>
        <v>5157.4587603020746</v>
      </c>
      <c r="T4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Sheet'!B44/12,'Mortgage Sheet'!$K$2))</f>
        <v>9714.9175206041491</v>
      </c>
      <c r="U40" s="18">
        <f>Spending!T41+12*(Table1[[#This Row],[Column17]]-Table1[[#This Row],[Column19]])+IF(Table1[[#This Row],[Column1]]='Data Input'!$I$4,'Data Input'!$C$44,0)</f>
        <v>54620</v>
      </c>
      <c r="V40" s="14">
        <f>Table1[[#This Row],[Column17]]-Table1[[#This Row],[Column20]]/12</f>
        <v>5763.2508539374821</v>
      </c>
      <c r="W40" s="18">
        <f>W39+12*Table1[[#This Row],[Column21]]</f>
        <v>77713.600387075232</v>
      </c>
      <c r="X40" s="16"/>
      <c r="Y40" s="16"/>
      <c r="Z40" s="16"/>
    </row>
    <row r="41" spans="1:26">
      <c r="A41" s="16">
        <f t="shared" si="0"/>
        <v>2055</v>
      </c>
      <c r="B41" s="11">
        <f>IF('Data Input'!$C$16+'Data Input'!$I$3&gt;Table1[[#This Row],[Column1]],('Data Input'!$C$6)*(1+'Data Input'!$C$15)^(Table1[[#This Row],[Column1]]-'Data Input'!$I$3),0)</f>
        <v>184654.63953602529</v>
      </c>
      <c r="C4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1" s="11">
        <f>IF('Data Input'!$F$16+'Data Input'!$I$3&gt;Table1[[#This Row],[Column1]],('Data Input'!$F$6)*(1+'Data Input'!$F$15)^(Table1[[#This Row],[Column1]]-'Data Input'!$I$3),0)</f>
        <v>0</v>
      </c>
      <c r="F41" s="11">
        <f>Table1[[#This Row],[Column2]]+Table1[[#This Row],[Column4]]+Table1[[#This Row],[Column5]]-Table1[[#This Row],[Column3]]-Table1[[#This Row],[Column23]]</f>
        <v>179348.63953602529</v>
      </c>
      <c r="G41" s="11">
        <f>Table1[[#This Row],[Column2]]+Table1[[#This Row],[Column4]]+Table1[[#This Row],[Column5]]-Table1[[#This Row],[Column3]]-Table1[[#This Row],[Column8]]</f>
        <v>160722.19605917495</v>
      </c>
      <c r="H41" s="11">
        <f>IF(Table1[[#This Row],[Column1]]&lt;'Data Input'!$I$4,MAX('Tax Information'!$C$15+'Data Input'!C100*'Tax Information'!$C$5,Spending!P42+'Student Loans'!B45),MAX('Tax Information'!$C$15+'Data Input'!C100*'Tax Information'!$C$5,'Mortgage Sheet'!C45+Spending!P42+'Student Loans'!C45))+'Tax Information'!$C$13*('Data Input'!C100+2)</f>
        <v>8306</v>
      </c>
      <c r="I41" s="11">
        <f>IF(Table1[[#This Row],[Column1]]&lt;'Data Input'!$I$4,MAX('Tax Information'!$C$6+'Data Input'!C100*'Tax Information'!$C$5,Table1[[#This Row],[Column9]]+Spending!P42+'Student Loans'!C45),MAX('Tax Information'!$C$6+'Data Input'!C100*'Tax Information'!$C$5,'Mortgage Sheet'!C45+Table1[[#This Row],[Column9]]+Spending!P42+'Student Loans'!C45))+'Tax Information'!$C$4*('Data Input'!C100+2)</f>
        <v>26932.443476850352</v>
      </c>
      <c r="J41" s="18">
        <f>'Tax Information'!E64</f>
        <v>11632.443476850352</v>
      </c>
      <c r="K41" s="18">
        <f>'Tax Information'!C64</f>
        <v>31987.434896568986</v>
      </c>
      <c r="L41" s="18">
        <f>(0.01+0.0765)*(Table1[[#This Row],[Column2]]+Table1[[#This Row],[Column4]]+Table1[[#This Row],[Column5]])</f>
        <v>16232.126319866187</v>
      </c>
      <c r="M41" s="18">
        <f>(Table1[[#This Row],[Column2]]+Table1[[#This Row],[Column4]]+Table1[[#This Row],[Column5]])</f>
        <v>187654.63953602529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127802.63484273976</v>
      </c>
      <c r="O41" s="7">
        <f>1-(Table1[[#This Row],[Column13]]/Table1[[#This Row],[Column12]])</f>
        <v>0.3189476414826149</v>
      </c>
      <c r="P4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Input'!$F$10)+P40</f>
        <v>559308.21615089104</v>
      </c>
      <c r="Q41" s="18">
        <f>Table1[[#This Row],[Column12]]/12</f>
        <v>15637.886628002108</v>
      </c>
      <c r="R41" s="18">
        <f>Table1[[#This Row],[Column13]]/12</f>
        <v>10650.219570228313</v>
      </c>
      <c r="S41" s="18">
        <f>Table1[[#This Row],[Column13]]/'Data Input'!$I$5</f>
        <v>5325.1097851141567</v>
      </c>
      <c r="T4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Sheet'!B45/12,'Mortgage Sheet'!$K$2))</f>
        <v>10050.219570228313</v>
      </c>
      <c r="U41" s="18">
        <f>Spending!T42+12*(Table1[[#This Row],[Column17]]-Table1[[#This Row],[Column19]])+IF(Table1[[#This Row],[Column1]]='Data Input'!$I$4,'Data Input'!$C$44,0)</f>
        <v>54620</v>
      </c>
      <c r="V41" s="14">
        <f>Table1[[#This Row],[Column17]]-Table1[[#This Row],[Column20]]/12</f>
        <v>6098.5529035616464</v>
      </c>
      <c r="W41" s="18">
        <f>W40+12*Table1[[#This Row],[Column21]]</f>
        <v>150896.23522981501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F25" sqref="F25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72">
        <f>'Data Input'!C38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87"/>
      <c r="B2" s="74"/>
      <c r="C2" s="74"/>
      <c r="F2" s="5" t="s">
        <v>6</v>
      </c>
      <c r="G2" s="73">
        <f>'Data Input'!C39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Input'!C42+'Data Input'!C43)/12</f>
        <v>600</v>
      </c>
      <c r="L2" s="17">
        <f>'Data Input'!C42</f>
        <v>6000</v>
      </c>
    </row>
    <row r="3" spans="1:14">
      <c r="A3" s="90" t="s">
        <v>150</v>
      </c>
      <c r="B3" s="91">
        <v>360</v>
      </c>
      <c r="C3" s="74"/>
      <c r="F3" s="5" t="s">
        <v>8</v>
      </c>
      <c r="G3" s="3">
        <f>'Data Input'!C40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127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Input'!I4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D6" sqref="D6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4.42578125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8.71093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8.42578125" style="14" bestFit="1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179</v>
      </c>
      <c r="D2" s="13" t="s">
        <v>146</v>
      </c>
      <c r="E2" s="13" t="s">
        <v>160</v>
      </c>
      <c r="F2" s="13" t="s">
        <v>48</v>
      </c>
      <c r="G2" s="13" t="s">
        <v>33</v>
      </c>
      <c r="H2" s="13" t="s">
        <v>34</v>
      </c>
      <c r="I2" s="13" t="s">
        <v>185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128</v>
      </c>
      <c r="Q2" s="13" t="s">
        <v>41</v>
      </c>
      <c r="R2" s="13" t="s">
        <v>42</v>
      </c>
      <c r="S2" s="13" t="s">
        <v>43</v>
      </c>
      <c r="T2" s="13" t="s">
        <v>21</v>
      </c>
      <c r="U2" s="13" t="s">
        <v>47</v>
      </c>
    </row>
    <row r="3" spans="1:21">
      <c r="A3" s="20">
        <f>'Data Input'!I3</f>
        <v>2016</v>
      </c>
      <c r="B3" s="53">
        <f>IF(Table12[[#This Row],[year]]&lt;'Data Input'!$I$4,12*'Data Input'!$B$24*(1+'Data Input'!$E$29)^(Table12[[#This Row],[year]]-'Data Input'!$I$3),12*'Data Input'!$B$35*(1+'Data Input'!$E$38)^(Table12[[#This Row],[year]]-'Data Input'!$I$4))</f>
        <v>3600</v>
      </c>
      <c r="C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" s="53">
        <f>ROUNDDOWN('Student Loans'!B6+'Credit Card Debt'!B6,2)</f>
        <v>0</v>
      </c>
      <c r="E3" s="53">
        <f>MIN('Data Input'!$C$12+'Data Input'!$F$12,'Main Info'!B2*'Data Input'!$C$11+'Main Info'!E2*'Data Input'!$F$11+'Data Input'!$C$10+'Data Input'!$F$10)</f>
        <v>4000</v>
      </c>
      <c r="F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" s="53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" s="53">
        <f>12*'Data Input'!$I$24</f>
        <v>2250</v>
      </c>
      <c r="J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" s="53">
        <f>IF(Table12[[#This Row],[year]]&lt;'Data Input'!$I$4,12*'Data Input'!$N$24,12*'Data Input'!$N$35)</f>
        <v>2400</v>
      </c>
      <c r="O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" s="53">
        <f>SUM(Table12[[#This Row],[Utilities]:[Misc. Housing costs]])</f>
        <v>39220</v>
      </c>
      <c r="U3" s="54">
        <f>Table12[[#This Row],[Total]]/12</f>
        <v>3268.3333333333335</v>
      </c>
    </row>
    <row r="4" spans="1:21">
      <c r="A4" s="19">
        <f>A3+1</f>
        <v>2017</v>
      </c>
      <c r="B4" s="53">
        <f>IF(Table12[[#This Row],[year]]&lt;'Data Input'!$I$4,12*'Data Input'!$B$24*(1+'Data Input'!$E$29)^(Table12[[#This Row],[year]]-'Data Input'!$I$3),12*'Data Input'!$B$35*(1+'Data Input'!$E$38)^(Table12[[#This Row],[year]]-'Data Input'!$I$4))</f>
        <v>3636</v>
      </c>
      <c r="C4" s="53">
        <f>IF(Table12[[#This Row],[year]]&lt;'Data Input'!$I$4,12*'Data Input'!$C$24*(1+'Data Input'!$E$29)^(Table12[[#This Row],[year]]-'Data Input'!$I$3),12*'Data Input'!$C$35*(1+'Data Input'!$E$38)^(Table12[[#This Row],[year]]-'Data Input'!$I$4))</f>
        <v>3030</v>
      </c>
      <c r="D4" s="53">
        <f>ROUNDDOWN('Student Loans'!B7+'Credit Card Debt'!B7,2)</f>
        <v>0</v>
      </c>
      <c r="E4" s="53">
        <f>MIN('Data Input'!$C$12+'Data Input'!$F$12,'Main Info'!B3*'Data Input'!$C$11+'Main Info'!E3*'Data Input'!$F$11+'Data Input'!$C$10+'Data Input'!$F$10)</f>
        <v>4160</v>
      </c>
      <c r="F4" s="53">
        <f>IF(Table12[[#This Row],[year]]&lt;'Data Input'!$I$4,12*'Data Input'!$F$24*(1+'Data Input'!$E$29)^(Table12[[#This Row],[year]]-'Data Input'!$I$3),12*'Data Input'!$F$35*(1+'Data Input'!$E$38)^(Table12[[#This Row],[year]]-'Data Input'!$I$4))</f>
        <v>4242</v>
      </c>
      <c r="G4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4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4" s="53">
        <f>12*'Data Input'!$I$24</f>
        <v>2250</v>
      </c>
      <c r="J4" s="53">
        <f>IF(Table12[[#This Row],[year]]&lt;'Data Input'!$I$4,12*'Data Input'!$I$24*(1+'Data Input'!$E$29)^(Table12[[#This Row],[year]]-'Data Input'!$I$3),12*'Data Input'!$I$35*(1+'Data Input'!$E$38)^(Table12[[#This Row],[year]]-'Data Input'!$I$4))</f>
        <v>2272.5</v>
      </c>
      <c r="K4" s="53">
        <f>IF(Table12[[#This Row],[year]]&lt;'Data Input'!$I$4,12*'Data Input'!$J$24*(1+'Data Input'!$E$29)^(Table12[[#This Row],[year]]-'Data Input'!$I$3),12*'Data Input'!$J$35*(1+'Data Input'!$E$38)^(Table12[[#This Row],[year]]-'Data Input'!$I$4))</f>
        <v>4848</v>
      </c>
      <c r="L4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M4" s="53">
        <f>IF(Table12[[#This Row],[year]]&lt;'Data Input'!$I$4,12*'Data Input'!$M$24*(1+'Data Input'!$E$29)^(Table12[[#This Row],[year]]-'Data Input'!$I$3),12*'Data Input'!$M$35*(1+'Data Input'!$E$38)^(Table12[[#This Row],[year]]-'Data Input'!$I$4))</f>
        <v>2424</v>
      </c>
      <c r="N4" s="55">
        <f>IF(Table12[[#This Row],[year]]&lt;'Data Input'!$I$4,12*'Data Input'!$N$24,12*'Data Input'!$N$35)</f>
        <v>2400</v>
      </c>
      <c r="O4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4" s="53">
        <f>IF(Table12[[#This Row],[year]]&lt;'Data Input'!$I$4,12*'Data Input'!$P$24*(1+'Data Input'!$E$29)^(Table12[[#This Row],[year]]-'Data Input'!$I$3),12*'Data Input'!$P$35*(1+'Data Input'!$E$38)^(Table12[[#This Row],[year]]-'Data Input'!$I$4))</f>
        <v>1212</v>
      </c>
      <c r="Q4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4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4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4" s="55">
        <f>SUM(Table12[[#This Row],[Utilities]:[Misc. Housing costs]])</f>
        <v>39685.699999999997</v>
      </c>
      <c r="U4" s="54">
        <f>Table12[[#This Row],[Total]]/12</f>
        <v>3307.1416666666664</v>
      </c>
    </row>
    <row r="5" spans="1:21">
      <c r="A5" s="19">
        <f t="shared" ref="A5:A42" si="0">A4+1</f>
        <v>2018</v>
      </c>
      <c r="B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5" s="53">
        <f>ROUNDDOWN('Student Loans'!B8+'Credit Card Debt'!B8,2)</f>
        <v>0</v>
      </c>
      <c r="E5" s="53">
        <f>MIN('Data Input'!$C$12+'Data Input'!$F$12,'Main Info'!B4*'Data Input'!$C$11+'Main Info'!E4*'Data Input'!$F$11+'Data Input'!$C$10+'Data Input'!$F$10)</f>
        <v>4326.4000000000005</v>
      </c>
      <c r="F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5" s="56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5" s="53">
        <f>12*'Data Input'!$I$24</f>
        <v>2250</v>
      </c>
      <c r="J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5" s="56">
        <f>IF(Table12[[#This Row],[year]]&lt;'Data Input'!$I$4,12*'Data Input'!$N$24,12*'Data Input'!$N$35)</f>
        <v>2400</v>
      </c>
      <c r="O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5" s="55">
        <f>SUM(Table12[[#This Row],[Utilities]:[Misc. Housing costs]])</f>
        <v>40746.400000000001</v>
      </c>
      <c r="U5" s="54">
        <f>Table12[[#This Row],[Total]]/12</f>
        <v>3395.5333333333333</v>
      </c>
    </row>
    <row r="6" spans="1:21">
      <c r="A6" s="19">
        <f t="shared" si="0"/>
        <v>2019</v>
      </c>
      <c r="B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6" s="53">
        <f>ROUNDDOWN('Student Loans'!B9+'Credit Card Debt'!B9,2)</f>
        <v>0</v>
      </c>
      <c r="E6" s="53">
        <f>MIN('Data Input'!$C$12+'Data Input'!$F$12,'Main Info'!B5*'Data Input'!$C$11+'Main Info'!E5*'Data Input'!$F$11+'Data Input'!$C$10+'Data Input'!$F$10)</f>
        <v>4499.456000000001</v>
      </c>
      <c r="F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6" s="53">
        <f>12*'Data Input'!$I$24</f>
        <v>2250</v>
      </c>
      <c r="J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6" s="55">
        <f>IF(Table12[[#This Row],[year]]&lt;'Data Input'!$I$4,12*'Data Input'!$N$24,12*'Data Input'!$N$35)</f>
        <v>2400</v>
      </c>
      <c r="O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6" s="55">
        <f>SUM(Table12[[#This Row],[Utilities]:[Misc. Housing costs]])</f>
        <v>40919.456000000006</v>
      </c>
      <c r="U6" s="54">
        <f>Table12[[#This Row],[Total]]/12</f>
        <v>3409.954666666667</v>
      </c>
    </row>
    <row r="7" spans="1:21">
      <c r="A7" s="19">
        <f t="shared" si="0"/>
        <v>2020</v>
      </c>
      <c r="B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7" s="53">
        <f>ROUNDDOWN('Student Loans'!B10+'Credit Card Debt'!B10,2)</f>
        <v>0</v>
      </c>
      <c r="E7" s="53">
        <f>MIN('Data Input'!$C$12+'Data Input'!$F$12,'Main Info'!B6*'Data Input'!$C$11+'Main Info'!E6*'Data Input'!$F$11+'Data Input'!$C$10+'Data Input'!$F$10)</f>
        <v>4679.4342400000014</v>
      </c>
      <c r="F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7" s="53">
        <f>12*'Data Input'!$I$24</f>
        <v>2250</v>
      </c>
      <c r="J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7" s="55">
        <f>IF(Table12[[#This Row],[year]]&lt;'Data Input'!$I$4,12*'Data Input'!$N$24,12*'Data Input'!$N$35)</f>
        <v>2400</v>
      </c>
      <c r="O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7" s="55">
        <f>SUM(Table12[[#This Row],[Utilities]:[Misc. Housing costs]])</f>
        <v>41099.434240000002</v>
      </c>
      <c r="U7" s="54">
        <f>Table12[[#This Row],[Total]]/12</f>
        <v>3424.9528533333337</v>
      </c>
    </row>
    <row r="8" spans="1:21">
      <c r="A8" s="19">
        <f t="shared" si="0"/>
        <v>2021</v>
      </c>
      <c r="B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8" s="53">
        <f>ROUNDDOWN('Student Loans'!B11+'Credit Card Debt'!B11,2)</f>
        <v>0</v>
      </c>
      <c r="E8" s="53">
        <f>MIN('Data Input'!$C$12+'Data Input'!$F$12,'Main Info'!B7*'Data Input'!$C$11+'Main Info'!E7*'Data Input'!$F$11+'Data Input'!$C$10+'Data Input'!$F$10)</f>
        <v>4866.6116096000014</v>
      </c>
      <c r="F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8" s="53">
        <f>12*'Data Input'!$I$24</f>
        <v>2250</v>
      </c>
      <c r="J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8" s="55">
        <f>IF(Table12[[#This Row],[year]]&lt;'Data Input'!$I$4,12*'Data Input'!$N$24,12*'Data Input'!$N$35)</f>
        <v>2400</v>
      </c>
      <c r="O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8" s="55">
        <f>SUM(Table12[[#This Row],[Utilities]:[Misc. Housing costs]])</f>
        <v>41286.611609600004</v>
      </c>
      <c r="U8" s="54">
        <f>Table12[[#This Row],[Total]]/12</f>
        <v>3440.5509674666669</v>
      </c>
    </row>
    <row r="9" spans="1:21">
      <c r="A9" s="19">
        <f t="shared" si="0"/>
        <v>2022</v>
      </c>
      <c r="B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9" s="53">
        <f>ROUNDDOWN('Student Loans'!B12+'Credit Card Debt'!B12,2)</f>
        <v>0</v>
      </c>
      <c r="E9" s="53">
        <f>MIN('Data Input'!$C$12+'Data Input'!$F$12,'Main Info'!B8*'Data Input'!$C$11+'Main Info'!E8*'Data Input'!$F$11+'Data Input'!$C$10+'Data Input'!$F$10)</f>
        <v>5061.2760739840014</v>
      </c>
      <c r="F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9" s="53">
        <f>12*'Data Input'!$I$24</f>
        <v>2250</v>
      </c>
      <c r="J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9" s="55">
        <f>IF(Table12[[#This Row],[year]]&lt;'Data Input'!$I$4,12*'Data Input'!$N$24,12*'Data Input'!$N$35)</f>
        <v>2400</v>
      </c>
      <c r="O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9" s="55">
        <f>SUM(Table12[[#This Row],[Utilities]:[Misc. Housing costs]])</f>
        <v>41481.276073984001</v>
      </c>
      <c r="U9" s="54">
        <f>Table12[[#This Row],[Total]]/12</f>
        <v>3456.7730061653333</v>
      </c>
    </row>
    <row r="10" spans="1:21">
      <c r="A10" s="19">
        <f t="shared" si="0"/>
        <v>2023</v>
      </c>
      <c r="B1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0" s="53">
        <f>ROUNDDOWN('Student Loans'!B13+'Credit Card Debt'!B13,2)</f>
        <v>0</v>
      </c>
      <c r="E10" s="53">
        <f>MIN('Data Input'!$C$12+'Data Input'!$F$12,'Main Info'!B9*'Data Input'!$C$11+'Main Info'!E9*'Data Input'!$F$11+'Data Input'!$C$10+'Data Input'!$F$10)</f>
        <v>5263.7271169433616</v>
      </c>
      <c r="F1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0" s="53">
        <f>12*'Data Input'!$I$24</f>
        <v>2250</v>
      </c>
      <c r="J1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0" s="55">
        <f>IF(Table12[[#This Row],[year]]&lt;'Data Input'!$I$4,12*'Data Input'!$N$24,12*'Data Input'!$N$35)</f>
        <v>2400</v>
      </c>
      <c r="O1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0" s="55">
        <f>SUM(Table12[[#This Row],[Utilities]:[Misc. Housing costs]])</f>
        <v>41683.727116943366</v>
      </c>
      <c r="U10" s="54">
        <f>Table12[[#This Row],[Total]]/12</f>
        <v>3473.6439264119472</v>
      </c>
    </row>
    <row r="11" spans="1:21">
      <c r="A11" s="19">
        <f t="shared" si="0"/>
        <v>2024</v>
      </c>
      <c r="B1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1" s="53">
        <f>ROUNDDOWN('Student Loans'!B14+'Credit Card Debt'!B14,2)</f>
        <v>0</v>
      </c>
      <c r="E11" s="53">
        <f>MIN('Data Input'!$C$12+'Data Input'!$F$12,'Main Info'!B10*'Data Input'!$C$11+'Main Info'!E10*'Data Input'!$F$11+'Data Input'!$C$10+'Data Input'!$F$10)</f>
        <v>5474.2762016210972</v>
      </c>
      <c r="F1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1" s="53">
        <f>12*'Data Input'!$I$24</f>
        <v>2250</v>
      </c>
      <c r="J1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1" s="55">
        <f>IF(Table12[[#This Row],[year]]&lt;'Data Input'!$I$4,12*'Data Input'!$N$24,12*'Data Input'!$N$35)</f>
        <v>2400</v>
      </c>
      <c r="O1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1" s="55">
        <f>SUM(Table12[[#This Row],[Utilities]:[Misc. Housing costs]])</f>
        <v>41894.276201621098</v>
      </c>
      <c r="U11" s="54">
        <f>Table12[[#This Row],[Total]]/12</f>
        <v>3491.1896834684248</v>
      </c>
    </row>
    <row r="12" spans="1:21">
      <c r="A12" s="19">
        <f t="shared" si="0"/>
        <v>2025</v>
      </c>
      <c r="B1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2" s="53">
        <f>ROUNDDOWN('Student Loans'!B15+'Credit Card Debt'!B15,2)</f>
        <v>0</v>
      </c>
      <c r="E12" s="53">
        <f>MIN('Data Input'!$C$12+'Data Input'!$F$12,'Main Info'!B11*'Data Input'!$C$11+'Main Info'!E11*'Data Input'!$F$11+'Data Input'!$C$10+'Data Input'!$F$10)</f>
        <v>5693.2472496859409</v>
      </c>
      <c r="F1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2" s="53">
        <f>12*'Data Input'!$I$24</f>
        <v>2250</v>
      </c>
      <c r="J1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2" s="55">
        <f>IF(Table12[[#This Row],[year]]&lt;'Data Input'!$I$4,12*'Data Input'!$N$24,12*'Data Input'!$N$35)</f>
        <v>2400</v>
      </c>
      <c r="O1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2" s="55">
        <f>SUM(Table12[[#This Row],[Utilities]:[Misc. Housing costs]])</f>
        <v>42113.247249685941</v>
      </c>
      <c r="U12" s="54">
        <f>Table12[[#This Row],[Total]]/12</f>
        <v>3509.4372708071619</v>
      </c>
    </row>
    <row r="13" spans="1:21">
      <c r="A13" s="19">
        <f t="shared" si="0"/>
        <v>2026</v>
      </c>
      <c r="B1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3" s="53">
        <f>ROUNDDOWN('Student Loans'!B16+'Credit Card Debt'!B16,2)</f>
        <v>0</v>
      </c>
      <c r="E13" s="53">
        <f>MIN('Data Input'!$C$12+'Data Input'!$F$12,'Main Info'!B12*'Data Input'!$C$11+'Main Info'!E12*'Data Input'!$F$11+'Data Input'!$C$10+'Data Input'!$F$10)</f>
        <v>5920.9771396733786</v>
      </c>
      <c r="F1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3" s="53">
        <f>12*'Data Input'!$I$24</f>
        <v>2250</v>
      </c>
      <c r="J1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3" s="55">
        <f>IF(Table12[[#This Row],[year]]&lt;'Data Input'!$I$4,12*'Data Input'!$N$24,12*'Data Input'!$N$35)</f>
        <v>2400</v>
      </c>
      <c r="O1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3" s="55">
        <f>SUM(Table12[[#This Row],[Utilities]:[Misc. Housing costs]])</f>
        <v>42340.977139673378</v>
      </c>
      <c r="U13" s="54">
        <f>Table12[[#This Row],[Total]]/12</f>
        <v>3528.414761639448</v>
      </c>
    </row>
    <row r="14" spans="1:21">
      <c r="A14" s="19">
        <f t="shared" si="0"/>
        <v>2027</v>
      </c>
      <c r="B1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4" s="53">
        <f>ROUNDDOWN('Student Loans'!B17+'Credit Card Debt'!B17,2)</f>
        <v>0</v>
      </c>
      <c r="E14" s="53">
        <f>MIN('Data Input'!$C$12+'Data Input'!$F$12,'Main Info'!B13*'Data Input'!$C$11+'Main Info'!E13*'Data Input'!$F$11+'Data Input'!$C$10+'Data Input'!$F$10)</f>
        <v>6157.8162252603133</v>
      </c>
      <c r="F1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4" s="53">
        <f>12*'Data Input'!$I$24</f>
        <v>2250</v>
      </c>
      <c r="J1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4" s="55">
        <f>IF(Table12[[#This Row],[year]]&lt;'Data Input'!$I$4,12*'Data Input'!$N$24,12*'Data Input'!$N$35)</f>
        <v>2400</v>
      </c>
      <c r="O1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4" s="55">
        <f>SUM(Table12[[#This Row],[Utilities]:[Misc. Housing costs]])</f>
        <v>42577.816225260314</v>
      </c>
      <c r="U14" s="54">
        <f>Table12[[#This Row],[Total]]/12</f>
        <v>3548.151352105026</v>
      </c>
    </row>
    <row r="15" spans="1:21">
      <c r="A15" s="19">
        <f t="shared" si="0"/>
        <v>2028</v>
      </c>
      <c r="B1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5" s="53">
        <f>ROUNDDOWN('Student Loans'!B18+'Credit Card Debt'!B18,2)</f>
        <v>0</v>
      </c>
      <c r="E15" s="53">
        <f>MIN('Data Input'!$C$12+'Data Input'!$F$12,'Main Info'!B14*'Data Input'!$C$11+'Main Info'!E14*'Data Input'!$F$11+'Data Input'!$C$10+'Data Input'!$F$10)</f>
        <v>6404.1288742707275</v>
      </c>
      <c r="F1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5" s="53">
        <f>12*'Data Input'!$I$24</f>
        <v>2250</v>
      </c>
      <c r="J1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5" s="55">
        <f>IF(Table12[[#This Row],[year]]&lt;'Data Input'!$I$4,12*'Data Input'!$N$24,12*'Data Input'!$N$35)</f>
        <v>2400</v>
      </c>
      <c r="O1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5" s="55">
        <f>SUM(Table12[[#This Row],[Utilities]:[Misc. Housing costs]])</f>
        <v>42824.128874270726</v>
      </c>
      <c r="U15" s="54">
        <f>Table12[[#This Row],[Total]]/12</f>
        <v>3568.677406189227</v>
      </c>
    </row>
    <row r="16" spans="1:21">
      <c r="A16" s="19">
        <f t="shared" si="0"/>
        <v>2029</v>
      </c>
      <c r="B1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6" s="53">
        <f>ROUNDDOWN('Student Loans'!B19+'Credit Card Debt'!B19,2)</f>
        <v>0</v>
      </c>
      <c r="E16" s="53">
        <f>MIN('Data Input'!$C$12+'Data Input'!$F$12,'Main Info'!B15*'Data Input'!$C$11+'Main Info'!E15*'Data Input'!$F$11+'Data Input'!$C$10+'Data Input'!$F$10)</f>
        <v>6660.294029241556</v>
      </c>
      <c r="F1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6" s="53">
        <f>12*'Data Input'!$I$24</f>
        <v>2250</v>
      </c>
      <c r="J1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6" s="55">
        <f>IF(Table12[[#This Row],[year]]&lt;'Data Input'!$I$4,12*'Data Input'!$N$24,12*'Data Input'!$N$35)</f>
        <v>2400</v>
      </c>
      <c r="O1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6" s="55">
        <f>SUM(Table12[[#This Row],[Utilities]:[Misc. Housing costs]])</f>
        <v>43080.294029241559</v>
      </c>
      <c r="U16" s="54">
        <f>Table12[[#This Row],[Total]]/12</f>
        <v>3590.0245024367964</v>
      </c>
    </row>
    <row r="17" spans="1:21">
      <c r="A17" s="19">
        <f t="shared" si="0"/>
        <v>2030</v>
      </c>
      <c r="B1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7" s="53">
        <f>ROUNDDOWN('Student Loans'!B20+'Credit Card Debt'!B20,2)</f>
        <v>0</v>
      </c>
      <c r="E17" s="53">
        <f>MIN('Data Input'!$C$12+'Data Input'!$F$12,'Main Info'!B16*'Data Input'!$C$11+'Main Info'!E16*'Data Input'!$F$11+'Data Input'!$C$10+'Data Input'!$F$10)</f>
        <v>6926.7057904112189</v>
      </c>
      <c r="F1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7" s="53">
        <f>12*'Data Input'!$I$24</f>
        <v>2250</v>
      </c>
      <c r="J1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7" s="55">
        <f>IF(Table12[[#This Row],[year]]&lt;'Data Input'!$I$4,12*'Data Input'!$N$24,12*'Data Input'!$N$35)</f>
        <v>2400</v>
      </c>
      <c r="O1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7" s="55">
        <f>SUM(Table12[[#This Row],[Utilities]:[Misc. Housing costs]])</f>
        <v>43346.705790411215</v>
      </c>
      <c r="U17" s="54">
        <f>Table12[[#This Row],[Total]]/12</f>
        <v>3612.2254825342679</v>
      </c>
    </row>
    <row r="18" spans="1:21">
      <c r="A18" s="19">
        <f t="shared" si="0"/>
        <v>2031</v>
      </c>
      <c r="B1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8" s="53">
        <f>ROUNDDOWN('Student Loans'!B21+'Credit Card Debt'!B21,2)</f>
        <v>0</v>
      </c>
      <c r="E18" s="53">
        <f>MIN('Data Input'!$C$12+'Data Input'!$F$12,'Main Info'!B17*'Data Input'!$C$11+'Main Info'!E17*'Data Input'!$F$11+'Data Input'!$C$10+'Data Input'!$F$10)</f>
        <v>7203.7740220276673</v>
      </c>
      <c r="F1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8" s="53">
        <f>12*'Data Input'!$I$24</f>
        <v>2250</v>
      </c>
      <c r="J1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8" s="55">
        <f>IF(Table12[[#This Row],[year]]&lt;'Data Input'!$I$4,12*'Data Input'!$N$24,12*'Data Input'!$N$35)</f>
        <v>2400</v>
      </c>
      <c r="O1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8" s="55">
        <f>SUM(Table12[[#This Row],[Utilities]:[Misc. Housing costs]])</f>
        <v>43623.774022027668</v>
      </c>
      <c r="U18" s="54">
        <f>Table12[[#This Row],[Total]]/12</f>
        <v>3635.314501835639</v>
      </c>
    </row>
    <row r="19" spans="1:21">
      <c r="A19" s="19">
        <f t="shared" si="0"/>
        <v>2032</v>
      </c>
      <c r="B1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9" s="53">
        <f>ROUNDDOWN('Student Loans'!B22+'Credit Card Debt'!B22,2)</f>
        <v>0</v>
      </c>
      <c r="E19" s="53">
        <f>MIN('Data Input'!$C$12+'Data Input'!$F$12,'Main Info'!B18*'Data Input'!$C$11+'Main Info'!E18*'Data Input'!$F$11+'Data Input'!$C$10+'Data Input'!$F$10)</f>
        <v>7491.9249829087757</v>
      </c>
      <c r="F1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9" s="53">
        <f>12*'Data Input'!$I$24</f>
        <v>2250</v>
      </c>
      <c r="J1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9" s="55">
        <f>IF(Table12[[#This Row],[year]]&lt;'Data Input'!$I$4,12*'Data Input'!$N$24,12*'Data Input'!$N$35)</f>
        <v>2400</v>
      </c>
      <c r="O1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9" s="55">
        <f>SUM(Table12[[#This Row],[Utilities]:[Misc. Housing costs]])</f>
        <v>43911.924982908778</v>
      </c>
      <c r="U19" s="54">
        <f>Table12[[#This Row],[Total]]/12</f>
        <v>3659.3270819090649</v>
      </c>
    </row>
    <row r="20" spans="1:21">
      <c r="A20" s="19">
        <f t="shared" si="0"/>
        <v>2033</v>
      </c>
      <c r="B2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0" s="53">
        <f>ROUNDDOWN('Student Loans'!B23+'Credit Card Debt'!B23,2)</f>
        <v>0</v>
      </c>
      <c r="E20" s="53">
        <f>MIN('Data Input'!$C$12+'Data Input'!$F$12,'Main Info'!B19*'Data Input'!$C$11+'Main Info'!E19*'Data Input'!$F$11+'Data Input'!$C$10+'Data Input'!$F$10)</f>
        <v>7791.6019822251255</v>
      </c>
      <c r="F2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0" s="53">
        <f>12*'Data Input'!$I$24</f>
        <v>2250</v>
      </c>
      <c r="J2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0" s="55">
        <f>IF(Table12[[#This Row],[year]]&lt;'Data Input'!$I$4,12*'Data Input'!$N$24,12*'Data Input'!$N$35)</f>
        <v>2400</v>
      </c>
      <c r="O2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0" s="55">
        <f>SUM(Table12[[#This Row],[Utilities]:[Misc. Housing costs]])</f>
        <v>44211.601982225126</v>
      </c>
      <c r="U20" s="54">
        <f>Table12[[#This Row],[Total]]/12</f>
        <v>3684.300165185427</v>
      </c>
    </row>
    <row r="21" spans="1:21">
      <c r="A21" s="19">
        <f t="shared" si="0"/>
        <v>2034</v>
      </c>
      <c r="B2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1" s="53">
        <f>ROUNDDOWN('Student Loans'!B24+'Credit Card Debt'!B24,2)</f>
        <v>0</v>
      </c>
      <c r="E21" s="53">
        <f>MIN('Data Input'!$C$12+'Data Input'!$F$12,'Main Info'!B20*'Data Input'!$C$11+'Main Info'!E20*'Data Input'!$F$11+'Data Input'!$C$10+'Data Input'!$F$10)</f>
        <v>8103.2660615141322</v>
      </c>
      <c r="F2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1" s="53">
        <f>12*'Data Input'!$I$24</f>
        <v>2250</v>
      </c>
      <c r="J2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1" s="55">
        <f>IF(Table12[[#This Row],[year]]&lt;'Data Input'!$I$4,12*'Data Input'!$N$24,12*'Data Input'!$N$35)</f>
        <v>2400</v>
      </c>
      <c r="O2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1" s="55">
        <f>SUM(Table12[[#This Row],[Utilities]:[Misc. Housing costs]])</f>
        <v>44523.266061514136</v>
      </c>
      <c r="U21" s="54">
        <f>Table12[[#This Row],[Total]]/12</f>
        <v>3710.2721717928448</v>
      </c>
    </row>
    <row r="22" spans="1:21">
      <c r="A22" s="19">
        <f t="shared" si="0"/>
        <v>2035</v>
      </c>
      <c r="B2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2" s="53">
        <f>ROUNDDOWN('Student Loans'!B25+'Credit Card Debt'!B25,2)</f>
        <v>0</v>
      </c>
      <c r="E22" s="53">
        <f>MIN('Data Input'!$C$12+'Data Input'!$F$12,'Main Info'!B21*'Data Input'!$C$11+'Main Info'!E21*'Data Input'!$F$11+'Data Input'!$C$10+'Data Input'!$F$10)</f>
        <v>8427.3967039746985</v>
      </c>
      <c r="F2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2" s="53">
        <f>12*'Data Input'!$I$24</f>
        <v>2250</v>
      </c>
      <c r="J2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2" s="55">
        <f>IF(Table12[[#This Row],[year]]&lt;'Data Input'!$I$4,12*'Data Input'!$N$24,12*'Data Input'!$N$35)</f>
        <v>2400</v>
      </c>
      <c r="O2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2" s="55">
        <f>SUM(Table12[[#This Row],[Utilities]:[Misc. Housing costs]])</f>
        <v>44847.3967039747</v>
      </c>
      <c r="U22" s="54">
        <f>Table12[[#This Row],[Total]]/12</f>
        <v>3737.2830586645582</v>
      </c>
    </row>
    <row r="23" spans="1:21">
      <c r="A23" s="19">
        <f t="shared" si="0"/>
        <v>2036</v>
      </c>
      <c r="B2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3" s="53">
        <f>ROUNDDOWN('Student Loans'!B26+'Credit Card Debt'!B26,2)</f>
        <v>0</v>
      </c>
      <c r="E23" s="53">
        <f>MIN('Data Input'!$C$12+'Data Input'!$F$12,'Main Info'!B22*'Data Input'!$C$11+'Main Info'!E22*'Data Input'!$F$11+'Data Input'!$C$10+'Data Input'!$F$10)</f>
        <v>8764.4925721336858</v>
      </c>
      <c r="F2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3" s="53">
        <f>12*'Data Input'!$I$24</f>
        <v>2250</v>
      </c>
      <c r="J2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3" s="55">
        <f>IF(Table12[[#This Row],[year]]&lt;'Data Input'!$I$4,12*'Data Input'!$N$24,12*'Data Input'!$N$35)</f>
        <v>2400</v>
      </c>
      <c r="O2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3" s="55">
        <f>SUM(Table12[[#This Row],[Utilities]:[Misc. Housing costs]])</f>
        <v>45184.492572133684</v>
      </c>
      <c r="U23" s="54">
        <f>Table12[[#This Row],[Total]]/12</f>
        <v>3765.3743810111405</v>
      </c>
    </row>
    <row r="24" spans="1:21">
      <c r="A24" s="19">
        <f t="shared" si="0"/>
        <v>2037</v>
      </c>
      <c r="B2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4" s="53">
        <f>ROUNDDOWN('Student Loans'!B27+'Credit Card Debt'!B27,2)</f>
        <v>0</v>
      </c>
      <c r="E24" s="53">
        <f>MIN('Data Input'!$C$12+'Data Input'!$F$12,'Main Info'!B23*'Data Input'!$C$11+'Main Info'!E23*'Data Input'!$F$11+'Data Input'!$C$10+'Data Input'!$F$10)</f>
        <v>9115.0722750190362</v>
      </c>
      <c r="F2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4" s="53">
        <f>12*'Data Input'!$I$24</f>
        <v>2250</v>
      </c>
      <c r="J2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4" s="55">
        <f>IF(Table12[[#This Row],[year]]&lt;'Data Input'!$I$4,12*'Data Input'!$N$24,12*'Data Input'!$N$35)</f>
        <v>2400</v>
      </c>
      <c r="O2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4" s="55">
        <f>SUM(Table12[[#This Row],[Utilities]:[Misc. Housing costs]])</f>
        <v>45535.072275019033</v>
      </c>
      <c r="U24" s="54">
        <f>Table12[[#This Row],[Total]]/12</f>
        <v>3794.5893562515862</v>
      </c>
    </row>
    <row r="25" spans="1:21">
      <c r="A25" s="19">
        <f t="shared" si="0"/>
        <v>2038</v>
      </c>
      <c r="B2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5" s="53">
        <f>ROUNDDOWN('Student Loans'!B28+'Credit Card Debt'!B28,2)</f>
        <v>0</v>
      </c>
      <c r="E25" s="53">
        <f>MIN('Data Input'!$C$12+'Data Input'!$F$12,'Main Info'!B24*'Data Input'!$C$11+'Main Info'!E24*'Data Input'!$F$11+'Data Input'!$C$10+'Data Input'!$F$10)</f>
        <v>9479.675166019797</v>
      </c>
      <c r="F2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5" s="53">
        <f>12*'Data Input'!$I$24</f>
        <v>2250</v>
      </c>
      <c r="J2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5" s="55">
        <f>IF(Table12[[#This Row],[year]]&lt;'Data Input'!$I$4,12*'Data Input'!$N$24,12*'Data Input'!$N$35)</f>
        <v>2400</v>
      </c>
      <c r="O2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5" s="55">
        <f>SUM(Table12[[#This Row],[Utilities]:[Misc. Housing costs]])</f>
        <v>45899.675166019799</v>
      </c>
      <c r="U25" s="54">
        <f>Table12[[#This Row],[Total]]/12</f>
        <v>3824.9729305016499</v>
      </c>
    </row>
    <row r="26" spans="1:21">
      <c r="A26" s="19">
        <f t="shared" si="0"/>
        <v>2039</v>
      </c>
      <c r="B2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6" s="53">
        <f>ROUNDDOWN('Student Loans'!B29+'Credit Card Debt'!B29,2)</f>
        <v>0</v>
      </c>
      <c r="E26" s="53">
        <f>MIN('Data Input'!$C$12+'Data Input'!$F$12,'Main Info'!B25*'Data Input'!$C$11+'Main Info'!E25*'Data Input'!$F$11+'Data Input'!$C$10+'Data Input'!$F$10)</f>
        <v>9858.862172660587</v>
      </c>
      <c r="F2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6" s="53">
        <f>12*'Data Input'!$I$24</f>
        <v>2250</v>
      </c>
      <c r="J2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6" s="55">
        <f>IF(Table12[[#This Row],[year]]&lt;'Data Input'!$I$4,12*'Data Input'!$N$24,12*'Data Input'!$N$35)</f>
        <v>2400</v>
      </c>
      <c r="O2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6" s="55">
        <f>SUM(Table12[[#This Row],[Utilities]:[Misc. Housing costs]])</f>
        <v>46278.862172660585</v>
      </c>
      <c r="U26" s="54">
        <f>Table12[[#This Row],[Total]]/12</f>
        <v>3856.5718477217156</v>
      </c>
    </row>
    <row r="27" spans="1:21">
      <c r="A27" s="19">
        <f t="shared" si="0"/>
        <v>2040</v>
      </c>
      <c r="B2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7" s="53">
        <f>ROUNDDOWN('Student Loans'!B30+'Credit Card Debt'!B30,2)</f>
        <v>0</v>
      </c>
      <c r="E27" s="53">
        <f>MIN('Data Input'!$C$12+'Data Input'!$F$12,'Main Info'!B26*'Data Input'!$C$11+'Main Info'!E26*'Data Input'!$F$11+'Data Input'!$C$10+'Data Input'!$F$10)</f>
        <v>10253.216659567011</v>
      </c>
      <c r="F2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7" s="53">
        <f>12*'Data Input'!$I$24</f>
        <v>2250</v>
      </c>
      <c r="J2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7" s="55">
        <f>IF(Table12[[#This Row],[year]]&lt;'Data Input'!$I$4,12*'Data Input'!$N$24,12*'Data Input'!$N$35)</f>
        <v>2400</v>
      </c>
      <c r="O2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7" s="55">
        <f>SUM(Table12[[#This Row],[Utilities]:[Misc. Housing costs]])</f>
        <v>46673.216659567013</v>
      </c>
      <c r="U27" s="54">
        <f>Table12[[#This Row],[Total]]/12</f>
        <v>3889.4347216305846</v>
      </c>
    </row>
    <row r="28" spans="1:21">
      <c r="A28" s="19">
        <f t="shared" si="0"/>
        <v>2041</v>
      </c>
      <c r="B2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8" s="53">
        <f>ROUNDDOWN('Student Loans'!B31+'Credit Card Debt'!B31,2)</f>
        <v>0</v>
      </c>
      <c r="E28" s="53">
        <f>MIN('Data Input'!$C$12+'Data Input'!$F$12,'Main Info'!B27*'Data Input'!$C$11+'Main Info'!E27*'Data Input'!$F$11+'Data Input'!$C$10+'Data Input'!$F$10)</f>
        <v>10663.345325949695</v>
      </c>
      <c r="F2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8" s="53">
        <f>12*'Data Input'!$I$24</f>
        <v>2250</v>
      </c>
      <c r="J2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8" s="55">
        <f>IF(Table12[[#This Row],[year]]&lt;'Data Input'!$I$4,12*'Data Input'!$N$24,12*'Data Input'!$N$35)</f>
        <v>2400</v>
      </c>
      <c r="O2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8" s="55">
        <f>SUM(Table12[[#This Row],[Utilities]:[Misc. Housing costs]])</f>
        <v>47083.345325949696</v>
      </c>
      <c r="U28" s="54">
        <f>Table12[[#This Row],[Total]]/12</f>
        <v>3923.6121104958079</v>
      </c>
    </row>
    <row r="29" spans="1:21">
      <c r="A29" s="19">
        <f t="shared" si="0"/>
        <v>2042</v>
      </c>
      <c r="B2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9" s="53">
        <f>ROUNDDOWN('Student Loans'!B32+'Credit Card Debt'!B32,2)</f>
        <v>0</v>
      </c>
      <c r="E29" s="53">
        <f>MIN('Data Input'!$C$12+'Data Input'!$F$12,'Main Info'!B28*'Data Input'!$C$11+'Main Info'!E28*'Data Input'!$F$11+'Data Input'!$C$10+'Data Input'!$F$10)</f>
        <v>11000</v>
      </c>
      <c r="F2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9" s="53">
        <f>12*'Data Input'!$I$24</f>
        <v>2250</v>
      </c>
      <c r="J2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9" s="55">
        <f>IF(Table12[[#This Row],[year]]&lt;'Data Input'!$I$4,12*'Data Input'!$N$24,12*'Data Input'!$N$35)</f>
        <v>2400</v>
      </c>
      <c r="O2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9" s="55">
        <f>SUM(Table12[[#This Row],[Utilities]:[Misc. Housing costs]])</f>
        <v>47420</v>
      </c>
      <c r="U29" s="54">
        <f>Table12[[#This Row],[Total]]/12</f>
        <v>3951.6666666666665</v>
      </c>
    </row>
    <row r="30" spans="1:21">
      <c r="A30" s="19">
        <f t="shared" si="0"/>
        <v>2043</v>
      </c>
      <c r="B3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0" s="53">
        <f>ROUNDDOWN('Student Loans'!B33+'Credit Card Debt'!B33,2)</f>
        <v>0</v>
      </c>
      <c r="E30" s="53">
        <f>MIN('Data Input'!$C$12+'Data Input'!$F$12,'Main Info'!B29*'Data Input'!$C$11+'Main Info'!E29*'Data Input'!$F$11+'Data Input'!$C$10+'Data Input'!$F$10)</f>
        <v>11000</v>
      </c>
      <c r="F3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0" s="53">
        <f>12*'Data Input'!$I$24</f>
        <v>2250</v>
      </c>
      <c r="J3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0" s="55">
        <f>IF(Table12[[#This Row],[year]]&lt;'Data Input'!$I$4,12*'Data Input'!$N$24,12*'Data Input'!$N$35)</f>
        <v>2400</v>
      </c>
      <c r="O3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0" s="55">
        <f>SUM(Table12[[#This Row],[Utilities]:[Misc. Housing costs]])</f>
        <v>47420</v>
      </c>
      <c r="U30" s="54">
        <f>Table12[[#This Row],[Total]]/12</f>
        <v>3951.6666666666665</v>
      </c>
    </row>
    <row r="31" spans="1:21">
      <c r="A31" s="19">
        <f t="shared" si="0"/>
        <v>2044</v>
      </c>
      <c r="B3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1" s="53">
        <f>ROUNDDOWN('Student Loans'!B34+'Credit Card Debt'!B34,2)</f>
        <v>0</v>
      </c>
      <c r="E31" s="53">
        <f>MIN('Data Input'!$C$12+'Data Input'!$F$12,'Main Info'!B30*'Data Input'!$C$11+'Main Info'!E30*'Data Input'!$F$11+'Data Input'!$C$10+'Data Input'!$F$10)</f>
        <v>11000</v>
      </c>
      <c r="F3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1" s="53">
        <f>12*'Data Input'!$I$24</f>
        <v>2250</v>
      </c>
      <c r="J3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1" s="55">
        <f>IF(Table12[[#This Row],[year]]&lt;'Data Input'!$I$4,12*'Data Input'!$N$24,12*'Data Input'!$N$35)</f>
        <v>2400</v>
      </c>
      <c r="O3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1" s="55">
        <f>SUM(Table12[[#This Row],[Utilities]:[Misc. Housing costs]])</f>
        <v>47420</v>
      </c>
      <c r="U31" s="54">
        <f>Table12[[#This Row],[Total]]/12</f>
        <v>3951.6666666666665</v>
      </c>
    </row>
    <row r="32" spans="1:21">
      <c r="A32" s="19">
        <f t="shared" si="0"/>
        <v>2045</v>
      </c>
      <c r="B3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2" s="53">
        <f>ROUNDDOWN('Student Loans'!B35+'Credit Card Debt'!B35,2)</f>
        <v>0</v>
      </c>
      <c r="E32" s="53">
        <f>MIN('Data Input'!$C$12+'Data Input'!$F$12,'Main Info'!B31*'Data Input'!$C$11+'Main Info'!E31*'Data Input'!$F$11+'Data Input'!$C$10+'Data Input'!$F$10)</f>
        <v>11000</v>
      </c>
      <c r="F3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2" s="53">
        <f>12*'Data Input'!$I$24</f>
        <v>2250</v>
      </c>
      <c r="J3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2" s="55">
        <f>IF(Table12[[#This Row],[year]]&lt;'Data Input'!$I$4,12*'Data Input'!$N$24,12*'Data Input'!$N$35)</f>
        <v>2400</v>
      </c>
      <c r="O3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2" s="55">
        <f>SUM(Table12[[#This Row],[Utilities]:[Misc. Housing costs]])</f>
        <v>47420</v>
      </c>
      <c r="U32" s="54">
        <f>Table12[[#This Row],[Total]]/12</f>
        <v>3951.6666666666665</v>
      </c>
    </row>
    <row r="33" spans="1:21">
      <c r="A33" s="19">
        <f t="shared" si="0"/>
        <v>2046</v>
      </c>
      <c r="B3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3" s="53">
        <f>ROUNDDOWN('Student Loans'!B36+'Credit Card Debt'!B36,2)</f>
        <v>0</v>
      </c>
      <c r="E33" s="53">
        <f>MIN('Data Input'!$C$12+'Data Input'!$F$12,'Main Info'!B32*'Data Input'!$C$11+'Main Info'!E32*'Data Input'!$F$11+'Data Input'!$C$10+'Data Input'!$F$10)</f>
        <v>11000</v>
      </c>
      <c r="F3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3" s="53">
        <f>12*'Data Input'!$I$24</f>
        <v>2250</v>
      </c>
      <c r="J3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3" s="55">
        <f>IF(Table12[[#This Row],[year]]&lt;'Data Input'!$I$4,12*'Data Input'!$N$24,12*'Data Input'!$N$35)</f>
        <v>2400</v>
      </c>
      <c r="O3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3" s="55">
        <f>SUM(Table12[[#This Row],[Utilities]:[Misc. Housing costs]])</f>
        <v>47420</v>
      </c>
      <c r="U33" s="54">
        <f>Table12[[#This Row],[Total]]/12</f>
        <v>3951.6666666666665</v>
      </c>
    </row>
    <row r="34" spans="1:21">
      <c r="A34" s="19">
        <f t="shared" si="0"/>
        <v>2047</v>
      </c>
      <c r="B3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4" s="53">
        <f>ROUNDDOWN('Student Loans'!B37+'Credit Card Debt'!B37,2)</f>
        <v>0</v>
      </c>
      <c r="E34" s="53">
        <f>MIN('Data Input'!$C$12+'Data Input'!$F$12,'Main Info'!B33*'Data Input'!$C$11+'Main Info'!E33*'Data Input'!$F$11+'Data Input'!$C$10+'Data Input'!$F$10)</f>
        <v>11000</v>
      </c>
      <c r="F3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4" s="53">
        <f>12*'Data Input'!$I$24</f>
        <v>2250</v>
      </c>
      <c r="J3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4" s="55">
        <f>IF(Table12[[#This Row],[year]]&lt;'Data Input'!$I$4,12*'Data Input'!$N$24,12*'Data Input'!$N$35)</f>
        <v>2400</v>
      </c>
      <c r="O3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4" s="55">
        <f>SUM(Table12[[#This Row],[Utilities]:[Misc. Housing costs]])</f>
        <v>47420</v>
      </c>
      <c r="U34" s="54">
        <f>Table12[[#This Row],[Total]]/12</f>
        <v>3951.6666666666665</v>
      </c>
    </row>
    <row r="35" spans="1:21">
      <c r="A35" s="19">
        <f t="shared" si="0"/>
        <v>2048</v>
      </c>
      <c r="B3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5" s="53">
        <f>ROUNDDOWN('Student Loans'!B38+'Credit Card Debt'!B38,2)</f>
        <v>0</v>
      </c>
      <c r="E35" s="53">
        <f>MIN('Data Input'!$C$12+'Data Input'!$F$12,'Main Info'!B34*'Data Input'!$C$11+'Main Info'!E34*'Data Input'!$F$11+'Data Input'!$C$10+'Data Input'!$F$10)</f>
        <v>11000</v>
      </c>
      <c r="F3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5" s="53">
        <f>12*'Data Input'!$I$24</f>
        <v>2250</v>
      </c>
      <c r="J3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5" s="55">
        <f>IF(Table12[[#This Row],[year]]&lt;'Data Input'!$I$4,12*'Data Input'!$N$24,12*'Data Input'!$N$35)</f>
        <v>2400</v>
      </c>
      <c r="O3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5" s="55">
        <f>SUM(Table12[[#This Row],[Utilities]:[Misc. Housing costs]])</f>
        <v>47420</v>
      </c>
      <c r="U35" s="54">
        <f>Table12[[#This Row],[Total]]/12</f>
        <v>3951.6666666666665</v>
      </c>
    </row>
    <row r="36" spans="1:21">
      <c r="A36" s="19">
        <f t="shared" si="0"/>
        <v>2049</v>
      </c>
      <c r="B3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6" s="53">
        <f>ROUNDDOWN('Student Loans'!B39+'Credit Card Debt'!B39,2)</f>
        <v>0</v>
      </c>
      <c r="E36" s="53">
        <f>MIN('Data Input'!$C$12+'Data Input'!$F$12,'Main Info'!B35*'Data Input'!$C$11+'Main Info'!E35*'Data Input'!$F$11+'Data Input'!$C$10+'Data Input'!$F$10)</f>
        <v>11000</v>
      </c>
      <c r="F3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6" s="53">
        <f>12*'Data Input'!$I$24</f>
        <v>2250</v>
      </c>
      <c r="J3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6" s="55">
        <f>IF(Table12[[#This Row],[year]]&lt;'Data Input'!$I$4,12*'Data Input'!$N$24,12*'Data Input'!$N$35)</f>
        <v>2400</v>
      </c>
      <c r="O3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6" s="55">
        <f>SUM(Table12[[#This Row],[Utilities]:[Misc. Housing costs]])</f>
        <v>47420</v>
      </c>
      <c r="U36" s="54">
        <f>Table12[[#This Row],[Total]]/12</f>
        <v>3951.6666666666665</v>
      </c>
    </row>
    <row r="37" spans="1:21">
      <c r="A37" s="19">
        <f t="shared" si="0"/>
        <v>2050</v>
      </c>
      <c r="B3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7" s="53">
        <f>ROUNDDOWN('Student Loans'!B40+'Credit Card Debt'!B40,2)</f>
        <v>0</v>
      </c>
      <c r="E37" s="53">
        <f>MIN('Data Input'!$C$12+'Data Input'!$F$12,'Main Info'!B36*'Data Input'!$C$11+'Main Info'!E36*'Data Input'!$F$11+'Data Input'!$C$10+'Data Input'!$F$10)</f>
        <v>11000</v>
      </c>
      <c r="F3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7" s="53">
        <f>12*'Data Input'!$I$24</f>
        <v>2250</v>
      </c>
      <c r="J3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7" s="55">
        <f>IF(Table12[[#This Row],[year]]&lt;'Data Input'!$I$4,12*'Data Input'!$N$24,12*'Data Input'!$N$35)</f>
        <v>2400</v>
      </c>
      <c r="O3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7" s="55">
        <f>SUM(Table12[[#This Row],[Utilities]:[Misc. Housing costs]])</f>
        <v>47420</v>
      </c>
      <c r="U37" s="54">
        <f>Table12[[#This Row],[Total]]/12</f>
        <v>3951.6666666666665</v>
      </c>
    </row>
    <row r="38" spans="1:21">
      <c r="A38" s="19">
        <f t="shared" si="0"/>
        <v>2051</v>
      </c>
      <c r="B3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8" s="53">
        <f>ROUNDDOWN('Student Loans'!B41+'Credit Card Debt'!B41,2)</f>
        <v>0</v>
      </c>
      <c r="E38" s="53">
        <f>MIN('Data Input'!$C$12+'Data Input'!$F$12,'Main Info'!B37*'Data Input'!$C$11+'Main Info'!E37*'Data Input'!$F$11+'Data Input'!$C$10+'Data Input'!$F$10)</f>
        <v>11000</v>
      </c>
      <c r="F3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8" s="53">
        <f>12*'Data Input'!$I$24</f>
        <v>2250</v>
      </c>
      <c r="J3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8" s="55">
        <f>IF(Table12[[#This Row],[year]]&lt;'Data Input'!$I$4,12*'Data Input'!$N$24,12*'Data Input'!$N$35)</f>
        <v>2400</v>
      </c>
      <c r="O3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8" s="55">
        <f>SUM(Table12[[#This Row],[Utilities]:[Misc. Housing costs]])</f>
        <v>47420</v>
      </c>
      <c r="U38" s="54">
        <f>Table12[[#This Row],[Total]]/12</f>
        <v>3951.6666666666665</v>
      </c>
    </row>
    <row r="39" spans="1:21">
      <c r="A39" s="19">
        <f t="shared" si="0"/>
        <v>2052</v>
      </c>
      <c r="B3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9" s="53">
        <f>ROUNDDOWN('Student Loans'!B42+'Credit Card Debt'!B42,2)</f>
        <v>0</v>
      </c>
      <c r="E39" s="53">
        <f>MIN('Data Input'!$C$12+'Data Input'!$F$12,'Main Info'!B38*'Data Input'!$C$11+'Main Info'!E38*'Data Input'!$F$11+'Data Input'!$C$10+'Data Input'!$F$10)</f>
        <v>11000</v>
      </c>
      <c r="F3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9" s="53">
        <f>12*'Data Input'!$I$24</f>
        <v>2250</v>
      </c>
      <c r="J3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9" s="55">
        <f>IF(Table12[[#This Row],[year]]&lt;'Data Input'!$I$4,12*'Data Input'!$N$24,12*'Data Input'!$N$35)</f>
        <v>2400</v>
      </c>
      <c r="O3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9" s="55">
        <f>SUM(Table12[[#This Row],[Utilities]:[Misc. Housing costs]])</f>
        <v>47420</v>
      </c>
      <c r="U39" s="54">
        <f>Table12[[#This Row],[Total]]/12</f>
        <v>3951.6666666666665</v>
      </c>
    </row>
    <row r="40" spans="1:21">
      <c r="A40" s="19">
        <f t="shared" si="0"/>
        <v>2053</v>
      </c>
      <c r="B4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0" s="53">
        <f>ROUNDDOWN('Student Loans'!B43+'Credit Card Debt'!B43,2)</f>
        <v>0</v>
      </c>
      <c r="E40" s="53">
        <f>MIN('Data Input'!$C$12+'Data Input'!$F$12,'Main Info'!B39*'Data Input'!$C$11+'Main Info'!E39*'Data Input'!$F$11+'Data Input'!$C$10+'Data Input'!$F$10)</f>
        <v>11000</v>
      </c>
      <c r="F4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0" s="53">
        <f>12*'Data Input'!$I$24</f>
        <v>2250</v>
      </c>
      <c r="J4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0" s="55">
        <f>IF(Table12[[#This Row],[year]]&lt;'Data Input'!$I$4,12*'Data Input'!$N$24,12*'Data Input'!$N$35)</f>
        <v>2400</v>
      </c>
      <c r="O4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0" s="55">
        <f>SUM(Table12[[#This Row],[Utilities]:[Misc. Housing costs]])</f>
        <v>47420</v>
      </c>
      <c r="U40" s="54">
        <f>Table12[[#This Row],[Total]]/12</f>
        <v>3951.6666666666665</v>
      </c>
    </row>
    <row r="41" spans="1:21">
      <c r="A41" s="19">
        <f t="shared" si="0"/>
        <v>2054</v>
      </c>
      <c r="B4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1" s="53">
        <f>ROUNDDOWN('Student Loans'!B44+'Credit Card Debt'!B44,2)</f>
        <v>0</v>
      </c>
      <c r="E41" s="53">
        <f>MIN('Data Input'!$C$12+'Data Input'!$F$12,'Main Info'!B40*'Data Input'!$C$11+'Main Info'!E40*'Data Input'!$F$11+'Data Input'!$C$10+'Data Input'!$F$10)</f>
        <v>11000</v>
      </c>
      <c r="F4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1" s="53">
        <f>12*'Data Input'!$I$24</f>
        <v>2250</v>
      </c>
      <c r="J4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1" s="55">
        <f>IF(Table12[[#This Row],[year]]&lt;'Data Input'!$I$4,12*'Data Input'!$N$24,12*'Data Input'!$N$35)</f>
        <v>2400</v>
      </c>
      <c r="O4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1" s="55">
        <f>SUM(Table12[[#This Row],[Utilities]:[Misc. Housing costs]])</f>
        <v>47420</v>
      </c>
      <c r="U41" s="54">
        <f>Table12[[#This Row],[Total]]/12</f>
        <v>3951.6666666666665</v>
      </c>
    </row>
    <row r="42" spans="1:21">
      <c r="A42" s="19">
        <f t="shared" si="0"/>
        <v>2055</v>
      </c>
      <c r="B4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2" s="53">
        <f>ROUNDDOWN('Student Loans'!B45+'Credit Card Debt'!B45,2)</f>
        <v>0</v>
      </c>
      <c r="E42" s="53">
        <f>MIN('Data Input'!$C$12+'Data Input'!$F$12,'Main Info'!B41*'Data Input'!$C$11+'Main Info'!E41*'Data Input'!$F$11+'Data Input'!$C$10+'Data Input'!$F$10)</f>
        <v>11000</v>
      </c>
      <c r="F4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2" s="53">
        <f>12*'Data Input'!$I$24</f>
        <v>2250</v>
      </c>
      <c r="J4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2" s="55">
        <f>IF(Table12[[#This Row],[year]]&lt;'Data Input'!$I$4,12*'Data Input'!$N$24,12*'Data Input'!$N$35)</f>
        <v>2400</v>
      </c>
      <c r="O4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2" s="55">
        <f>SUM(Table12[[#This Row],[Utilities]:[Misc. Housing costs]])</f>
        <v>47420</v>
      </c>
      <c r="U42" s="54">
        <f>Table12[[#This Row],[Total]]/12</f>
        <v>3951.6666666666665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67" t="s">
        <v>61</v>
      </c>
      <c r="C2" s="167"/>
      <c r="E2" s="34" t="s">
        <v>44</v>
      </c>
      <c r="F2" s="34" t="s">
        <v>18</v>
      </c>
      <c r="G2" s="29" t="s">
        <v>66</v>
      </c>
      <c r="H2" s="34" t="s">
        <v>64</v>
      </c>
      <c r="I2" s="34" t="s">
        <v>65</v>
      </c>
      <c r="J2" s="34" t="s">
        <v>18</v>
      </c>
      <c r="K2" s="16"/>
      <c r="L2" s="41"/>
    </row>
    <row r="3" spans="2:12" ht="30">
      <c r="B3" s="30" t="s">
        <v>60</v>
      </c>
      <c r="C3" s="71">
        <v>6300</v>
      </c>
      <c r="E3" s="34" t="s">
        <v>93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62</v>
      </c>
      <c r="C4" s="71">
        <v>4050</v>
      </c>
      <c r="E4" s="34" t="s">
        <v>94</v>
      </c>
      <c r="F4" s="34" t="s">
        <v>95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6" t="s">
        <v>130</v>
      </c>
      <c r="C5" s="71">
        <v>1050</v>
      </c>
      <c r="E5" s="34" t="s">
        <v>96</v>
      </c>
      <c r="F5" s="34" t="s">
        <v>97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129</v>
      </c>
      <c r="C6" s="71">
        <f>C3*2</f>
        <v>12600</v>
      </c>
      <c r="E6" s="34" t="s">
        <v>98</v>
      </c>
      <c r="F6" s="34" t="s">
        <v>99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7"/>
      <c r="C7" s="47"/>
      <c r="E7" s="34" t="s">
        <v>100</v>
      </c>
      <c r="F7" s="34" t="s">
        <v>101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102</v>
      </c>
      <c r="F8" s="34" t="s">
        <v>103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104</v>
      </c>
      <c r="F9" s="34" t="s">
        <v>105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67" t="s">
        <v>86</v>
      </c>
      <c r="C11" s="167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60</v>
      </c>
      <c r="C12" s="71">
        <v>4044</v>
      </c>
      <c r="D12" s="36"/>
      <c r="E12" s="30" t="s">
        <v>67</v>
      </c>
      <c r="F12" s="30" t="s">
        <v>76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62</v>
      </c>
      <c r="C13" s="71">
        <v>109</v>
      </c>
      <c r="D13" s="36"/>
      <c r="E13" s="30" t="s">
        <v>68</v>
      </c>
      <c r="F13" s="30" t="s">
        <v>77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69</v>
      </c>
      <c r="F14" s="30" t="s">
        <v>78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71">
        <f>C12*2</f>
        <v>8088</v>
      </c>
      <c r="D15" s="36"/>
      <c r="E15" s="30" t="s">
        <v>70</v>
      </c>
      <c r="F15" s="30" t="s">
        <v>79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71</v>
      </c>
      <c r="F16" s="30" t="s">
        <v>80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72</v>
      </c>
      <c r="F17" s="30" t="s">
        <v>81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73</v>
      </c>
      <c r="F18" s="30" t="s">
        <v>82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74</v>
      </c>
      <c r="F19" s="30" t="s">
        <v>83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75</v>
      </c>
      <c r="F20" s="30" t="s">
        <v>84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85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90</v>
      </c>
      <c r="C24" s="30" t="s">
        <v>89</v>
      </c>
      <c r="D24" s="30" t="s">
        <v>91</v>
      </c>
      <c r="E24" s="27" t="s">
        <v>92</v>
      </c>
      <c r="F24" s="36"/>
      <c r="G24" s="36"/>
    </row>
    <row r="25" spans="1:10">
      <c r="A25" s="27">
        <f>'Data Input'!I3</f>
        <v>2016</v>
      </c>
      <c r="B25" s="28">
        <f>'Main Info'!G2</f>
        <v>32300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3917.35</v>
      </c>
      <c r="D25" s="28">
        <f>'Main Info'!F2</f>
        <v>44694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886.3599999999999</v>
      </c>
    </row>
    <row r="26" spans="1:10">
      <c r="A26" s="27">
        <f>A25+1</f>
        <v>2017</v>
      </c>
      <c r="B26" s="28">
        <f>'Main Info'!G3</f>
        <v>34300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4217.3500000000004</v>
      </c>
      <c r="D26" s="28">
        <f>'Main Info'!F3</f>
        <v>46694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1932.7199999999998</v>
      </c>
    </row>
    <row r="27" spans="1:10">
      <c r="A27" s="27">
        <f t="shared" ref="A27:A64" si="4">A26+1</f>
        <v>2018</v>
      </c>
      <c r="B27" s="28">
        <f>'Main Info'!G4</f>
        <v>25851.741430294831</v>
      </c>
      <c r="C27" s="42">
        <f t="shared" si="2"/>
        <v>2950.1112145442248</v>
      </c>
      <c r="D27" s="28">
        <f>'Main Info'!F4</f>
        <v>34261.981051321258</v>
      </c>
      <c r="E27" s="28">
        <f t="shared" si="3"/>
        <v>528.23962102642508</v>
      </c>
    </row>
    <row r="28" spans="1:10">
      <c r="A28" s="27">
        <f t="shared" si="4"/>
        <v>2019</v>
      </c>
      <c r="B28" s="28">
        <f>'Main Info'!G5</f>
        <v>17248.096013707134</v>
      </c>
      <c r="C28" s="42">
        <f t="shared" si="2"/>
        <v>1724.8096013707136</v>
      </c>
      <c r="D28" s="28">
        <f>'Main Info'!F5</f>
        <v>25482.751034395034</v>
      </c>
      <c r="E28" s="28">
        <f t="shared" si="3"/>
        <v>352.65502068790067</v>
      </c>
    </row>
    <row r="29" spans="1:10">
      <c r="A29" s="27">
        <f t="shared" si="4"/>
        <v>2020</v>
      </c>
      <c r="B29" s="28">
        <f>'Main Info'!G6</f>
        <v>11228.554506943954</v>
      </c>
      <c r="C29" s="42">
        <f t="shared" si="2"/>
        <v>1122.8554506943954</v>
      </c>
      <c r="D29" s="28">
        <f>'Main Info'!F6</f>
        <v>27383.218884636688</v>
      </c>
      <c r="E29" s="28">
        <f t="shared" si="3"/>
        <v>390.66437769273375</v>
      </c>
    </row>
    <row r="30" spans="1:10">
      <c r="A30" s="27">
        <f t="shared" si="4"/>
        <v>2021</v>
      </c>
      <c r="B30" s="28">
        <f>'Main Info'!G7</f>
        <v>13387.928532470731</v>
      </c>
      <c r="C30" s="42">
        <f t="shared" si="2"/>
        <v>1338.7928532470733</v>
      </c>
      <c r="D30" s="28">
        <f>'Main Info'!F7</f>
        <v>29586.661767827278</v>
      </c>
      <c r="E30" s="28">
        <f t="shared" si="3"/>
        <v>434.73323535654555</v>
      </c>
    </row>
    <row r="31" spans="1:10">
      <c r="A31" s="27">
        <f t="shared" si="4"/>
        <v>2022</v>
      </c>
      <c r="B31" s="28">
        <f>'Main Info'!G8</f>
        <v>15633.918547017296</v>
      </c>
      <c r="C31" s="42">
        <f t="shared" si="2"/>
        <v>1563.3918547017297</v>
      </c>
      <c r="D31" s="28">
        <f>'Main Info'!F8</f>
        <v>31878.48831328296</v>
      </c>
      <c r="E31" s="28">
        <f t="shared" si="3"/>
        <v>480.56976626565921</v>
      </c>
    </row>
    <row r="32" spans="1:10">
      <c r="A32" s="27">
        <f t="shared" si="4"/>
        <v>2023</v>
      </c>
      <c r="B32" s="28">
        <f>'Main Info'!G9</f>
        <v>17969.999009997009</v>
      </c>
      <c r="C32" s="42">
        <f t="shared" si="2"/>
        <v>1796.9999009997009</v>
      </c>
      <c r="D32" s="28">
        <f>'Main Info'!F9</f>
        <v>34262.243887752047</v>
      </c>
      <c r="E32" s="28">
        <f t="shared" si="3"/>
        <v>528.24487775504099</v>
      </c>
    </row>
    <row r="33" spans="1:5">
      <c r="A33" s="27">
        <f t="shared" si="4"/>
        <v>2024</v>
      </c>
      <c r="B33" s="28">
        <f>'Main Info'!G10</f>
        <v>20399.783759275699</v>
      </c>
      <c r="C33" s="42">
        <f t="shared" si="2"/>
        <v>2132.3175638913549</v>
      </c>
      <c r="D33" s="28">
        <f>'Main Info'!F10</f>
        <v>36741.616080893567</v>
      </c>
      <c r="E33" s="28">
        <f t="shared" si="3"/>
        <v>577.83232161787134</v>
      </c>
    </row>
    <row r="34" spans="1:5">
      <c r="A34" s="27">
        <f t="shared" si="4"/>
        <v>2025</v>
      </c>
      <c r="B34" s="28">
        <f>'Main Info'!G11</f>
        <v>22213.6051779599</v>
      </c>
      <c r="C34" s="42">
        <f t="shared" si="2"/>
        <v>2404.3907766939851</v>
      </c>
      <c r="D34" s="28">
        <f>'Main Info'!F11</f>
        <v>39320.440410825977</v>
      </c>
      <c r="E34" s="28">
        <f t="shared" si="3"/>
        <v>1342.8352328660781</v>
      </c>
    </row>
    <row r="35" spans="1:5">
      <c r="A35" s="27">
        <f t="shared" si="4"/>
        <v>2026</v>
      </c>
      <c r="B35" s="28">
        <f>'Main Info'!G12</f>
        <v>24681.28975788955</v>
      </c>
      <c r="C35" s="42">
        <f t="shared" si="2"/>
        <v>2774.5434636834325</v>
      </c>
      <c r="D35" s="28">
        <f>'Main Info'!F12</f>
        <v>42002.706258575599</v>
      </c>
      <c r="E35" s="28">
        <f t="shared" si="3"/>
        <v>1557.416500686048</v>
      </c>
    </row>
    <row r="36" spans="1:5">
      <c r="A36" s="27">
        <f t="shared" si="4"/>
        <v>2027</v>
      </c>
      <c r="B36" s="28">
        <f>'Main Info'!G13</f>
        <v>27247.957997359495</v>
      </c>
      <c r="C36" s="42">
        <f t="shared" si="2"/>
        <v>3159.5436996039243</v>
      </c>
      <c r="D36" s="28">
        <f>'Main Info'!F13</f>
        <v>44792.563040608147</v>
      </c>
      <c r="E36" s="28">
        <f t="shared" si="3"/>
        <v>1780.6050432486518</v>
      </c>
    </row>
    <row r="37" spans="1:5">
      <c r="A37" s="27">
        <f t="shared" si="4"/>
        <v>2028</v>
      </c>
      <c r="B37" s="28">
        <f>'Main Info'!G14</f>
        <v>29917.580498675874</v>
      </c>
      <c r="C37" s="42">
        <f t="shared" si="2"/>
        <v>3559.9870748013809</v>
      </c>
      <c r="D37" s="28">
        <f>'Main Info'!F14</f>
        <v>47694.326628995506</v>
      </c>
      <c r="E37" s="28">
        <f t="shared" si="3"/>
        <v>2012.7461303196405</v>
      </c>
    </row>
    <row r="38" spans="1:5">
      <c r="A38" s="27">
        <f t="shared" si="4"/>
        <v>2029</v>
      </c>
      <c r="B38" s="28">
        <f>'Main Info'!G15</f>
        <v>32694.287146820694</v>
      </c>
      <c r="C38" s="42">
        <f t="shared" si="2"/>
        <v>3976.4930720231041</v>
      </c>
      <c r="D38" s="28">
        <f>'Main Info'!F15</f>
        <v>50712.486029152933</v>
      </c>
      <c r="E38" s="28">
        <f t="shared" si="3"/>
        <v>2254.1988823322345</v>
      </c>
    </row>
    <row r="39" spans="1:5">
      <c r="A39" s="27">
        <f t="shared" si="4"/>
        <v>2030</v>
      </c>
      <c r="B39" s="28">
        <f>'Main Info'!G16</f>
        <v>35582.373499442503</v>
      </c>
      <c r="C39" s="42">
        <f t="shared" si="2"/>
        <v>4409.7060249163751</v>
      </c>
      <c r="D39" s="28">
        <f>'Main Info'!F16</f>
        <v>53851.710325480977</v>
      </c>
      <c r="E39" s="28">
        <f t="shared" si="3"/>
        <v>2505.3368260384782</v>
      </c>
    </row>
    <row r="40" spans="1:5">
      <c r="A40" s="27">
        <f t="shared" si="4"/>
        <v>2031</v>
      </c>
      <c r="B40" s="28">
        <f>'Main Info'!G17</f>
        <v>38586.307433207461</v>
      </c>
      <c r="C40" s="42">
        <f t="shared" si="2"/>
        <v>4860.296114981119</v>
      </c>
      <c r="D40" s="28">
        <f>'Main Info'!F17</f>
        <v>57116.855905660283</v>
      </c>
      <c r="E40" s="28">
        <f t="shared" si="3"/>
        <v>2766.5484724528224</v>
      </c>
    </row>
    <row r="41" spans="1:5">
      <c r="A41" s="27">
        <f t="shared" si="4"/>
        <v>2032</v>
      </c>
      <c r="B41" s="28">
        <f>'Main Info'!G18</f>
        <v>43194.47553629255</v>
      </c>
      <c r="C41" s="42">
        <f t="shared" si="2"/>
        <v>5551.5213304438821</v>
      </c>
      <c r="D41" s="28">
        <f>'Main Info'!F18</f>
        <v>60512.973974779306</v>
      </c>
      <c r="E41" s="28">
        <f t="shared" si="3"/>
        <v>1554.4984384867582</v>
      </c>
    </row>
    <row r="42" spans="1:5">
      <c r="A42" s="27">
        <f t="shared" si="4"/>
        <v>2033</v>
      </c>
      <c r="B42" s="28">
        <f>'Main Info'!G19</f>
        <v>46514.879268667864</v>
      </c>
      <c r="C42" s="42">
        <f t="shared" si="2"/>
        <v>6049.5818903001791</v>
      </c>
      <c r="D42" s="28">
        <f>'Main Info'!F19</f>
        <v>64045.318370923262</v>
      </c>
      <c r="E42" s="28">
        <f t="shared" si="3"/>
        <v>1766.4391022553955</v>
      </c>
    </row>
    <row r="43" spans="1:5">
      <c r="A43" s="27">
        <f t="shared" si="4"/>
        <v>2034</v>
      </c>
      <c r="B43" s="28">
        <f>'Main Info'!G20</f>
        <v>49968.472472660374</v>
      </c>
      <c r="C43" s="42">
        <f t="shared" si="2"/>
        <v>6567.6208708990562</v>
      </c>
      <c r="D43" s="28">
        <f>'Main Info'!F20</f>
        <v>67719.35369431955</v>
      </c>
      <c r="E43" s="28">
        <f t="shared" si="3"/>
        <v>1986.8812216591728</v>
      </c>
    </row>
    <row r="44" spans="1:5">
      <c r="A44" s="27">
        <f t="shared" si="4"/>
        <v>2035</v>
      </c>
      <c r="B44" s="28">
        <f>'Main Info'!G21</f>
        <v>53560.597936862148</v>
      </c>
      <c r="C44" s="42">
        <f t="shared" si="2"/>
        <v>7106.4396905293224</v>
      </c>
      <c r="D44" s="28">
        <f>'Main Info'!F21</f>
        <v>71540.763762619303</v>
      </c>
      <c r="E44" s="28">
        <f t="shared" si="3"/>
        <v>2216.165825757158</v>
      </c>
    </row>
    <row r="45" spans="1:5">
      <c r="A45" s="27">
        <f t="shared" si="4"/>
        <v>2036</v>
      </c>
      <c r="B45" s="28">
        <f>'Main Info'!G22</f>
        <v>57296.812781076733</v>
      </c>
      <c r="C45" s="42">
        <f t="shared" si="2"/>
        <v>7666.8719171615094</v>
      </c>
      <c r="D45" s="28">
        <f>'Main Info'!F22</f>
        <v>75515.46040540078</v>
      </c>
      <c r="E45" s="28">
        <f t="shared" si="3"/>
        <v>2454.6476243240468</v>
      </c>
    </row>
    <row r="46" spans="1:5">
      <c r="A46" s="27">
        <f t="shared" si="4"/>
        <v>2037</v>
      </c>
      <c r="B46" s="28">
        <f>'Main Info'!G23</f>
        <v>61182.897054813824</v>
      </c>
      <c r="C46" s="42">
        <f t="shared" si="2"/>
        <v>8249.7845582220725</v>
      </c>
      <c r="D46" s="28">
        <f>'Main Info'!F23</f>
        <v>79649.592611504064</v>
      </c>
      <c r="E46" s="28">
        <f t="shared" si="3"/>
        <v>2702.6955566902434</v>
      </c>
    </row>
    <row r="47" spans="1:5">
      <c r="A47" s="27">
        <f t="shared" si="4"/>
        <v>2038</v>
      </c>
      <c r="B47" s="28">
        <f>'Main Info'!G24</f>
        <v>73259.351559885123</v>
      </c>
      <c r="C47" s="42">
        <f t="shared" si="2"/>
        <v>10061.252733982768</v>
      </c>
      <c r="D47" s="28">
        <f>'Main Info'!F24</f>
        <v>84167.556043353397</v>
      </c>
      <c r="E47" s="28">
        <f t="shared" si="3"/>
        <v>3026.204483468272</v>
      </c>
    </row>
    <row r="48" spans="1:5">
      <c r="A48" s="27">
        <f t="shared" si="4"/>
        <v>2039</v>
      </c>
      <c r="B48" s="28">
        <f>'Main Info'!G25</f>
        <v>77374.002698352051</v>
      </c>
      <c r="C48" s="42">
        <f t="shared" si="2"/>
        <v>10885.750674588013</v>
      </c>
      <c r="D48" s="28">
        <f>'Main Info'!F25</f>
        <v>88640.002932991367</v>
      </c>
      <c r="E48" s="28">
        <f t="shared" si="3"/>
        <v>3384.0002346393094</v>
      </c>
    </row>
    <row r="49" spans="1:5">
      <c r="A49" s="27">
        <f t="shared" si="4"/>
        <v>2040</v>
      </c>
      <c r="B49" s="28">
        <f>'Main Info'!G26</f>
        <v>77612.424185128359</v>
      </c>
      <c r="C49" s="42">
        <f t="shared" si="2"/>
        <v>10945.35604628209</v>
      </c>
      <c r="D49" s="28">
        <f>'Main Info'!F26</f>
        <v>93182.852375139511</v>
      </c>
      <c r="E49" s="28">
        <f t="shared" si="3"/>
        <v>3747.428190011161</v>
      </c>
    </row>
    <row r="50" spans="1:5">
      <c r="A50" s="27">
        <f t="shared" si="4"/>
        <v>2041</v>
      </c>
      <c r="B50" s="28">
        <f>'Main Info'!G27</f>
        <v>82063.796950557648</v>
      </c>
      <c r="C50" s="42">
        <f t="shared" si="2"/>
        <v>12058.199237639412</v>
      </c>
      <c r="D50" s="28">
        <f>'Main Info'!F27</f>
        <v>98021.301033214841</v>
      </c>
      <c r="E50" s="28">
        <f t="shared" si="3"/>
        <v>4134.5040826571876</v>
      </c>
    </row>
    <row r="51" spans="1:5">
      <c r="A51" s="27">
        <f t="shared" si="4"/>
        <v>2042</v>
      </c>
      <c r="B51" s="28">
        <f>'Main Info'!G28</f>
        <v>86693.72753288105</v>
      </c>
      <c r="C51" s="42">
        <f t="shared" si="2"/>
        <v>13215.681883220263</v>
      </c>
      <c r="D51" s="28">
        <f>'Main Info'!F28</f>
        <v>103053.83427487071</v>
      </c>
      <c r="E51" s="28">
        <f t="shared" si="3"/>
        <v>4537.1067419896572</v>
      </c>
    </row>
    <row r="52" spans="1:5">
      <c r="A52" s="27">
        <f t="shared" si="4"/>
        <v>2043</v>
      </c>
      <c r="B52" s="28">
        <f>'Main Info'!G29</f>
        <v>91441.411643146188</v>
      </c>
      <c r="C52" s="42">
        <f t="shared" si="2"/>
        <v>14402.602910786547</v>
      </c>
      <c r="D52" s="28">
        <f>'Main Info'!F29</f>
        <v>108288.23775429568</v>
      </c>
      <c r="E52" s="28">
        <f t="shared" si="3"/>
        <v>5023.8261111494985</v>
      </c>
    </row>
    <row r="53" spans="1:5">
      <c r="A53" s="27">
        <f t="shared" si="4"/>
        <v>2044</v>
      </c>
      <c r="B53" s="28">
        <f>'Main Info'!G30</f>
        <v>96402.658111836412</v>
      </c>
      <c r="C53" s="42">
        <f t="shared" si="2"/>
        <v>15642.914527959103</v>
      </c>
      <c r="D53" s="28">
        <f>'Main Info'!F30</f>
        <v>113483.13276729078</v>
      </c>
      <c r="E53" s="28">
        <f t="shared" si="3"/>
        <v>5506.9513473580428</v>
      </c>
    </row>
    <row r="54" spans="1:5">
      <c r="A54" s="27">
        <f t="shared" si="4"/>
        <v>2045</v>
      </c>
      <c r="B54" s="28">
        <f>'Main Info'!G31</f>
        <v>101766.74096490521</v>
      </c>
      <c r="C54" s="42">
        <f t="shared" si="2"/>
        <v>16983.935241226303</v>
      </c>
      <c r="D54" s="28">
        <f>'Main Info'!F31</f>
        <v>118281.05807798241</v>
      </c>
      <c r="E54" s="28">
        <f t="shared" si="3"/>
        <v>5953.1584012523645</v>
      </c>
    </row>
    <row r="55" spans="1:5">
      <c r="A55" s="76">
        <f t="shared" si="4"/>
        <v>2046</v>
      </c>
      <c r="B55" s="28">
        <f>'Main Info'!G32</f>
        <v>110308.87353687611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19119.468384219028</v>
      </c>
      <c r="D55" s="28">
        <f>'Main Info'!F32</f>
        <v>124429.90040110168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6525.0007373024564</v>
      </c>
    </row>
    <row r="56" spans="1:5">
      <c r="A56" s="76">
        <f t="shared" si="4"/>
        <v>2047</v>
      </c>
      <c r="B56" s="28">
        <f>'Main Info'!G33</f>
        <v>115090.07169694616</v>
      </c>
      <c r="C56" s="42">
        <f t="shared" si="5"/>
        <v>20314.767924236541</v>
      </c>
      <c r="D56" s="28">
        <f>'Main Info'!F33</f>
        <v>129619.33641714577</v>
      </c>
      <c r="E56" s="28">
        <f t="shared" si="6"/>
        <v>7007.6182867945563</v>
      </c>
    </row>
    <row r="57" spans="1:5">
      <c r="A57" s="76">
        <f t="shared" si="4"/>
        <v>2048</v>
      </c>
      <c r="B57" s="28">
        <f>'Main Info'!G34</f>
        <v>120059.79052799002</v>
      </c>
      <c r="C57" s="42">
        <f t="shared" si="5"/>
        <v>21557.197631997504</v>
      </c>
      <c r="D57" s="28">
        <f>'Main Info'!F34</f>
        <v>135016.34987383161</v>
      </c>
      <c r="E57" s="28">
        <f t="shared" si="6"/>
        <v>7509.5405382663403</v>
      </c>
    </row>
    <row r="58" spans="1:5">
      <c r="A58" s="76">
        <f t="shared" si="4"/>
        <v>2049</v>
      </c>
      <c r="B58" s="28">
        <f>'Main Info'!G35</f>
        <v>125225.56176599517</v>
      </c>
      <c r="C58" s="42">
        <f t="shared" si="5"/>
        <v>22848.640441498792</v>
      </c>
      <c r="D58" s="28">
        <f>'Main Info'!F35</f>
        <v>140629.24386878486</v>
      </c>
      <c r="E58" s="28">
        <f t="shared" si="6"/>
        <v>8031.5396797969925</v>
      </c>
    </row>
    <row r="59" spans="1:5">
      <c r="A59" s="76">
        <f t="shared" si="4"/>
        <v>2050</v>
      </c>
      <c r="B59" s="28">
        <f>'Main Info'!G36</f>
        <v>130595.21838608588</v>
      </c>
      <c r="C59" s="42">
        <f t="shared" si="5"/>
        <v>24191.05459652147</v>
      </c>
      <c r="D59" s="28">
        <f>'Main Info'!F36</f>
        <v>146466.65362353629</v>
      </c>
      <c r="E59" s="28">
        <f t="shared" si="6"/>
        <v>8574.4187869888756</v>
      </c>
    </row>
    <row r="60" spans="1:5">
      <c r="A60" s="76">
        <f t="shared" si="4"/>
        <v>2051</v>
      </c>
      <c r="B60" s="28">
        <f>'Main Info'!G37</f>
        <v>136176.90665198737</v>
      </c>
      <c r="C60" s="42">
        <f t="shared" si="5"/>
        <v>25586.476662996844</v>
      </c>
      <c r="D60" s="28">
        <f>'Main Info'!F37</f>
        <v>152537.55976847775</v>
      </c>
      <c r="E60" s="28">
        <f t="shared" si="6"/>
        <v>9139.0130584684302</v>
      </c>
    </row>
    <row r="61" spans="1:5">
      <c r="A61" s="76">
        <f t="shared" si="4"/>
        <v>2052</v>
      </c>
      <c r="B61" s="28">
        <f>'Main Info'!G38</f>
        <v>141979.09864746881</v>
      </c>
      <c r="C61" s="42">
        <f t="shared" si="5"/>
        <v>27037.024661867203</v>
      </c>
      <c r="D61" s="28">
        <f>'Main Info'!F38</f>
        <v>158851.30215921684</v>
      </c>
      <c r="E61" s="28">
        <f t="shared" si="6"/>
        <v>9726.1911008071656</v>
      </c>
    </row>
    <row r="62" spans="1:5">
      <c r="A62" s="76">
        <f t="shared" si="4"/>
        <v>2053</v>
      </c>
      <c r="B62" s="28">
        <f>'Main Info'!G39</f>
        <v>148010.60530904323</v>
      </c>
      <c r="C62" s="42">
        <f t="shared" si="5"/>
        <v>28544.901327260806</v>
      </c>
      <c r="D62" s="28">
        <f>'Main Info'!F39</f>
        <v>165417.59424558555</v>
      </c>
      <c r="E62" s="28">
        <f t="shared" si="6"/>
        <v>10336.856264839458</v>
      </c>
    </row>
    <row r="63" spans="1:5">
      <c r="A63" s="76">
        <f t="shared" si="4"/>
        <v>2054</v>
      </c>
      <c r="B63" s="28">
        <f>'Main Info'!G40</f>
        <v>154280.58997997592</v>
      </c>
      <c r="C63" s="42">
        <f t="shared" si="5"/>
        <v>30183.785194393258</v>
      </c>
      <c r="D63" s="28">
        <f>'Main Info'!F40</f>
        <v>172246.53801540897</v>
      </c>
      <c r="E63" s="28">
        <f t="shared" si="6"/>
        <v>10971.948035433034</v>
      </c>
    </row>
    <row r="64" spans="1:5">
      <c r="A64" s="77">
        <f t="shared" si="4"/>
        <v>2055</v>
      </c>
      <c r="B64" s="78">
        <f>'Main Info'!G41</f>
        <v>160722.19605917495</v>
      </c>
      <c r="C64" s="79">
        <f t="shared" si="5"/>
        <v>31987.434896568986</v>
      </c>
      <c r="D64" s="78">
        <f>'Main Info'!F41</f>
        <v>179348.63953602529</v>
      </c>
      <c r="E64" s="78">
        <f t="shared" si="6"/>
        <v>11632.443476850352</v>
      </c>
    </row>
    <row r="65" spans="1:5">
      <c r="A65" s="80"/>
      <c r="B65" s="81"/>
      <c r="C65" s="82"/>
      <c r="D65" s="81"/>
      <c r="E65" s="8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Input'!L4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Input'!L5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Input'!L6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Input'!O4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Input'!O5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Input'!O6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E11" sqref="E11"/>
    </sheetView>
  </sheetViews>
  <sheetFormatPr defaultRowHeight="15"/>
  <cols>
    <col min="3" max="3" width="91.5703125" bestFit="1" customWidth="1"/>
    <col min="6" max="6" width="11.42578125" bestFit="1" customWidth="1"/>
  </cols>
  <sheetData>
    <row r="1" spans="2:6" s="16" customFormat="1" ht="15.75" thickBot="1"/>
    <row r="2" spans="2:6">
      <c r="B2" t="s">
        <v>131</v>
      </c>
      <c r="C2" t="s">
        <v>132</v>
      </c>
      <c r="D2" t="s">
        <v>138</v>
      </c>
      <c r="F2" s="99" t="s">
        <v>169</v>
      </c>
    </row>
    <row r="3" spans="2:6" ht="15.75" thickBot="1">
      <c r="B3">
        <v>1</v>
      </c>
      <c r="C3" t="s">
        <v>133</v>
      </c>
      <c r="D3" t="s">
        <v>139</v>
      </c>
      <c r="F3" s="100" t="s">
        <v>187</v>
      </c>
    </row>
    <row r="4" spans="2:6">
      <c r="B4">
        <f>B3+1</f>
        <v>2</v>
      </c>
      <c r="C4" t="s">
        <v>134</v>
      </c>
      <c r="D4" t="s">
        <v>139</v>
      </c>
    </row>
    <row r="5" spans="2:6">
      <c r="B5" s="16">
        <f t="shared" ref="B5:B15" si="0">B4+1</f>
        <v>3</v>
      </c>
      <c r="C5" t="s">
        <v>135</v>
      </c>
      <c r="D5" t="s">
        <v>139</v>
      </c>
    </row>
    <row r="6" spans="2:6">
      <c r="B6" s="16">
        <f t="shared" si="0"/>
        <v>4</v>
      </c>
      <c r="C6" t="s">
        <v>136</v>
      </c>
      <c r="D6" t="s">
        <v>139</v>
      </c>
    </row>
    <row r="7" spans="2:6">
      <c r="B7" s="16">
        <f t="shared" si="0"/>
        <v>5</v>
      </c>
      <c r="C7" t="s">
        <v>137</v>
      </c>
      <c r="D7" t="s">
        <v>139</v>
      </c>
    </row>
    <row r="8" spans="2:6">
      <c r="B8" s="16">
        <f t="shared" si="0"/>
        <v>6</v>
      </c>
      <c r="C8" t="s">
        <v>141</v>
      </c>
      <c r="D8" t="s">
        <v>140</v>
      </c>
    </row>
    <row r="9" spans="2:6">
      <c r="B9" s="16">
        <f t="shared" si="0"/>
        <v>7</v>
      </c>
      <c r="C9" t="s">
        <v>142</v>
      </c>
      <c r="D9" s="16" t="s">
        <v>140</v>
      </c>
    </row>
    <row r="10" spans="2:6">
      <c r="B10" s="16">
        <f t="shared" si="0"/>
        <v>8</v>
      </c>
      <c r="C10" t="s">
        <v>144</v>
      </c>
      <c r="D10" s="16" t="s">
        <v>140</v>
      </c>
    </row>
    <row r="11" spans="2:6">
      <c r="B11" s="16">
        <f t="shared" si="0"/>
        <v>9</v>
      </c>
      <c r="C11" t="s">
        <v>143</v>
      </c>
      <c r="D11" s="16" t="s">
        <v>140</v>
      </c>
    </row>
    <row r="12" spans="2:6">
      <c r="B12" s="16">
        <f t="shared" si="0"/>
        <v>10</v>
      </c>
      <c r="C12" t="s">
        <v>145</v>
      </c>
      <c r="D12" s="16" t="s">
        <v>140</v>
      </c>
    </row>
    <row r="13" spans="2:6">
      <c r="B13" s="16">
        <f t="shared" si="0"/>
        <v>11</v>
      </c>
      <c r="C13" t="s">
        <v>157</v>
      </c>
      <c r="D13" t="s">
        <v>140</v>
      </c>
    </row>
    <row r="14" spans="2:6">
      <c r="B14" s="16">
        <f t="shared" si="0"/>
        <v>12</v>
      </c>
      <c r="C14" t="s">
        <v>164</v>
      </c>
      <c r="D14" t="s">
        <v>168</v>
      </c>
    </row>
    <row r="15" spans="2:6">
      <c r="B15" s="16">
        <f t="shared" si="0"/>
        <v>13</v>
      </c>
      <c r="C15" t="s">
        <v>165</v>
      </c>
      <c r="D15" t="s">
        <v>168</v>
      </c>
    </row>
    <row r="16" spans="2:6">
      <c r="B16" s="16">
        <f>B15+1</f>
        <v>14</v>
      </c>
      <c r="C16" s="16" t="s">
        <v>188</v>
      </c>
      <c r="D16" t="s">
        <v>187</v>
      </c>
    </row>
    <row r="17" spans="2:4">
      <c r="B17" s="16">
        <f t="shared" ref="B17:B22" si="1">B16+1</f>
        <v>15</v>
      </c>
      <c r="C17" s="16" t="s">
        <v>189</v>
      </c>
      <c r="D17" s="16" t="s">
        <v>187</v>
      </c>
    </row>
    <row r="18" spans="2:4">
      <c r="B18" s="16">
        <f t="shared" si="1"/>
        <v>16</v>
      </c>
      <c r="C18" s="16" t="s">
        <v>190</v>
      </c>
      <c r="D18" s="16" t="s">
        <v>187</v>
      </c>
    </row>
    <row r="19" spans="2:4">
      <c r="B19" s="16">
        <f t="shared" si="1"/>
        <v>17</v>
      </c>
      <c r="C19" s="16" t="s">
        <v>191</v>
      </c>
      <c r="D19" s="16" t="s">
        <v>187</v>
      </c>
    </row>
    <row r="20" spans="2:4">
      <c r="B20" s="16">
        <f t="shared" si="1"/>
        <v>18</v>
      </c>
      <c r="C20" s="16" t="s">
        <v>192</v>
      </c>
      <c r="D20" s="16" t="s">
        <v>187</v>
      </c>
    </row>
    <row r="21" spans="2:4">
      <c r="B21" s="16">
        <f t="shared" si="1"/>
        <v>19</v>
      </c>
      <c r="C21" s="16" t="s">
        <v>193</v>
      </c>
      <c r="D21" s="16" t="s">
        <v>187</v>
      </c>
    </row>
    <row r="22" spans="2:4">
      <c r="B22" s="16">
        <f t="shared" si="1"/>
        <v>20</v>
      </c>
      <c r="C22" s="16" t="s">
        <v>194</v>
      </c>
      <c r="D22" s="1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Student Loans</vt:lpstr>
      <vt:lpstr>Credit Card Debt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2016-09-14T03:18:31Z</dcterms:modified>
</cp:coreProperties>
</file>