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rge.zet\Documents\"/>
    </mc:Choice>
  </mc:AlternateContent>
  <bookViews>
    <workbookView xWindow="0" yWindow="0" windowWidth="23040" windowHeight="9060" tabRatio="742" activeTab="4"/>
  </bookViews>
  <sheets>
    <sheet name="EF ALPA" sheetId="29" r:id="rId1"/>
    <sheet name="EF ASGT" sheetId="30" r:id="rId2"/>
    <sheet name="EF ALGT" sheetId="31" r:id="rId3"/>
    <sheet name="EF DAGT" sheetId="32" r:id="rId4"/>
    <sheet name="CONSOLIDADO MARZO 2018" sheetId="13" r:id="rId5"/>
    <sheet name="PARTIDAS Elimina. ajsut, y recl" sheetId="34" r:id="rId6"/>
    <sheet name="RESUMEN AJUSTES FINANCIEROS" sheetId="35" r:id="rId7"/>
    <sheet name="RESUMEN AJUSTES FIN SIN INTERCO" sheetId="36" r:id="rId8"/>
    <sheet name="RESUMEN AJUSTES FIN SIN INT (2" sheetId="37" r:id="rId9"/>
    <sheet name="Hoja1" sheetId="38" r:id="rId10"/>
    <sheet name="Hoja2" sheetId="39" r:id="rId11"/>
    <sheet name="Hoja3" sheetId="40" r:id="rId12"/>
    <sheet name="CONSOLIDADO SEPTIEMBRE 2017KPMG" sheetId="16" state="hidden" r:id="rId13"/>
    <sheet name="PARTIDAS KPMG" sheetId="26" state="hidden" r:id="rId14"/>
    <sheet name="Hoja13" sheetId="28" state="hidden" r:id="rId15"/>
    <sheet name="Balance" sheetId="27" state="hidden" r:id="rId16"/>
  </sheets>
  <externalReferences>
    <externalReference r:id="rId17"/>
    <externalReference r:id="rId18"/>
  </externalReferences>
  <definedNames>
    <definedName name="DATA1" localSheetId="2">'EF ALGT'!#REF!</definedName>
    <definedName name="DATA1" localSheetId="0">'EF ALPA'!#REF!</definedName>
    <definedName name="DATA1" localSheetId="1">'EF ASGT'!#REF!</definedName>
    <definedName name="DATA1" localSheetId="3">'EF DAGT'!#REF!</definedName>
    <definedName name="DATA2" localSheetId="2">'EF ALGT'!$A$2:$A$72</definedName>
    <definedName name="DATA2" localSheetId="0">'EF ALPA'!$A$2:$A$69</definedName>
    <definedName name="DATA2" localSheetId="1">'EF ASGT'!$A$2:$A$76</definedName>
    <definedName name="DATA2" localSheetId="3">'EF DAGT'!$A$2:$A$34</definedName>
    <definedName name="DATA3" localSheetId="2">'EF ALGT'!#REF!</definedName>
    <definedName name="DATA3" localSheetId="0">'EF ALPA'!$B$2:$B$69</definedName>
    <definedName name="DATA3" localSheetId="1">'EF ASGT'!#REF!</definedName>
    <definedName name="DATA3" localSheetId="3">'EF DAGT'!#REF!</definedName>
    <definedName name="DATA4" localSheetId="2">'EF ALGT'!#REF!</definedName>
    <definedName name="DATA4" localSheetId="0">'EF ALPA'!#REF!</definedName>
    <definedName name="DATA4" localSheetId="1">'EF ASGT'!#REF!</definedName>
    <definedName name="DATA4" localSheetId="3">'EF DAGT'!#REF!</definedName>
    <definedName name="DATA5" localSheetId="2">'EF ALGT'!#REF!</definedName>
    <definedName name="DATA5" localSheetId="0">'EF ALPA'!#REF!</definedName>
    <definedName name="DATA5" localSheetId="1">'EF ASGT'!$F$2:$F$76</definedName>
    <definedName name="DATA5" localSheetId="3">'EF DAGT'!$F$2:$F$34</definedName>
    <definedName name="DATA6" localSheetId="2">'EF ALGT'!#REF!</definedName>
    <definedName name="DATA6" localSheetId="0">'EF ALPA'!#REF!</definedName>
    <definedName name="DATA6" localSheetId="1">'EF ASGT'!#REF!</definedName>
    <definedName name="DATA6" localSheetId="3">'EF DAGT'!$G$2:$G$34</definedName>
    <definedName name="DATA7" localSheetId="2">'EF ALGT'!#REF!</definedName>
    <definedName name="DATA7" localSheetId="0">'EF ALPA'!$C$2:$C$69</definedName>
    <definedName name="DATA7" localSheetId="1">'EF ASGT'!$C$2:$C$76</definedName>
    <definedName name="DATA7" localSheetId="3">'EF DAGT'!$C$2:$C$34</definedName>
    <definedName name="DATA72">[1]Detalle!$BT$3:$BT$7244</definedName>
    <definedName name="DATA77">[1]Detalle!$BY$3:$BY$7244</definedName>
    <definedName name="DATA8" localSheetId="2">'EF ALGT'!$C$2:$C$72</definedName>
    <definedName name="DATA8" localSheetId="0">'EF ALPA'!$D$2:$D$69</definedName>
    <definedName name="DATA8" localSheetId="1">'EF ASGT'!$D$2:$D$76</definedName>
    <definedName name="DATA8" localSheetId="3">'EF DAGT'!$D$2:$D$34</definedName>
    <definedName name="DATA9" localSheetId="2">'EF ALGT'!$D$2:$D$72</definedName>
    <definedName name="DATA9" localSheetId="0">'EF ALPA'!$E$2:$E$69</definedName>
    <definedName name="DATA9" localSheetId="1">'EF ASGT'!$E$2:$E$76</definedName>
    <definedName name="DATA9" localSheetId="3">'EF DAGT'!$E$2:$E$34</definedName>
    <definedName name="NUEVA">[2]Exp!#REF!</definedName>
    <definedName name="TEST0" localSheetId="2">'EF ALGT'!$A$2:$D$72</definedName>
    <definedName name="TEST0" localSheetId="0">'EF ALPA'!$A$2:$E$69</definedName>
    <definedName name="TEST0" localSheetId="1">'EF ASGT'!$A$2:$E$76</definedName>
    <definedName name="TEST0" localSheetId="3">'EF DAGT'!$A$2:$E$34</definedName>
    <definedName name="TEST7" localSheetId="12">[2]Exp!#REF!</definedName>
    <definedName name="TEST7" localSheetId="5">[2]Exp!#REF!</definedName>
    <definedName name="TEST7" localSheetId="13">[2]Exp!#REF!</definedName>
    <definedName name="TEST7" localSheetId="8">[2]Exp!#REF!</definedName>
    <definedName name="TEST7" localSheetId="7">[2]Exp!#REF!</definedName>
    <definedName name="TEST7">[2]Exp!#REF!</definedName>
    <definedName name="TESTHKEY" localSheetId="2">'EF ALGT'!$C$1:$D$1</definedName>
    <definedName name="TESTHKEY" localSheetId="0">'EF ALPA'!$C$1:$E$1</definedName>
    <definedName name="TESTHKEY" localSheetId="1">'EF ASGT'!$C$1:$E$1</definedName>
    <definedName name="TESTHKEY" localSheetId="3">'EF DAGT'!$C$1:$E$1</definedName>
    <definedName name="TESTKEYS" localSheetId="2">'EF ALGT'!$A$2:$A$72</definedName>
    <definedName name="TESTKEYS" localSheetId="0">'EF ALPA'!$A$2:$B$69</definedName>
    <definedName name="TESTKEYS" localSheetId="1">'EF ASGT'!$A$2:$F$76</definedName>
    <definedName name="TESTKEYS" localSheetId="3">'EF DAGT'!$A$2:$G$34</definedName>
    <definedName name="TESTVKEY" localSheetId="2">'EF ALGT'!$A$1:$A$1</definedName>
    <definedName name="TESTVKEY" localSheetId="0">'EF ALPA'!$A$1:$B$1</definedName>
    <definedName name="TESTVKEY" localSheetId="1">'EF ASGT'!$A$1:$F$1</definedName>
    <definedName name="TESTVKEY" localSheetId="3">'EF DAGT'!$A$1:$G$1</definedName>
  </definedNames>
  <calcPr calcId="152511"/>
</workbook>
</file>

<file path=xl/calcChain.xml><?xml version="1.0" encoding="utf-8"?>
<calcChain xmlns="http://schemas.openxmlformats.org/spreadsheetml/2006/main">
  <c r="E154" i="13" l="1"/>
  <c r="V157" i="13"/>
  <c r="K105" i="13"/>
  <c r="T109" i="13"/>
  <c r="E103" i="13"/>
  <c r="Q109" i="13" l="1"/>
  <c r="E109" i="13" l="1"/>
  <c r="Q117" i="13"/>
  <c r="Q118" i="13"/>
  <c r="Q82" i="13" l="1"/>
  <c r="E52" i="13" l="1"/>
  <c r="H76" i="13"/>
  <c r="G76" i="13"/>
  <c r="F76" i="13"/>
  <c r="E76" i="13"/>
  <c r="H143" i="13"/>
  <c r="G143" i="13"/>
  <c r="F143" i="13"/>
  <c r="I76" i="13" l="1"/>
  <c r="O76" i="13" s="1"/>
  <c r="U76" i="13" s="1"/>
  <c r="I143" i="13"/>
  <c r="O143" i="13" s="1"/>
  <c r="U143" i="13" s="1"/>
  <c r="AA76" i="13" l="1"/>
  <c r="AA143" i="13"/>
  <c r="AB143" i="13" s="1"/>
  <c r="I131" i="34" l="1"/>
  <c r="I60" i="34" l="1"/>
  <c r="F46" i="34"/>
  <c r="Q151" i="13" s="1"/>
  <c r="F16" i="34"/>
  <c r="I26" i="34"/>
  <c r="F17" i="34"/>
  <c r="I155" i="13" l="1"/>
  <c r="H154" i="13"/>
  <c r="H153" i="13"/>
  <c r="H152" i="13"/>
  <c r="H151" i="13"/>
  <c r="H148" i="13"/>
  <c r="H146" i="13"/>
  <c r="H144" i="13"/>
  <c r="H142" i="13"/>
  <c r="H141" i="13"/>
  <c r="H139" i="13"/>
  <c r="H135" i="13"/>
  <c r="H134" i="13"/>
  <c r="H133" i="13"/>
  <c r="H131" i="13"/>
  <c r="H130" i="13"/>
  <c r="H129" i="13"/>
  <c r="H128" i="13"/>
  <c r="H127" i="13"/>
  <c r="H126" i="13"/>
  <c r="H124" i="13"/>
  <c r="H123" i="13"/>
  <c r="H122" i="13"/>
  <c r="H121" i="13"/>
  <c r="H120" i="13"/>
  <c r="H119" i="13"/>
  <c r="H118" i="13"/>
  <c r="H117" i="13"/>
  <c r="H116" i="13"/>
  <c r="H115" i="13"/>
  <c r="H113" i="13"/>
  <c r="H112" i="13"/>
  <c r="H111" i="13"/>
  <c r="H110" i="13"/>
  <c r="H109" i="13"/>
  <c r="H108" i="13"/>
  <c r="H103" i="13"/>
  <c r="H101" i="13"/>
  <c r="H100" i="13"/>
  <c r="H99" i="13"/>
  <c r="H98" i="13"/>
  <c r="H95" i="13"/>
  <c r="H94" i="13"/>
  <c r="H93" i="13"/>
  <c r="H92" i="13"/>
  <c r="H91" i="13"/>
  <c r="H90" i="13"/>
  <c r="H89" i="13"/>
  <c r="H87" i="13"/>
  <c r="H86" i="13"/>
  <c r="H85" i="13"/>
  <c r="H84" i="13"/>
  <c r="H83" i="13"/>
  <c r="H82" i="13"/>
  <c r="H81" i="13"/>
  <c r="H80" i="13"/>
  <c r="H78" i="13"/>
  <c r="H77" i="13"/>
  <c r="H75" i="13"/>
  <c r="H74" i="13"/>
  <c r="H73" i="13"/>
  <c r="H72" i="13"/>
  <c r="H71" i="13"/>
  <c r="H70" i="13"/>
  <c r="H69" i="13"/>
  <c r="H68" i="13"/>
  <c r="H66" i="13"/>
  <c r="H61" i="13"/>
  <c r="H60" i="13"/>
  <c r="H59" i="13"/>
  <c r="H58" i="13"/>
  <c r="H57" i="13"/>
  <c r="H56" i="13"/>
  <c r="H55" i="13"/>
  <c r="H54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5" i="13"/>
  <c r="H33" i="13"/>
  <c r="F33" i="13"/>
  <c r="H32" i="13"/>
  <c r="H31" i="13"/>
  <c r="H30" i="13"/>
  <c r="H29" i="13"/>
  <c r="H28" i="13"/>
  <c r="H27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F154" i="13"/>
  <c r="F153" i="13"/>
  <c r="F152" i="13"/>
  <c r="F151" i="13"/>
  <c r="F148" i="13"/>
  <c r="F146" i="13"/>
  <c r="F144" i="13"/>
  <c r="F142" i="13"/>
  <c r="F141" i="13"/>
  <c r="F139" i="13"/>
  <c r="F135" i="13"/>
  <c r="F134" i="13"/>
  <c r="F133" i="13"/>
  <c r="F131" i="13"/>
  <c r="F130" i="13"/>
  <c r="F129" i="13"/>
  <c r="F128" i="13"/>
  <c r="F127" i="13"/>
  <c r="F126" i="13"/>
  <c r="F124" i="13"/>
  <c r="F123" i="13"/>
  <c r="F122" i="13"/>
  <c r="F121" i="13"/>
  <c r="F120" i="13"/>
  <c r="F119" i="13"/>
  <c r="F118" i="13"/>
  <c r="F117" i="13"/>
  <c r="F116" i="13"/>
  <c r="F115" i="13"/>
  <c r="F113" i="13"/>
  <c r="F112" i="13"/>
  <c r="F111" i="13"/>
  <c r="F110" i="13"/>
  <c r="F109" i="13"/>
  <c r="F108" i="13"/>
  <c r="F103" i="13"/>
  <c r="F101" i="13"/>
  <c r="F100" i="13"/>
  <c r="F99" i="13"/>
  <c r="F98" i="13"/>
  <c r="F95" i="13"/>
  <c r="F94" i="13"/>
  <c r="F93" i="13"/>
  <c r="F92" i="13"/>
  <c r="F91" i="13"/>
  <c r="F90" i="13"/>
  <c r="F89" i="13"/>
  <c r="F87" i="13"/>
  <c r="F86" i="13"/>
  <c r="F85" i="13"/>
  <c r="F84" i="13"/>
  <c r="F83" i="13"/>
  <c r="F82" i="13"/>
  <c r="F81" i="13"/>
  <c r="F80" i="13"/>
  <c r="F78" i="13"/>
  <c r="F77" i="13"/>
  <c r="F75" i="13"/>
  <c r="F74" i="13"/>
  <c r="F73" i="13"/>
  <c r="F72" i="13"/>
  <c r="F71" i="13"/>
  <c r="F70" i="13"/>
  <c r="F69" i="13"/>
  <c r="F68" i="13"/>
  <c r="F66" i="13"/>
  <c r="F61" i="13"/>
  <c r="F60" i="13"/>
  <c r="F59" i="13"/>
  <c r="F58" i="13"/>
  <c r="F57" i="13"/>
  <c r="F56" i="13"/>
  <c r="F55" i="13"/>
  <c r="F54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5" i="13"/>
  <c r="F32" i="13"/>
  <c r="F31" i="13"/>
  <c r="F30" i="13"/>
  <c r="F29" i="13"/>
  <c r="F28" i="13"/>
  <c r="F27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E153" i="13"/>
  <c r="E152" i="13"/>
  <c r="E151" i="13"/>
  <c r="E148" i="13"/>
  <c r="E144" i="13"/>
  <c r="E142" i="13"/>
  <c r="E141" i="13"/>
  <c r="E139" i="13"/>
  <c r="E135" i="13"/>
  <c r="E134" i="13"/>
  <c r="E133" i="13"/>
  <c r="E131" i="13"/>
  <c r="E130" i="13"/>
  <c r="E129" i="13"/>
  <c r="E128" i="13"/>
  <c r="E127" i="13"/>
  <c r="E126" i="13"/>
  <c r="E124" i="13"/>
  <c r="E123" i="13"/>
  <c r="E122" i="13"/>
  <c r="E121" i="13"/>
  <c r="E120" i="13"/>
  <c r="E119" i="13"/>
  <c r="E118" i="13"/>
  <c r="E117" i="13"/>
  <c r="E116" i="13"/>
  <c r="E115" i="13"/>
  <c r="E113" i="13"/>
  <c r="E112" i="13"/>
  <c r="E111" i="13"/>
  <c r="E110" i="13"/>
  <c r="E108" i="13"/>
  <c r="E101" i="13"/>
  <c r="E100" i="13"/>
  <c r="E99" i="13"/>
  <c r="E98" i="13"/>
  <c r="E95" i="13"/>
  <c r="E94" i="13"/>
  <c r="E93" i="13"/>
  <c r="E92" i="13"/>
  <c r="E91" i="13"/>
  <c r="E90" i="13"/>
  <c r="E89" i="13"/>
  <c r="E87" i="13"/>
  <c r="E86" i="13"/>
  <c r="E85" i="13"/>
  <c r="E84" i="13"/>
  <c r="E83" i="13"/>
  <c r="E82" i="13"/>
  <c r="E81" i="13"/>
  <c r="E80" i="13"/>
  <c r="E78" i="13"/>
  <c r="E77" i="13"/>
  <c r="E75" i="13"/>
  <c r="E74" i="13"/>
  <c r="E73" i="13"/>
  <c r="E72" i="13"/>
  <c r="E71" i="13"/>
  <c r="E70" i="13"/>
  <c r="E69" i="13"/>
  <c r="E68" i="13"/>
  <c r="E66" i="13"/>
  <c r="E63" i="13"/>
  <c r="E62" i="13"/>
  <c r="E61" i="13"/>
  <c r="E60" i="13"/>
  <c r="E59" i="13"/>
  <c r="E58" i="13"/>
  <c r="E57" i="13"/>
  <c r="E56" i="13"/>
  <c r="E55" i="13"/>
  <c r="E54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5" i="13"/>
  <c r="E33" i="13"/>
  <c r="E32" i="13"/>
  <c r="E31" i="13"/>
  <c r="E30" i="13"/>
  <c r="E29" i="13"/>
  <c r="E28" i="13"/>
  <c r="E27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G33" i="13"/>
  <c r="G154" i="13"/>
  <c r="G153" i="13"/>
  <c r="G152" i="13"/>
  <c r="G151" i="13"/>
  <c r="G148" i="13"/>
  <c r="G146" i="13"/>
  <c r="G144" i="13"/>
  <c r="G142" i="13"/>
  <c r="G141" i="13"/>
  <c r="G139" i="13"/>
  <c r="G137" i="13"/>
  <c r="G135" i="13"/>
  <c r="G134" i="13"/>
  <c r="G133" i="13"/>
  <c r="G131" i="13"/>
  <c r="G130" i="13"/>
  <c r="G129" i="13"/>
  <c r="G128" i="13"/>
  <c r="G127" i="13"/>
  <c r="G126" i="13"/>
  <c r="G124" i="13"/>
  <c r="G123" i="13"/>
  <c r="G122" i="13"/>
  <c r="G121" i="13"/>
  <c r="G120" i="13"/>
  <c r="G119" i="13"/>
  <c r="G118" i="13"/>
  <c r="G117" i="13"/>
  <c r="G116" i="13"/>
  <c r="G115" i="13"/>
  <c r="G113" i="13"/>
  <c r="G112" i="13"/>
  <c r="G111" i="13"/>
  <c r="G110" i="13"/>
  <c r="G109" i="13"/>
  <c r="G108" i="13"/>
  <c r="G103" i="13"/>
  <c r="G101" i="13"/>
  <c r="G100" i="13"/>
  <c r="G99" i="13"/>
  <c r="G98" i="13"/>
  <c r="G95" i="13"/>
  <c r="G94" i="13"/>
  <c r="G93" i="13"/>
  <c r="G92" i="13"/>
  <c r="G91" i="13"/>
  <c r="G90" i="13"/>
  <c r="G89" i="13"/>
  <c r="G87" i="13"/>
  <c r="G86" i="13"/>
  <c r="G85" i="13"/>
  <c r="G84" i="13"/>
  <c r="G83" i="13"/>
  <c r="G82" i="13"/>
  <c r="G81" i="13"/>
  <c r="G80" i="13"/>
  <c r="G78" i="13"/>
  <c r="G77" i="13"/>
  <c r="G75" i="13"/>
  <c r="G74" i="13"/>
  <c r="G73" i="13"/>
  <c r="G72" i="13"/>
  <c r="G71" i="13"/>
  <c r="G70" i="13"/>
  <c r="G69" i="13"/>
  <c r="G68" i="13"/>
  <c r="G66" i="13"/>
  <c r="G63" i="13"/>
  <c r="G62" i="13"/>
  <c r="G61" i="13"/>
  <c r="G60" i="13"/>
  <c r="G59" i="13"/>
  <c r="G58" i="13"/>
  <c r="G57" i="13"/>
  <c r="G56" i="13"/>
  <c r="G55" i="13"/>
  <c r="G54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5" i="13"/>
  <c r="G32" i="13"/>
  <c r="G31" i="13"/>
  <c r="G30" i="13"/>
  <c r="G29" i="13"/>
  <c r="G28" i="13"/>
  <c r="G27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29" i="35" l="1"/>
  <c r="E21" i="36"/>
  <c r="H74" i="35" l="1"/>
  <c r="H75" i="35"/>
  <c r="D45" i="37" l="1"/>
  <c r="C45" i="37"/>
  <c r="C39" i="37"/>
  <c r="D39" i="37"/>
  <c r="C33" i="37"/>
  <c r="D33" i="37"/>
  <c r="D27" i="37"/>
  <c r="C27" i="37"/>
  <c r="C43" i="37"/>
  <c r="D32" i="37"/>
  <c r="D38" i="37"/>
  <c r="O19" i="36" l="1"/>
  <c r="N19" i="36"/>
  <c r="L19" i="36"/>
  <c r="J20" i="36"/>
  <c r="K19" i="36"/>
  <c r="K18" i="36"/>
  <c r="K17" i="36"/>
  <c r="K16" i="36"/>
  <c r="K15" i="36"/>
  <c r="J19" i="36"/>
  <c r="J18" i="36"/>
  <c r="J17" i="36"/>
  <c r="J16" i="36"/>
  <c r="J15" i="36"/>
  <c r="J33" i="36" l="1"/>
  <c r="F37" i="36"/>
  <c r="E37" i="36"/>
  <c r="J37" i="36" s="1"/>
  <c r="L15" i="36"/>
  <c r="J21" i="36"/>
  <c r="J12" i="36"/>
  <c r="E137" i="13"/>
  <c r="F137" i="13"/>
  <c r="H137" i="13"/>
  <c r="J29" i="36" l="1"/>
  <c r="X56" i="13"/>
  <c r="D12" i="37"/>
  <c r="C14" i="37" l="1"/>
  <c r="D8" i="37"/>
  <c r="E14" i="37" l="1"/>
  <c r="F14" i="37"/>
  <c r="D14" i="37"/>
  <c r="D15" i="37" s="1"/>
  <c r="F33" i="36"/>
  <c r="F69" i="36"/>
  <c r="E32" i="36"/>
  <c r="E82" i="36"/>
  <c r="E40" i="36"/>
  <c r="F54" i="36"/>
  <c r="I52" i="36"/>
  <c r="F15" i="37" l="1"/>
  <c r="F86" i="36"/>
  <c r="E22" i="36"/>
  <c r="F91" i="36"/>
  <c r="E91" i="36"/>
  <c r="E29" i="36" l="1"/>
  <c r="F254" i="34" l="1"/>
  <c r="F255" i="34" s="1"/>
  <c r="I254" i="34"/>
  <c r="I255" i="34" s="1"/>
  <c r="I83" i="36" l="1"/>
  <c r="I82" i="36"/>
  <c r="I80" i="36"/>
  <c r="I79" i="36"/>
  <c r="I78" i="36"/>
  <c r="I77" i="36"/>
  <c r="I76" i="36"/>
  <c r="I75" i="36"/>
  <c r="I74" i="36"/>
  <c r="I73" i="36"/>
  <c r="I72" i="36"/>
  <c r="I69" i="36"/>
  <c r="I68" i="36"/>
  <c r="I67" i="36"/>
  <c r="I66" i="36"/>
  <c r="I65" i="36"/>
  <c r="I61" i="36"/>
  <c r="I60" i="36"/>
  <c r="I59" i="36"/>
  <c r="I58" i="36"/>
  <c r="I57" i="36"/>
  <c r="I56" i="36"/>
  <c r="I54" i="36"/>
  <c r="I51" i="36"/>
  <c r="I50" i="36"/>
  <c r="I49" i="36"/>
  <c r="I48" i="36"/>
  <c r="I47" i="36"/>
  <c r="I46" i="36"/>
  <c r="I45" i="36"/>
  <c r="I44" i="36"/>
  <c r="I43" i="36"/>
  <c r="I42" i="36"/>
  <c r="I41" i="36"/>
  <c r="I40" i="36"/>
  <c r="F47" i="36"/>
  <c r="D17" i="36"/>
  <c r="E12" i="36"/>
  <c r="E88" i="36" s="1"/>
  <c r="F88" i="36"/>
  <c r="D22" i="36"/>
  <c r="D37" i="36" s="1"/>
  <c r="K37" i="36" s="1"/>
  <c r="L37" i="36" s="1"/>
  <c r="K33" i="36" s="1"/>
  <c r="G23" i="36"/>
  <c r="F14" i="36"/>
  <c r="F90" i="36"/>
  <c r="C37" i="36"/>
  <c r="F89" i="36" l="1"/>
  <c r="D38" i="36"/>
  <c r="K74" i="13" l="1"/>
  <c r="I70" i="34"/>
  <c r="K69" i="13"/>
  <c r="I82" i="34"/>
  <c r="F80" i="35" l="1"/>
  <c r="F79" i="35"/>
  <c r="E79" i="35"/>
  <c r="E23" i="35"/>
  <c r="C23" i="35"/>
  <c r="F81" i="35" l="1"/>
  <c r="G32" i="35"/>
  <c r="D37" i="35"/>
  <c r="C37" i="35"/>
  <c r="D38" i="35" l="1"/>
  <c r="I174" i="34"/>
  <c r="F139" i="34" l="1"/>
  <c r="I143" i="34"/>
  <c r="F105" i="34"/>
  <c r="K72" i="13"/>
  <c r="N74" i="13"/>
  <c r="T66" i="13"/>
  <c r="Q74" i="13"/>
  <c r="I38" i="34"/>
  <c r="U64" i="13" l="1"/>
  <c r="I249" i="34"/>
  <c r="I250" i="34" s="1"/>
  <c r="F250" i="34"/>
  <c r="O141" i="34" l="1"/>
  <c r="I142" i="34" s="1"/>
  <c r="Z151" i="13" l="1"/>
  <c r="I31" i="34"/>
  <c r="F32" i="34"/>
  <c r="F20" i="34"/>
  <c r="I61" i="34"/>
  <c r="F61" i="34"/>
  <c r="I7" i="34"/>
  <c r="I6" i="34"/>
  <c r="I5" i="34"/>
  <c r="I4" i="34"/>
  <c r="B7" i="34"/>
  <c r="B6" i="34"/>
  <c r="B5" i="34"/>
  <c r="B4" i="34"/>
  <c r="I197" i="34"/>
  <c r="T53" i="13" s="1"/>
  <c r="I198" i="34"/>
  <c r="I179" i="34" l="1"/>
  <c r="F179" i="34"/>
  <c r="F203" i="34" l="1"/>
  <c r="Z139" i="13"/>
  <c r="F96" i="13" l="1"/>
  <c r="F63" i="13"/>
  <c r="F62" i="13"/>
  <c r="F10" i="13" l="1"/>
  <c r="V104" i="13" l="1"/>
  <c r="Q53" i="13"/>
  <c r="K88" i="13"/>
  <c r="N88" i="13"/>
  <c r="N79" i="13"/>
  <c r="N67" i="13"/>
  <c r="K67" i="13"/>
  <c r="U158" i="13" l="1"/>
  <c r="T36" i="13"/>
  <c r="Q26" i="13" l="1"/>
  <c r="O106" i="13" l="1"/>
  <c r="AA106" i="13" s="1"/>
  <c r="O105" i="13"/>
  <c r="AA105" i="13" s="1"/>
  <c r="N102" i="13"/>
  <c r="K102" i="13"/>
  <c r="I132" i="34" l="1"/>
  <c r="N147" i="13"/>
  <c r="K147" i="13"/>
  <c r="N145" i="13"/>
  <c r="K145" i="13"/>
  <c r="N140" i="13"/>
  <c r="N138" i="13" s="1"/>
  <c r="K140" i="13"/>
  <c r="K138" i="13" s="1"/>
  <c r="N150" i="13"/>
  <c r="K150" i="13"/>
  <c r="N132" i="13"/>
  <c r="K132" i="13"/>
  <c r="N125" i="13"/>
  <c r="K125" i="13"/>
  <c r="N114" i="13"/>
  <c r="K114" i="13"/>
  <c r="Q114" i="13"/>
  <c r="N107" i="13"/>
  <c r="K107" i="13"/>
  <c r="N53" i="13"/>
  <c r="K53" i="13"/>
  <c r="N36" i="13"/>
  <c r="K36" i="13"/>
  <c r="N34" i="13"/>
  <c r="K34" i="13"/>
  <c r="N26" i="13"/>
  <c r="K26" i="13"/>
  <c r="N10" i="13"/>
  <c r="K10" i="13"/>
  <c r="N104" i="13" l="1"/>
  <c r="K149" i="13"/>
  <c r="K156" i="13" s="1"/>
  <c r="N149" i="13"/>
  <c r="N156" i="13" s="1"/>
  <c r="X64" i="13" l="1"/>
  <c r="I64" i="13"/>
  <c r="O64" i="13" l="1"/>
  <c r="W64" i="13" s="1"/>
  <c r="I117" i="34"/>
  <c r="I29" i="34"/>
  <c r="I28" i="34"/>
  <c r="I25" i="34"/>
  <c r="I24" i="34"/>
  <c r="I23" i="34"/>
  <c r="H136" i="13"/>
  <c r="G136" i="13"/>
  <c r="F136" i="13"/>
  <c r="E136" i="13"/>
  <c r="Q136" i="13"/>
  <c r="T138" i="13"/>
  <c r="T132" i="13"/>
  <c r="Q132" i="13"/>
  <c r="T97" i="13"/>
  <c r="Q97" i="13"/>
  <c r="T102" i="13"/>
  <c r="Q102" i="13"/>
  <c r="I103" i="13"/>
  <c r="H102" i="13"/>
  <c r="G102" i="13"/>
  <c r="F102" i="13"/>
  <c r="E102" i="13"/>
  <c r="T67" i="13"/>
  <c r="Q67" i="13"/>
  <c r="AA64" i="13" l="1"/>
  <c r="T31" i="13"/>
  <c r="T30" i="13"/>
  <c r="I32" i="34"/>
  <c r="F33" i="34" s="1"/>
  <c r="I102" i="13"/>
  <c r="O103" i="13"/>
  <c r="U103" i="13" s="1"/>
  <c r="I137" i="13"/>
  <c r="AA103" i="13" l="1"/>
  <c r="I136" i="13"/>
  <c r="O137" i="13"/>
  <c r="U137" i="13" s="1"/>
  <c r="U136" i="13" s="1"/>
  <c r="O102" i="13"/>
  <c r="AA102" i="13" s="1"/>
  <c r="T79" i="13"/>
  <c r="O136" i="13" l="1"/>
  <c r="W136" i="13" s="1"/>
  <c r="AA137" i="13"/>
  <c r="AB137" i="13" s="1"/>
  <c r="U102" i="13"/>
  <c r="I52" i="34"/>
  <c r="Q138" i="13"/>
  <c r="I126" i="34"/>
  <c r="F126" i="34"/>
  <c r="AA136" i="13" l="1"/>
  <c r="F134" i="34"/>
  <c r="I133" i="34"/>
  <c r="I134" i="34" s="1"/>
  <c r="W102" i="13"/>
  <c r="M141" i="34"/>
  <c r="M139" i="34"/>
  <c r="F144" i="34"/>
  <c r="J134" i="34" l="1"/>
  <c r="I134" i="13" l="1"/>
  <c r="O134" i="13" l="1"/>
  <c r="U134" i="13" s="1"/>
  <c r="F264" i="34"/>
  <c r="AA134" i="13" l="1"/>
  <c r="AB134" i="13" s="1"/>
  <c r="I63" i="13"/>
  <c r="I62" i="13"/>
  <c r="O62" i="13" l="1"/>
  <c r="U62" i="13" s="1"/>
  <c r="O63" i="13"/>
  <c r="U63" i="13" s="1"/>
  <c r="I244" i="34"/>
  <c r="F244" i="34"/>
  <c r="F240" i="34"/>
  <c r="I240" i="34"/>
  <c r="I71" i="34"/>
  <c r="F71" i="34"/>
  <c r="I235" i="34"/>
  <c r="F235" i="34"/>
  <c r="I260" i="34"/>
  <c r="F263" i="34"/>
  <c r="F262" i="34"/>
  <c r="F260" i="34"/>
  <c r="AA63" i="13" l="1"/>
  <c r="AA62" i="13"/>
  <c r="AB62" i="13" s="1"/>
  <c r="F225" i="34"/>
  <c r="I223" i="34"/>
  <c r="I225" i="34" s="1"/>
  <c r="F261" i="34" l="1"/>
  <c r="F265" i="34" s="1"/>
  <c r="I230" i="34" l="1"/>
  <c r="F230" i="34"/>
  <c r="F218" i="34" l="1"/>
  <c r="I217" i="34"/>
  <c r="I218" i="34" s="1"/>
  <c r="F213" i="34"/>
  <c r="I212" i="34"/>
  <c r="I213" i="34" s="1"/>
  <c r="F208" i="34" l="1"/>
  <c r="I199" i="34"/>
  <c r="F199" i="34"/>
  <c r="I165" i="34"/>
  <c r="F165" i="34"/>
  <c r="I149" i="34"/>
  <c r="F149" i="34"/>
  <c r="M140" i="34"/>
  <c r="I118" i="34"/>
  <c r="F118" i="34"/>
  <c r="I111" i="34"/>
  <c r="I112" i="34" s="1"/>
  <c r="F110" i="34"/>
  <c r="F112" i="34" s="1"/>
  <c r="I107" i="34"/>
  <c r="F107" i="34"/>
  <c r="I101" i="34"/>
  <c r="F96" i="34"/>
  <c r="F95" i="34"/>
  <c r="F94" i="34"/>
  <c r="I89" i="34"/>
  <c r="F89" i="34"/>
  <c r="I83" i="34"/>
  <c r="F80" i="34"/>
  <c r="I77" i="34"/>
  <c r="F77" i="34"/>
  <c r="I67" i="34"/>
  <c r="F67" i="34"/>
  <c r="I56" i="34"/>
  <c r="F56" i="34"/>
  <c r="I43" i="34"/>
  <c r="F43" i="34"/>
  <c r="J56" i="34" l="1"/>
  <c r="J32" i="34"/>
  <c r="J89" i="34"/>
  <c r="J43" i="34"/>
  <c r="F101" i="34"/>
  <c r="I208" i="34"/>
  <c r="F83" i="34"/>
  <c r="J83" i="34" s="1"/>
  <c r="G160" i="13" l="1"/>
  <c r="G163" i="13"/>
  <c r="H160" i="13"/>
  <c r="F160" i="13"/>
  <c r="E160" i="13"/>
  <c r="H138" i="13" l="1"/>
  <c r="G138" i="13"/>
  <c r="F138" i="13"/>
  <c r="E138" i="13" l="1"/>
  <c r="I139" i="13"/>
  <c r="I138" i="13" l="1"/>
  <c r="O139" i="13"/>
  <c r="U139" i="13" s="1"/>
  <c r="Q79" i="13"/>
  <c r="H96" i="13"/>
  <c r="G96" i="13"/>
  <c r="E96" i="13"/>
  <c r="O138" i="13" l="1"/>
  <c r="U138" i="13" s="1"/>
  <c r="W138" i="13" s="1"/>
  <c r="AA139" i="13"/>
  <c r="AB139" i="13" s="1"/>
  <c r="Y33" i="13"/>
  <c r="G132" i="13"/>
  <c r="AA138" i="13" l="1"/>
  <c r="H67" i="13"/>
  <c r="H97" i="13"/>
  <c r="H150" i="13"/>
  <c r="G53" i="13"/>
  <c r="H53" i="13"/>
  <c r="H132" i="13"/>
  <c r="G125" i="13"/>
  <c r="G150" i="13"/>
  <c r="G26" i="13"/>
  <c r="G97" i="13"/>
  <c r="G67" i="13"/>
  <c r="H26" i="13"/>
  <c r="I135" i="13"/>
  <c r="I33" i="13"/>
  <c r="I49" i="13"/>
  <c r="O49" i="13" l="1"/>
  <c r="U49" i="13" s="1"/>
  <c r="O33" i="13"/>
  <c r="U33" i="13" s="1"/>
  <c r="O135" i="13"/>
  <c r="U135" i="13" s="1"/>
  <c r="F132" i="13"/>
  <c r="AC153" i="13"/>
  <c r="E132" i="13"/>
  <c r="Y130" i="13"/>
  <c r="Z109" i="13"/>
  <c r="X60" i="13"/>
  <c r="Y56" i="13"/>
  <c r="Z57" i="13" s="1"/>
  <c r="I52" i="13"/>
  <c r="Y50" i="13"/>
  <c r="AA33" i="13" l="1"/>
  <c r="AB33" i="13" s="1"/>
  <c r="AA135" i="13"/>
  <c r="AB135" i="13" s="1"/>
  <c r="AA49" i="13"/>
  <c r="AB49" i="13" s="1"/>
  <c r="E36" i="13"/>
  <c r="O52" i="13"/>
  <c r="U52" i="13" s="1"/>
  <c r="E26" i="13"/>
  <c r="I118" i="13"/>
  <c r="F125" i="13"/>
  <c r="F150" i="13"/>
  <c r="E53" i="13"/>
  <c r="F53" i="13"/>
  <c r="E97" i="13"/>
  <c r="F67" i="13"/>
  <c r="F97" i="13"/>
  <c r="F26" i="13"/>
  <c r="E67" i="13"/>
  <c r="I74" i="13"/>
  <c r="I151" i="13"/>
  <c r="K219" i="26"/>
  <c r="AA52" i="13" l="1"/>
  <c r="AB52" i="13" s="1"/>
  <c r="O118" i="13"/>
  <c r="U118" i="13" s="1"/>
  <c r="O151" i="13"/>
  <c r="AA151" i="13" s="1"/>
  <c r="O74" i="13"/>
  <c r="U74" i="13" s="1"/>
  <c r="S93" i="26"/>
  <c r="S94" i="26" s="1"/>
  <c r="P92" i="26"/>
  <c r="P94" i="26" s="1"/>
  <c r="R103" i="26"/>
  <c r="R101" i="26"/>
  <c r="U151" i="13" l="1"/>
  <c r="AB151" i="13" s="1"/>
  <c r="AA118" i="13"/>
  <c r="AB118" i="13" s="1"/>
  <c r="AA74" i="13"/>
  <c r="AB74" i="13" s="1"/>
  <c r="O99" i="26"/>
  <c r="R100" i="26" s="1"/>
  <c r="R104" i="26" s="1"/>
  <c r="O104" i="26"/>
  <c r="F198" i="26"/>
  <c r="K147" i="16" l="1"/>
  <c r="I198" i="26" l="1"/>
  <c r="I117" i="26"/>
  <c r="I116" i="26"/>
  <c r="I115" i="26"/>
  <c r="F112" i="26" s="1"/>
  <c r="F118" i="26" s="1"/>
  <c r="I114" i="26"/>
  <c r="I118" i="26" l="1"/>
  <c r="W145" i="16" l="1"/>
  <c r="S62" i="16" l="1"/>
  <c r="V61" i="16" l="1"/>
  <c r="V62" i="16"/>
  <c r="V63" i="16" s="1"/>
  <c r="Q62" i="16"/>
  <c r="W64" i="16"/>
  <c r="W63" i="16"/>
  <c r="W62" i="16"/>
  <c r="W65" i="16" s="1"/>
  <c r="N56" i="16"/>
  <c r="N145" i="16" l="1"/>
  <c r="V147" i="16"/>
  <c r="T142" i="16"/>
  <c r="N99" i="16"/>
  <c r="K99" i="16"/>
  <c r="K131" i="16" l="1"/>
  <c r="I209" i="26" l="1"/>
  <c r="I212" i="26" s="1"/>
  <c r="I214" i="26" s="1"/>
  <c r="F73" i="26" l="1"/>
  <c r="F83" i="26"/>
  <c r="I83" i="26"/>
  <c r="I124" i="26"/>
  <c r="F124" i="26"/>
  <c r="F127" i="26" s="1"/>
  <c r="N132" i="16"/>
  <c r="N105" i="16"/>
  <c r="I56" i="26"/>
  <c r="F98" i="26" l="1"/>
  <c r="I93" i="26"/>
  <c r="I94" i="26" s="1"/>
  <c r="F92" i="26"/>
  <c r="F94" i="26" s="1"/>
  <c r="I64" i="26"/>
  <c r="F64" i="26"/>
  <c r="S142" i="16" l="1"/>
  <c r="Q142" i="16"/>
  <c r="T139" i="16"/>
  <c r="T137" i="16"/>
  <c r="S133" i="16"/>
  <c r="T133" i="16" s="1"/>
  <c r="Q133" i="16"/>
  <c r="S129" i="16"/>
  <c r="Q129" i="16"/>
  <c r="S121" i="16"/>
  <c r="Q121" i="16"/>
  <c r="T121" i="16"/>
  <c r="S110" i="16"/>
  <c r="Q110" i="16"/>
  <c r="T110" i="16" s="1"/>
  <c r="S103" i="16"/>
  <c r="Q103" i="16"/>
  <c r="Q141" i="16" s="1"/>
  <c r="S94" i="16"/>
  <c r="Q94" i="16"/>
  <c r="S85" i="16"/>
  <c r="S65" i="16" s="1"/>
  <c r="Q85" i="16"/>
  <c r="S63" i="16"/>
  <c r="Q63" i="16"/>
  <c r="S53" i="16"/>
  <c r="Q53" i="16"/>
  <c r="S36" i="16"/>
  <c r="Q36" i="16"/>
  <c r="S34" i="16"/>
  <c r="Q34" i="16"/>
  <c r="S26" i="16"/>
  <c r="Q26" i="16"/>
  <c r="S10" i="16"/>
  <c r="Q10" i="16"/>
  <c r="T103" i="16" l="1"/>
  <c r="S141" i="16"/>
  <c r="T34" i="16"/>
  <c r="T94" i="16"/>
  <c r="T53" i="16"/>
  <c r="S148" i="16"/>
  <c r="Q148" i="16"/>
  <c r="S100" i="16"/>
  <c r="T129" i="16"/>
  <c r="T85" i="16"/>
  <c r="Q65" i="16"/>
  <c r="T65" i="16" s="1"/>
  <c r="T36" i="16"/>
  <c r="T26" i="16"/>
  <c r="T10" i="16"/>
  <c r="Q100" i="16" l="1"/>
  <c r="T141" i="16"/>
  <c r="T148" i="16" s="1"/>
  <c r="N53" i="16"/>
  <c r="K53" i="16" l="1"/>
  <c r="N131" i="16" l="1"/>
  <c r="F206" i="26" l="1"/>
  <c r="F209" i="26" s="1"/>
  <c r="F214" i="26" s="1"/>
  <c r="K73" i="16"/>
  <c r="N94" i="16" l="1"/>
  <c r="K94" i="16"/>
  <c r="N65" i="16"/>
  <c r="K65" i="16"/>
  <c r="K36" i="16"/>
  <c r="K121" i="16"/>
  <c r="N110" i="16"/>
  <c r="N121" i="16"/>
  <c r="H121" i="16"/>
  <c r="G121" i="16"/>
  <c r="F121" i="16"/>
  <c r="E121" i="16"/>
  <c r="I128" i="16"/>
  <c r="K129" i="16"/>
  <c r="N130" i="16"/>
  <c r="N129" i="16" s="1"/>
  <c r="I132" i="16"/>
  <c r="I131" i="16"/>
  <c r="I99" i="16"/>
  <c r="H53" i="16" l="1"/>
  <c r="G53" i="16"/>
  <c r="F53" i="16"/>
  <c r="E53" i="16"/>
  <c r="I69" i="26"/>
  <c r="F69" i="26"/>
  <c r="F8" i="28" l="1"/>
  <c r="F9" i="28"/>
  <c r="E9" i="28"/>
  <c r="M11" i="28"/>
  <c r="L11" i="28"/>
  <c r="K11" i="28"/>
  <c r="N7" i="28"/>
  <c r="N11" i="28" s="1"/>
  <c r="N8" i="28"/>
  <c r="J8" i="28"/>
  <c r="J7" i="28"/>
  <c r="J11" i="28" s="1"/>
  <c r="I7" i="28"/>
  <c r="I11" i="28" s="1"/>
  <c r="I8" i="28"/>
  <c r="H8" i="28"/>
  <c r="H7" i="28"/>
  <c r="H11" i="28" s="1"/>
  <c r="G8" i="28"/>
  <c r="G11" i="28" s="1"/>
  <c r="G7" i="28"/>
  <c r="F7" i="28"/>
  <c r="E7" i="28"/>
  <c r="E11" i="28" s="1"/>
  <c r="F11" i="28" l="1"/>
  <c r="X224" i="27"/>
  <c r="U224" i="27"/>
  <c r="X217" i="27"/>
  <c r="U217" i="27"/>
  <c r="X198" i="27"/>
  <c r="U198" i="27"/>
  <c r="U193" i="27"/>
  <c r="X192" i="27"/>
  <c r="X193" i="27" s="1"/>
  <c r="X187" i="27"/>
  <c r="U187" i="27"/>
  <c r="X182" i="27"/>
  <c r="U182" i="27"/>
  <c r="X177" i="27"/>
  <c r="U177" i="27"/>
  <c r="U172" i="27"/>
  <c r="X171" i="27" s="1"/>
  <c r="X172" i="27" s="1"/>
  <c r="X160" i="27"/>
  <c r="U160" i="27"/>
  <c r="X155" i="27"/>
  <c r="U155" i="27"/>
  <c r="X149" i="27"/>
  <c r="X150" i="27" s="1"/>
  <c r="U148" i="27"/>
  <c r="U150" i="27" s="1"/>
  <c r="X144" i="27"/>
  <c r="U144" i="27"/>
  <c r="X137" i="27"/>
  <c r="U137" i="27"/>
  <c r="U126" i="27"/>
  <c r="X127" i="27" s="1"/>
  <c r="X128" i="27" s="1"/>
  <c r="U123" i="27"/>
  <c r="X122" i="27"/>
  <c r="X121" i="27"/>
  <c r="X123" i="27" s="1"/>
  <c r="X115" i="27"/>
  <c r="X114" i="27"/>
  <c r="X113" i="27"/>
  <c r="U110" i="27" s="1"/>
  <c r="U116" i="27" s="1"/>
  <c r="X112" i="27"/>
  <c r="I103" i="27"/>
  <c r="I104" i="27" s="1"/>
  <c r="F102" i="27"/>
  <c r="F104" i="27" s="1"/>
  <c r="I98" i="27"/>
  <c r="F98" i="27"/>
  <c r="P97" i="27"/>
  <c r="U95" i="27"/>
  <c r="U100" i="27" s="1"/>
  <c r="X101" i="27" s="1"/>
  <c r="X94" i="27"/>
  <c r="U94" i="27"/>
  <c r="X97" i="27" s="1"/>
  <c r="U86" i="27"/>
  <c r="X88" i="27" s="1"/>
  <c r="I86" i="27"/>
  <c r="F86" i="27"/>
  <c r="U85" i="27"/>
  <c r="P83" i="27"/>
  <c r="P82" i="27"/>
  <c r="X81" i="27"/>
  <c r="X82" i="27" s="1"/>
  <c r="X80" i="27"/>
  <c r="U79" i="27"/>
  <c r="S79" i="27"/>
  <c r="U78" i="27"/>
  <c r="F76" i="27"/>
  <c r="X75" i="27"/>
  <c r="I74" i="27"/>
  <c r="I76" i="27" s="1"/>
  <c r="X73" i="27"/>
  <c r="U72" i="27"/>
  <c r="Y74" i="27" s="1"/>
  <c r="U71" i="27"/>
  <c r="U70" i="27"/>
  <c r="X74" i="27" s="1"/>
  <c r="P67" i="27"/>
  <c r="U64" i="27"/>
  <c r="U67" i="27" s="1"/>
  <c r="P64" i="27"/>
  <c r="J64" i="27"/>
  <c r="I62" i="27"/>
  <c r="F62" i="27"/>
  <c r="P61" i="27"/>
  <c r="J60" i="27"/>
  <c r="J59" i="27"/>
  <c r="U58" i="27"/>
  <c r="X61" i="27" s="1"/>
  <c r="X56" i="27"/>
  <c r="U56" i="27"/>
  <c r="X55" i="27"/>
  <c r="I55" i="27"/>
  <c r="F55" i="27"/>
  <c r="X54" i="27"/>
  <c r="J54" i="27"/>
  <c r="N51" i="27"/>
  <c r="X50" i="27"/>
  <c r="U50" i="27"/>
  <c r="I49" i="27"/>
  <c r="F49" i="27"/>
  <c r="X39" i="27"/>
  <c r="U39" i="27"/>
  <c r="I39" i="27"/>
  <c r="F39" i="27"/>
  <c r="U29" i="27"/>
  <c r="X28" i="27"/>
  <c r="U28" i="27"/>
  <c r="I24" i="27"/>
  <c r="I23" i="27"/>
  <c r="F17" i="27"/>
  <c r="F24" i="27" s="1"/>
  <c r="F186" i="26"/>
  <c r="I186" i="26"/>
  <c r="F179" i="26"/>
  <c r="I177" i="26" s="1"/>
  <c r="I179" i="26" s="1"/>
  <c r="I166" i="26"/>
  <c r="F166" i="26"/>
  <c r="I161" i="26"/>
  <c r="F161" i="26"/>
  <c r="I155" i="26"/>
  <c r="F155" i="26"/>
  <c r="F145" i="26"/>
  <c r="F147" i="26" s="1"/>
  <c r="F142" i="26"/>
  <c r="I141" i="26"/>
  <c r="I140" i="26"/>
  <c r="I133" i="26"/>
  <c r="F133" i="26"/>
  <c r="I127" i="26"/>
  <c r="I103" i="26"/>
  <c r="I101" i="26"/>
  <c r="F99" i="26"/>
  <c r="I100" i="26" s="1"/>
  <c r="I88" i="26"/>
  <c r="F88" i="26"/>
  <c r="I78" i="26"/>
  <c r="M76" i="26"/>
  <c r="I76" i="26"/>
  <c r="I218" i="26" s="1"/>
  <c r="M75" i="26"/>
  <c r="F75" i="26"/>
  <c r="M74" i="26"/>
  <c r="F74" i="26"/>
  <c r="F218" i="26" s="1"/>
  <c r="K218" i="26" s="1"/>
  <c r="K220" i="26" s="1"/>
  <c r="F56" i="26"/>
  <c r="I50" i="26"/>
  <c r="F50" i="26"/>
  <c r="I39" i="26"/>
  <c r="F39" i="26"/>
  <c r="I28" i="26"/>
  <c r="F28" i="26"/>
  <c r="F29" i="26" s="1"/>
  <c r="M26" i="26"/>
  <c r="M25" i="26"/>
  <c r="M24" i="26"/>
  <c r="M23" i="26"/>
  <c r="M22" i="26"/>
  <c r="K142" i="16"/>
  <c r="I147" i="16"/>
  <c r="O147" i="16" s="1"/>
  <c r="U147" i="16" s="1"/>
  <c r="I146" i="16"/>
  <c r="O146" i="16" s="1"/>
  <c r="U146" i="16" s="1"/>
  <c r="I145" i="16"/>
  <c r="O145" i="16" s="1"/>
  <c r="I144" i="16"/>
  <c r="O144" i="16" s="1"/>
  <c r="U144" i="16" s="1"/>
  <c r="I143" i="16"/>
  <c r="O143" i="16" s="1"/>
  <c r="N142" i="16"/>
  <c r="H142" i="16"/>
  <c r="G142" i="16"/>
  <c r="F142" i="16"/>
  <c r="E142" i="16"/>
  <c r="I140" i="16"/>
  <c r="I139" i="16" s="1"/>
  <c r="U139" i="16"/>
  <c r="O139" i="16"/>
  <c r="N139" i="16"/>
  <c r="K139" i="16"/>
  <c r="H139" i="16"/>
  <c r="G139" i="16"/>
  <c r="F139" i="16"/>
  <c r="E139" i="16"/>
  <c r="I138" i="16"/>
  <c r="I137" i="16" s="1"/>
  <c r="U137" i="16"/>
  <c r="O137" i="16"/>
  <c r="N137" i="16"/>
  <c r="K137" i="16"/>
  <c r="H137" i="16"/>
  <c r="G137" i="16"/>
  <c r="F137" i="16"/>
  <c r="E137" i="16"/>
  <c r="I136" i="16"/>
  <c r="I133" i="16" s="1"/>
  <c r="O133" i="16" s="1"/>
  <c r="U133" i="16" s="1"/>
  <c r="I135" i="16"/>
  <c r="I134" i="16"/>
  <c r="N133" i="16"/>
  <c r="K133" i="16"/>
  <c r="H133" i="16"/>
  <c r="G133" i="16"/>
  <c r="F133" i="16"/>
  <c r="E133" i="16"/>
  <c r="I130" i="16"/>
  <c r="I129" i="16" s="1"/>
  <c r="H129" i="16"/>
  <c r="G129" i="16"/>
  <c r="F129" i="16"/>
  <c r="E129" i="16"/>
  <c r="I127" i="16"/>
  <c r="I126" i="16"/>
  <c r="I125" i="16"/>
  <c r="I124" i="16"/>
  <c r="I123" i="16"/>
  <c r="I122" i="16"/>
  <c r="I121" i="16" s="1"/>
  <c r="I120" i="16"/>
  <c r="I119" i="16"/>
  <c r="I118" i="16"/>
  <c r="I117" i="16"/>
  <c r="I116" i="16"/>
  <c r="H115" i="16"/>
  <c r="H110" i="16" s="1"/>
  <c r="I113" i="16"/>
  <c r="I112" i="16"/>
  <c r="I111" i="16"/>
  <c r="K110" i="16"/>
  <c r="G110" i="16"/>
  <c r="F110" i="16"/>
  <c r="E110" i="16"/>
  <c r="I109" i="16"/>
  <c r="I108" i="16"/>
  <c r="I107" i="16"/>
  <c r="I106" i="16"/>
  <c r="I105" i="16"/>
  <c r="I104" i="16"/>
  <c r="N103" i="16"/>
  <c r="N141" i="16" s="1"/>
  <c r="K103" i="16"/>
  <c r="H103" i="16"/>
  <c r="G103" i="16"/>
  <c r="G141" i="16" s="1"/>
  <c r="F103" i="16"/>
  <c r="F141" i="16" s="1"/>
  <c r="F148" i="16" s="1"/>
  <c r="E103" i="16"/>
  <c r="E141" i="16" s="1"/>
  <c r="E148" i="16" s="1"/>
  <c r="I98" i="16"/>
  <c r="I97" i="16"/>
  <c r="I96" i="16"/>
  <c r="I95" i="16"/>
  <c r="H94" i="16"/>
  <c r="G94" i="16"/>
  <c r="F94" i="16"/>
  <c r="E94" i="16"/>
  <c r="I93" i="16"/>
  <c r="I92" i="16"/>
  <c r="I91" i="16"/>
  <c r="I90" i="16"/>
  <c r="I89" i="16"/>
  <c r="I88" i="16"/>
  <c r="I87" i="16"/>
  <c r="I86" i="16"/>
  <c r="N85" i="16"/>
  <c r="K85" i="16"/>
  <c r="H85" i="16"/>
  <c r="G85" i="16"/>
  <c r="F85" i="16"/>
  <c r="E85" i="16"/>
  <c r="I84" i="16"/>
  <c r="I83" i="16"/>
  <c r="I82" i="16"/>
  <c r="I81" i="16"/>
  <c r="I80" i="16"/>
  <c r="I79" i="16"/>
  <c r="I78" i="16"/>
  <c r="I77" i="16"/>
  <c r="H76" i="16"/>
  <c r="H65" i="16" s="1"/>
  <c r="G76" i="16"/>
  <c r="G65" i="16" s="1"/>
  <c r="F76" i="16"/>
  <c r="F65" i="16" s="1"/>
  <c r="E76" i="16"/>
  <c r="I75" i="16"/>
  <c r="I74" i="16"/>
  <c r="I73" i="16"/>
  <c r="I72" i="16"/>
  <c r="I71" i="16"/>
  <c r="I70" i="16"/>
  <c r="I69" i="16"/>
  <c r="I68" i="16"/>
  <c r="I67" i="16"/>
  <c r="I66" i="16"/>
  <c r="E65" i="16"/>
  <c r="I64" i="16"/>
  <c r="I63" i="16" s="1"/>
  <c r="O63" i="16" s="1"/>
  <c r="N63" i="16"/>
  <c r="K63" i="16"/>
  <c r="H63" i="16"/>
  <c r="G63" i="16"/>
  <c r="F63" i="16"/>
  <c r="E63" i="16"/>
  <c r="I61" i="16"/>
  <c r="I60" i="16"/>
  <c r="I59" i="16"/>
  <c r="I58" i="16"/>
  <c r="I57" i="16"/>
  <c r="I56" i="16"/>
  <c r="I55" i="16"/>
  <c r="I54" i="16"/>
  <c r="I52" i="16"/>
  <c r="O52" i="16" s="1"/>
  <c r="U52" i="16" s="1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N36" i="16"/>
  <c r="H36" i="16"/>
  <c r="G36" i="16"/>
  <c r="F36" i="16"/>
  <c r="E36" i="16"/>
  <c r="I35" i="16"/>
  <c r="I34" i="16" s="1"/>
  <c r="O34" i="16" s="1"/>
  <c r="U34" i="16" s="1"/>
  <c r="N34" i="16"/>
  <c r="K34" i="16"/>
  <c r="H34" i="16"/>
  <c r="G34" i="16"/>
  <c r="F34" i="16"/>
  <c r="E34" i="16"/>
  <c r="I33" i="16"/>
  <c r="O33" i="16" s="1"/>
  <c r="U33" i="16" s="1"/>
  <c r="I32" i="16"/>
  <c r="I31" i="16"/>
  <c r="I30" i="16"/>
  <c r="I29" i="16"/>
  <c r="I28" i="16"/>
  <c r="I27" i="16"/>
  <c r="N26" i="16"/>
  <c r="K26" i="16"/>
  <c r="H26" i="16"/>
  <c r="G26" i="16"/>
  <c r="F26" i="16"/>
  <c r="E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N10" i="16"/>
  <c r="K10" i="16"/>
  <c r="H10" i="16"/>
  <c r="G10" i="16"/>
  <c r="F10" i="16"/>
  <c r="E10" i="16"/>
  <c r="Y81" i="27" l="1"/>
  <c r="Y80" i="27"/>
  <c r="Y28" i="27"/>
  <c r="U83" i="27"/>
  <c r="X90" i="27"/>
  <c r="U87" i="27"/>
  <c r="G148" i="16"/>
  <c r="H141" i="16"/>
  <c r="Y73" i="27"/>
  <c r="X78" i="27"/>
  <c r="X83" i="27" s="1"/>
  <c r="X116" i="27"/>
  <c r="U63" i="16"/>
  <c r="T63" i="16"/>
  <c r="T100" i="16" s="1"/>
  <c r="T102" i="16" s="1"/>
  <c r="K141" i="16"/>
  <c r="U76" i="27"/>
  <c r="H100" i="16"/>
  <c r="E100" i="16"/>
  <c r="F100" i="16"/>
  <c r="K100" i="16"/>
  <c r="N100" i="16"/>
  <c r="U145" i="16"/>
  <c r="W146" i="16"/>
  <c r="W147" i="16" s="1"/>
  <c r="I53" i="16"/>
  <c r="O53" i="16" s="1"/>
  <c r="U53" i="16" s="1"/>
  <c r="I85" i="16"/>
  <c r="O85" i="16" s="1"/>
  <c r="I94" i="16"/>
  <c r="O94" i="16" s="1"/>
  <c r="U94" i="16" s="1"/>
  <c r="O121" i="16"/>
  <c r="U121" i="16" s="1"/>
  <c r="I10" i="16"/>
  <c r="O10" i="16" s="1"/>
  <c r="U10" i="16" s="1"/>
  <c r="O129" i="16"/>
  <c r="U129" i="16" s="1"/>
  <c r="N148" i="16"/>
  <c r="I103" i="16"/>
  <c r="I76" i="16"/>
  <c r="I65" i="16" s="1"/>
  <c r="O65" i="16" s="1"/>
  <c r="U65" i="16" s="1"/>
  <c r="I26" i="16"/>
  <c r="O26" i="16" s="1"/>
  <c r="U26" i="16" s="1"/>
  <c r="I36" i="16"/>
  <c r="O36" i="16" s="1"/>
  <c r="U36" i="16" s="1"/>
  <c r="I146" i="26"/>
  <c r="I147" i="26" s="1"/>
  <c r="F79" i="26"/>
  <c r="M27" i="26"/>
  <c r="M29" i="26" s="1"/>
  <c r="M30" i="26" s="1"/>
  <c r="J28" i="26"/>
  <c r="I77" i="26"/>
  <c r="I79" i="26" s="1"/>
  <c r="I104" i="26"/>
  <c r="I142" i="26"/>
  <c r="X91" i="27"/>
  <c r="X76" i="27"/>
  <c r="Y75" i="27" s="1"/>
  <c r="Y72" i="27"/>
  <c r="U91" i="27"/>
  <c r="U128" i="27"/>
  <c r="X65" i="27"/>
  <c r="X67" i="27" s="1"/>
  <c r="F104" i="26"/>
  <c r="K148" i="16"/>
  <c r="G100" i="16"/>
  <c r="O103" i="16"/>
  <c r="O142" i="16"/>
  <c r="U143" i="16"/>
  <c r="H148" i="16"/>
  <c r="I115" i="16"/>
  <c r="I110" i="16" s="1"/>
  <c r="O110" i="16" s="1"/>
  <c r="U110" i="16" s="1"/>
  <c r="I142" i="16"/>
  <c r="Y153" i="13"/>
  <c r="Z153" i="13" s="1"/>
  <c r="O76" i="16" l="1"/>
  <c r="U76" i="16" s="1"/>
  <c r="V53" i="16"/>
  <c r="X53" i="16" s="1"/>
  <c r="U142" i="16"/>
  <c r="I141" i="16"/>
  <c r="I148" i="16" s="1"/>
  <c r="I100" i="16"/>
  <c r="O141" i="16"/>
  <c r="U103" i="16"/>
  <c r="U141" i="16" s="1"/>
  <c r="U85" i="16"/>
  <c r="O100" i="16"/>
  <c r="U148" i="16" l="1"/>
  <c r="U100" i="16"/>
  <c r="O102" i="16"/>
  <c r="O148" i="16"/>
  <c r="T10" i="13" l="1"/>
  <c r="Q88" i="13"/>
  <c r="T88" i="13"/>
  <c r="W147" i="13"/>
  <c r="V147" i="13"/>
  <c r="W145" i="13"/>
  <c r="V145" i="13"/>
  <c r="V149" i="13" s="1"/>
  <c r="V150" i="13"/>
  <c r="Q150" i="13" l="1"/>
  <c r="T150" i="13"/>
  <c r="V156" i="13" l="1"/>
  <c r="H88" i="13"/>
  <c r="G88" i="13"/>
  <c r="F88" i="13"/>
  <c r="E88" i="13"/>
  <c r="I96" i="13"/>
  <c r="T147" i="13"/>
  <c r="Q147" i="13"/>
  <c r="E140" i="13"/>
  <c r="T107" i="13"/>
  <c r="Q107" i="13"/>
  <c r="T145" i="13"/>
  <c r="Q145" i="13"/>
  <c r="T140" i="13"/>
  <c r="Q140" i="13"/>
  <c r="T125" i="13"/>
  <c r="Q125" i="13"/>
  <c r="H140" i="13"/>
  <c r="G140" i="13"/>
  <c r="F140" i="13"/>
  <c r="H125" i="13"/>
  <c r="E125" i="13"/>
  <c r="E107" i="13"/>
  <c r="H107" i="13"/>
  <c r="G107" i="13"/>
  <c r="F107" i="13"/>
  <c r="I113" i="13"/>
  <c r="I111" i="13"/>
  <c r="O111" i="13" s="1"/>
  <c r="I124" i="13"/>
  <c r="I117" i="13"/>
  <c r="T114" i="13"/>
  <c r="H79" i="13"/>
  <c r="G79" i="13"/>
  <c r="F79" i="13"/>
  <c r="E79" i="13"/>
  <c r="I87" i="13"/>
  <c r="I122" i="13"/>
  <c r="G114" i="13"/>
  <c r="F114" i="13"/>
  <c r="E114" i="13"/>
  <c r="Q36" i="13"/>
  <c r="T34" i="13"/>
  <c r="Q34" i="13"/>
  <c r="Q10" i="13"/>
  <c r="H65" i="13"/>
  <c r="G65" i="13"/>
  <c r="F65" i="13"/>
  <c r="H36" i="13"/>
  <c r="G36" i="13"/>
  <c r="F36" i="13"/>
  <c r="H34" i="13"/>
  <c r="G34" i="13"/>
  <c r="F34" i="13"/>
  <c r="W33" i="13"/>
  <c r="H10" i="13"/>
  <c r="G10" i="13"/>
  <c r="T65" i="13"/>
  <c r="Q65" i="13"/>
  <c r="I38" i="13"/>
  <c r="I37" i="13"/>
  <c r="E34" i="13"/>
  <c r="I35" i="13"/>
  <c r="T26" i="13"/>
  <c r="I154" i="13"/>
  <c r="O154" i="13" s="1"/>
  <c r="I153" i="13"/>
  <c r="O153" i="13" s="1"/>
  <c r="I152" i="13"/>
  <c r="W151" i="13"/>
  <c r="E150" i="13"/>
  <c r="I148" i="13"/>
  <c r="H147" i="13"/>
  <c r="G147" i="13"/>
  <c r="F147" i="13"/>
  <c r="E147" i="13"/>
  <c r="I146" i="13"/>
  <c r="H145" i="13"/>
  <c r="G145" i="13"/>
  <c r="F145" i="13"/>
  <c r="E145" i="13"/>
  <c r="I133" i="13"/>
  <c r="I144" i="13"/>
  <c r="I142" i="13"/>
  <c r="I141" i="13"/>
  <c r="I131" i="13"/>
  <c r="I130" i="13"/>
  <c r="I129" i="13"/>
  <c r="I128" i="13"/>
  <c r="I127" i="13"/>
  <c r="I126" i="13"/>
  <c r="I112" i="13"/>
  <c r="I123" i="13"/>
  <c r="I121" i="13"/>
  <c r="I120" i="13"/>
  <c r="I116" i="13"/>
  <c r="I115" i="13"/>
  <c r="I110" i="13"/>
  <c r="I109" i="13"/>
  <c r="O109" i="13" s="1"/>
  <c r="I108" i="13"/>
  <c r="I101" i="13"/>
  <c r="I100" i="13"/>
  <c r="I99" i="13"/>
  <c r="I98" i="13"/>
  <c r="I86" i="13"/>
  <c r="I85" i="13"/>
  <c r="I84" i="13"/>
  <c r="I83" i="13"/>
  <c r="I82" i="13"/>
  <c r="I81" i="13"/>
  <c r="I80" i="13"/>
  <c r="I78" i="13"/>
  <c r="I77" i="13"/>
  <c r="I75" i="13"/>
  <c r="I73" i="13"/>
  <c r="I72" i="13"/>
  <c r="I71" i="13"/>
  <c r="I70" i="13"/>
  <c r="I69" i="13"/>
  <c r="I68" i="13"/>
  <c r="I66" i="13"/>
  <c r="E65" i="13"/>
  <c r="I61" i="13"/>
  <c r="I60" i="13"/>
  <c r="I59" i="13"/>
  <c r="I58" i="13"/>
  <c r="I57" i="13"/>
  <c r="I56" i="13"/>
  <c r="I55" i="13"/>
  <c r="I54" i="13"/>
  <c r="W52" i="13"/>
  <c r="I51" i="13"/>
  <c r="O51" i="13" s="1"/>
  <c r="I50" i="13"/>
  <c r="I95" i="13"/>
  <c r="I94" i="13"/>
  <c r="I93" i="13"/>
  <c r="I92" i="13"/>
  <c r="I91" i="13"/>
  <c r="I90" i="13"/>
  <c r="I89" i="13"/>
  <c r="I48" i="13"/>
  <c r="I47" i="13"/>
  <c r="I46" i="13"/>
  <c r="I45" i="13"/>
  <c r="I44" i="13"/>
  <c r="I43" i="13"/>
  <c r="I42" i="13"/>
  <c r="I41" i="13"/>
  <c r="I40" i="13"/>
  <c r="I39" i="13"/>
  <c r="I32" i="13"/>
  <c r="I31" i="13"/>
  <c r="I30" i="13"/>
  <c r="I29" i="13"/>
  <c r="I28" i="13"/>
  <c r="I27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E10" i="13"/>
  <c r="I119" i="13"/>
  <c r="H114" i="13"/>
  <c r="E104" i="13" l="1"/>
  <c r="E149" i="13"/>
  <c r="O16" i="13"/>
  <c r="U16" i="13" s="1"/>
  <c r="O29" i="13"/>
  <c r="U29" i="13" s="1"/>
  <c r="O47" i="13"/>
  <c r="U47" i="13" s="1"/>
  <c r="O11" i="13"/>
  <c r="U11" i="13" s="1"/>
  <c r="O15" i="13"/>
  <c r="U15" i="13" s="1"/>
  <c r="O19" i="13"/>
  <c r="U19" i="13" s="1"/>
  <c r="O23" i="13"/>
  <c r="U23" i="13" s="1"/>
  <c r="O28" i="13"/>
  <c r="U28" i="13" s="1"/>
  <c r="O32" i="13"/>
  <c r="U32" i="13" s="1"/>
  <c r="O42" i="13"/>
  <c r="U42" i="13" s="1"/>
  <c r="O46" i="13"/>
  <c r="U46" i="13" s="1"/>
  <c r="O90" i="13"/>
  <c r="U90" i="13" s="1"/>
  <c r="O94" i="13"/>
  <c r="U94" i="13" s="1"/>
  <c r="O57" i="13"/>
  <c r="U57" i="13" s="1"/>
  <c r="O61" i="13"/>
  <c r="U61" i="13" s="1"/>
  <c r="O69" i="13"/>
  <c r="U69" i="13" s="1"/>
  <c r="O73" i="13"/>
  <c r="U73" i="13" s="1"/>
  <c r="O80" i="13"/>
  <c r="U80" i="13" s="1"/>
  <c r="O84" i="13"/>
  <c r="U84" i="13" s="1"/>
  <c r="O99" i="13"/>
  <c r="U99" i="13" s="1"/>
  <c r="O120" i="13"/>
  <c r="U120" i="13" s="1"/>
  <c r="O126" i="13"/>
  <c r="U126" i="13" s="1"/>
  <c r="O130" i="13"/>
  <c r="U130" i="13" s="1"/>
  <c r="O144" i="13"/>
  <c r="U144" i="13" s="1"/>
  <c r="O37" i="13"/>
  <c r="U37" i="13" s="1"/>
  <c r="O87" i="13"/>
  <c r="U87" i="13" s="1"/>
  <c r="O91" i="13"/>
  <c r="U91" i="13" s="1"/>
  <c r="O95" i="13"/>
  <c r="U95" i="13" s="1"/>
  <c r="O54" i="13"/>
  <c r="U54" i="13" s="1"/>
  <c r="O58" i="13"/>
  <c r="U58" i="13" s="1"/>
  <c r="O70" i="13"/>
  <c r="U70" i="13" s="1"/>
  <c r="O75" i="13"/>
  <c r="U75" i="13" s="1"/>
  <c r="O81" i="13"/>
  <c r="U81" i="13" s="1"/>
  <c r="O85" i="13"/>
  <c r="U85" i="13" s="1"/>
  <c r="O100" i="13"/>
  <c r="U100" i="13" s="1"/>
  <c r="O110" i="13"/>
  <c r="U110" i="13" s="1"/>
  <c r="Y110" i="13" s="1"/>
  <c r="O121" i="13"/>
  <c r="U121" i="13" s="1"/>
  <c r="O127" i="13"/>
  <c r="U127" i="13" s="1"/>
  <c r="O131" i="13"/>
  <c r="U131" i="13" s="1"/>
  <c r="O133" i="13"/>
  <c r="U133" i="13" s="1"/>
  <c r="O38" i="13"/>
  <c r="U38" i="13" s="1"/>
  <c r="O113" i="13"/>
  <c r="U113" i="13" s="1"/>
  <c r="Y113" i="13" s="1"/>
  <c r="O20" i="13"/>
  <c r="U20" i="13" s="1"/>
  <c r="O24" i="13"/>
  <c r="U24" i="13" s="1"/>
  <c r="O43" i="13"/>
  <c r="U43" i="13" s="1"/>
  <c r="O119" i="13"/>
  <c r="U119" i="13" s="1"/>
  <c r="O13" i="13"/>
  <c r="U13" i="13" s="1"/>
  <c r="O17" i="13"/>
  <c r="U17" i="13" s="1"/>
  <c r="O21" i="13"/>
  <c r="U21" i="13" s="1"/>
  <c r="O25" i="13"/>
  <c r="U25" i="13" s="1"/>
  <c r="O30" i="13"/>
  <c r="U30" i="13" s="1"/>
  <c r="O40" i="13"/>
  <c r="U40" i="13" s="1"/>
  <c r="O44" i="13"/>
  <c r="U44" i="13" s="1"/>
  <c r="O48" i="13"/>
  <c r="U48" i="13" s="1"/>
  <c r="O92" i="13"/>
  <c r="U92" i="13" s="1"/>
  <c r="O50" i="13"/>
  <c r="U50" i="13" s="1"/>
  <c r="O55" i="13"/>
  <c r="U55" i="13" s="1"/>
  <c r="O59" i="13"/>
  <c r="U59" i="13" s="1"/>
  <c r="O71" i="13"/>
  <c r="U71" i="13" s="1"/>
  <c r="O77" i="13"/>
  <c r="U77" i="13" s="1"/>
  <c r="O86" i="13"/>
  <c r="U86" i="13" s="1"/>
  <c r="O101" i="13"/>
  <c r="U101" i="13" s="1"/>
  <c r="O115" i="13"/>
  <c r="U115" i="13" s="1"/>
  <c r="O123" i="13"/>
  <c r="U123" i="13" s="1"/>
  <c r="O128" i="13"/>
  <c r="U128" i="13" s="1"/>
  <c r="O141" i="13"/>
  <c r="U141" i="13" s="1"/>
  <c r="O152" i="13"/>
  <c r="AA152" i="13" s="1"/>
  <c r="O117" i="13"/>
  <c r="U117" i="13" s="1"/>
  <c r="O96" i="13"/>
  <c r="U96" i="13" s="1"/>
  <c r="O12" i="13"/>
  <c r="U12" i="13" s="1"/>
  <c r="O39" i="13"/>
  <c r="U39" i="13" s="1"/>
  <c r="O14" i="13"/>
  <c r="U14" i="13" s="1"/>
  <c r="O18" i="13"/>
  <c r="U18" i="13" s="1"/>
  <c r="O22" i="13"/>
  <c r="U22" i="13" s="1"/>
  <c r="O27" i="13"/>
  <c r="U27" i="13" s="1"/>
  <c r="O31" i="13"/>
  <c r="U31" i="13" s="1"/>
  <c r="O41" i="13"/>
  <c r="U41" i="13" s="1"/>
  <c r="O45" i="13"/>
  <c r="U45" i="13" s="1"/>
  <c r="O89" i="13"/>
  <c r="U89" i="13" s="1"/>
  <c r="O93" i="13"/>
  <c r="U93" i="13" s="1"/>
  <c r="O56" i="13"/>
  <c r="U56" i="13" s="1"/>
  <c r="O60" i="13"/>
  <c r="U60" i="13" s="1"/>
  <c r="O68" i="13"/>
  <c r="U68" i="13" s="1"/>
  <c r="O72" i="13"/>
  <c r="U72" i="13" s="1"/>
  <c r="O78" i="13"/>
  <c r="U78" i="13" s="1"/>
  <c r="O83" i="13"/>
  <c r="U83" i="13" s="1"/>
  <c r="O98" i="13"/>
  <c r="U98" i="13" s="1"/>
  <c r="O108" i="13"/>
  <c r="U108" i="13" s="1"/>
  <c r="O116" i="13"/>
  <c r="U116" i="13" s="1"/>
  <c r="O112" i="13"/>
  <c r="U112" i="13" s="1"/>
  <c r="Y112" i="13" s="1"/>
  <c r="O129" i="13"/>
  <c r="U129" i="13" s="1"/>
  <c r="O142" i="13"/>
  <c r="U142" i="13" s="1"/>
  <c r="O148" i="13"/>
  <c r="U148" i="13" s="1"/>
  <c r="O122" i="13"/>
  <c r="U122" i="13" s="1"/>
  <c r="O124" i="13"/>
  <c r="U124" i="13" s="1"/>
  <c r="U51" i="13"/>
  <c r="AA51" i="13"/>
  <c r="U111" i="13"/>
  <c r="Y111" i="13" s="1"/>
  <c r="AA111" i="13"/>
  <c r="U109" i="13"/>
  <c r="Y109" i="13" s="1"/>
  <c r="AA109" i="13"/>
  <c r="U153" i="13"/>
  <c r="AA153" i="13"/>
  <c r="U154" i="13"/>
  <c r="AA154" i="13"/>
  <c r="E105" i="13"/>
  <c r="T104" i="13"/>
  <c r="T149" i="13"/>
  <c r="T156" i="13" s="1"/>
  <c r="O155" i="13"/>
  <c r="U155" i="13" s="1"/>
  <c r="H104" i="13"/>
  <c r="H105" i="13" s="1"/>
  <c r="I65" i="13"/>
  <c r="O66" i="13"/>
  <c r="U66" i="13" s="1"/>
  <c r="I145" i="13"/>
  <c r="O146" i="13"/>
  <c r="U146" i="13" s="1"/>
  <c r="I34" i="13"/>
  <c r="O35" i="13"/>
  <c r="U35" i="13" s="1"/>
  <c r="Q104" i="13"/>
  <c r="T105" i="13" s="1"/>
  <c r="E156" i="13"/>
  <c r="I147" i="13"/>
  <c r="Q149" i="13"/>
  <c r="Q156" i="13" s="1"/>
  <c r="I97" i="13"/>
  <c r="I53" i="13"/>
  <c r="I150" i="13"/>
  <c r="F149" i="13"/>
  <c r="F156" i="13" s="1"/>
  <c r="G149" i="13"/>
  <c r="G156" i="13" s="1"/>
  <c r="H149" i="13"/>
  <c r="H156" i="13" s="1"/>
  <c r="I132" i="13"/>
  <c r="I26" i="13"/>
  <c r="I67" i="13"/>
  <c r="O67" i="13" s="1"/>
  <c r="U67" i="13" s="1"/>
  <c r="G104" i="13"/>
  <c r="G105" i="13" s="1"/>
  <c r="F104" i="13"/>
  <c r="F105" i="13" s="1"/>
  <c r="I88" i="13"/>
  <c r="I125" i="13"/>
  <c r="I140" i="13"/>
  <c r="I114" i="13"/>
  <c r="I79" i="13"/>
  <c r="I107" i="13"/>
  <c r="O107" i="13" s="1"/>
  <c r="AA107" i="13" s="1"/>
  <c r="I36" i="13"/>
  <c r="I10" i="13"/>
  <c r="O10" i="13" s="1"/>
  <c r="U10" i="13" s="1"/>
  <c r="Y10" i="13" s="1"/>
  <c r="I104" i="13" l="1"/>
  <c r="Q157" i="13"/>
  <c r="Q158" i="13" s="1"/>
  <c r="AA71" i="13"/>
  <c r="AB71" i="13" s="1"/>
  <c r="AB153" i="13"/>
  <c r="AA15" i="13"/>
  <c r="AB15" i="13" s="1"/>
  <c r="AB51" i="13"/>
  <c r="AA16" i="13"/>
  <c r="AB16" i="13" s="1"/>
  <c r="U152" i="13"/>
  <c r="U150" i="13" s="1"/>
  <c r="X150" i="13" s="1"/>
  <c r="AA77" i="13"/>
  <c r="AB77" i="13" s="1"/>
  <c r="AA47" i="13"/>
  <c r="AB47" i="13" s="1"/>
  <c r="O34" i="13"/>
  <c r="U34" i="13" s="1"/>
  <c r="W34" i="13" s="1"/>
  <c r="O53" i="13"/>
  <c r="U53" i="13" s="1"/>
  <c r="W53" i="13" s="1"/>
  <c r="AB152" i="13"/>
  <c r="O65" i="13"/>
  <c r="AA65" i="13" s="1"/>
  <c r="Y108" i="13"/>
  <c r="AA122" i="13"/>
  <c r="AA142" i="13"/>
  <c r="AB142" i="13" s="1"/>
  <c r="AA112" i="13"/>
  <c r="AB112" i="13" s="1"/>
  <c r="AA108" i="13"/>
  <c r="AB108" i="13" s="1"/>
  <c r="AA83" i="13"/>
  <c r="AB83" i="13" s="1"/>
  <c r="AA72" i="13"/>
  <c r="AB72" i="13" s="1"/>
  <c r="AA60" i="13"/>
  <c r="AB60" i="13" s="1"/>
  <c r="AA93" i="13"/>
  <c r="AB93" i="13" s="1"/>
  <c r="AA45" i="13"/>
  <c r="AB45" i="13" s="1"/>
  <c r="AA31" i="13"/>
  <c r="AB31" i="13" s="1"/>
  <c r="AA22" i="13"/>
  <c r="AB22" i="13" s="1"/>
  <c r="AA14" i="13"/>
  <c r="AB14" i="13" s="1"/>
  <c r="AA12" i="13"/>
  <c r="AB12" i="13" s="1"/>
  <c r="AA117" i="13"/>
  <c r="AB117" i="13" s="1"/>
  <c r="AA128" i="13"/>
  <c r="AB128" i="13" s="1"/>
  <c r="AA115" i="13"/>
  <c r="AB115" i="13" s="1"/>
  <c r="AA86" i="13"/>
  <c r="AB86" i="13" s="1"/>
  <c r="AA59" i="13"/>
  <c r="AB59" i="13" s="1"/>
  <c r="AA50" i="13"/>
  <c r="AB50" i="13" s="1"/>
  <c r="AA48" i="13"/>
  <c r="AB48" i="13" s="1"/>
  <c r="AA40" i="13"/>
  <c r="AB40" i="13" s="1"/>
  <c r="AA25" i="13"/>
  <c r="AB25" i="13" s="1"/>
  <c r="AA17" i="13"/>
  <c r="AB17" i="13" s="1"/>
  <c r="AA119" i="13"/>
  <c r="AB119" i="13" s="1"/>
  <c r="AA24" i="13"/>
  <c r="AB24" i="13" s="1"/>
  <c r="AA113" i="13"/>
  <c r="AB113" i="13" s="1"/>
  <c r="AA133" i="13"/>
  <c r="AB133" i="13" s="1"/>
  <c r="AA127" i="13"/>
  <c r="AB127" i="13" s="1"/>
  <c r="AA110" i="13"/>
  <c r="AA85" i="13"/>
  <c r="AB85" i="13" s="1"/>
  <c r="AA75" i="13"/>
  <c r="AA58" i="13"/>
  <c r="AA95" i="13"/>
  <c r="AA87" i="13"/>
  <c r="AB87" i="13" s="1"/>
  <c r="AA144" i="13"/>
  <c r="AB144" i="13" s="1"/>
  <c r="AA126" i="13"/>
  <c r="AA99" i="13"/>
  <c r="AB99" i="13" s="1"/>
  <c r="AA80" i="13"/>
  <c r="AB80" i="13" s="1"/>
  <c r="AA69" i="13"/>
  <c r="AB69" i="13" s="1"/>
  <c r="AA57" i="13"/>
  <c r="AB57" i="13" s="1"/>
  <c r="AA90" i="13"/>
  <c r="AA42" i="13"/>
  <c r="AA28" i="13"/>
  <c r="AB28" i="13" s="1"/>
  <c r="AA19" i="13"/>
  <c r="AB19" i="13" s="1"/>
  <c r="AA11" i="13"/>
  <c r="AA29" i="13"/>
  <c r="AB29" i="13" s="1"/>
  <c r="AA146" i="13"/>
  <c r="AB146" i="13" s="1"/>
  <c r="AB90" i="13"/>
  <c r="AB11" i="13"/>
  <c r="O26" i="13"/>
  <c r="AA26" i="13" s="1"/>
  <c r="O145" i="13"/>
  <c r="U145" i="13" s="1"/>
  <c r="AA124" i="13"/>
  <c r="AA148" i="13"/>
  <c r="AB148" i="13" s="1"/>
  <c r="AA129" i="13"/>
  <c r="AB129" i="13" s="1"/>
  <c r="AA116" i="13"/>
  <c r="AA98" i="13"/>
  <c r="AB98" i="13" s="1"/>
  <c r="AA78" i="13"/>
  <c r="AB78" i="13" s="1"/>
  <c r="AA68" i="13"/>
  <c r="AB68" i="13" s="1"/>
  <c r="AA56" i="13"/>
  <c r="AB56" i="13" s="1"/>
  <c r="AA89" i="13"/>
  <c r="AB89" i="13" s="1"/>
  <c r="AA41" i="13"/>
  <c r="AA27" i="13"/>
  <c r="AB27" i="13" s="1"/>
  <c r="AA18" i="13"/>
  <c r="AB18" i="13" s="1"/>
  <c r="AA39" i="13"/>
  <c r="AB39" i="13" s="1"/>
  <c r="AA96" i="13"/>
  <c r="AA35" i="13"/>
  <c r="AB35" i="13" s="1"/>
  <c r="AA141" i="13"/>
  <c r="AB141" i="13" s="1"/>
  <c r="AA123" i="13"/>
  <c r="AB123" i="13" s="1"/>
  <c r="AA101" i="13"/>
  <c r="AB101" i="13" s="1"/>
  <c r="AA55" i="13"/>
  <c r="AB55" i="13" s="1"/>
  <c r="AA92" i="13"/>
  <c r="AB92" i="13" s="1"/>
  <c r="AA44" i="13"/>
  <c r="AA30" i="13"/>
  <c r="AB30" i="13" s="1"/>
  <c r="AA21" i="13"/>
  <c r="AB21" i="13" s="1"/>
  <c r="AA13" i="13"/>
  <c r="AB13" i="13" s="1"/>
  <c r="AA43" i="13"/>
  <c r="AA20" i="13"/>
  <c r="AB20" i="13" s="1"/>
  <c r="AA38" i="13"/>
  <c r="AB38" i="13" s="1"/>
  <c r="AA131" i="13"/>
  <c r="AB131" i="13" s="1"/>
  <c r="AA121" i="13"/>
  <c r="AB121" i="13" s="1"/>
  <c r="AA100" i="13"/>
  <c r="AB100" i="13" s="1"/>
  <c r="AA81" i="13"/>
  <c r="AB81" i="13" s="1"/>
  <c r="AA70" i="13"/>
  <c r="AB70" i="13" s="1"/>
  <c r="AA54" i="13"/>
  <c r="AB54" i="13" s="1"/>
  <c r="AA91" i="13"/>
  <c r="AB91" i="13" s="1"/>
  <c r="AA37" i="13"/>
  <c r="AB37" i="13" s="1"/>
  <c r="AA130" i="13"/>
  <c r="AB130" i="13" s="1"/>
  <c r="AA120" i="13"/>
  <c r="AB120" i="13" s="1"/>
  <c r="AA84" i="13"/>
  <c r="AB84" i="13" s="1"/>
  <c r="AA73" i="13"/>
  <c r="AB73" i="13" s="1"/>
  <c r="AA61" i="13"/>
  <c r="AB61" i="13" s="1"/>
  <c r="AA94" i="13"/>
  <c r="AB94" i="13" s="1"/>
  <c r="AA46" i="13"/>
  <c r="AB46" i="13" s="1"/>
  <c r="AA32" i="13"/>
  <c r="AA23" i="13"/>
  <c r="AB23" i="13" s="1"/>
  <c r="AB122" i="13"/>
  <c r="AB95" i="13"/>
  <c r="O147" i="13"/>
  <c r="U147" i="13" s="1"/>
  <c r="AA66" i="13"/>
  <c r="AB66" i="13" s="1"/>
  <c r="AB111" i="13"/>
  <c r="AB155" i="13"/>
  <c r="U163" i="13"/>
  <c r="U164" i="13" s="1"/>
  <c r="AB109" i="13"/>
  <c r="W153" i="13"/>
  <c r="AB154" i="13"/>
  <c r="W154" i="13"/>
  <c r="O88" i="13"/>
  <c r="Q161" i="13"/>
  <c r="W155" i="13"/>
  <c r="O150" i="13"/>
  <c r="AA150" i="13" s="1"/>
  <c r="O97" i="13"/>
  <c r="AA97" i="13" s="1"/>
  <c r="U107" i="13"/>
  <c r="O132" i="13"/>
  <c r="U132" i="13" s="1"/>
  <c r="W132" i="13" s="1"/>
  <c r="O114" i="13"/>
  <c r="U114" i="13" s="1"/>
  <c r="W114" i="13" s="1"/>
  <c r="O140" i="13"/>
  <c r="U140" i="13" s="1"/>
  <c r="W140" i="13" s="1"/>
  <c r="O36" i="13"/>
  <c r="O125" i="13"/>
  <c r="U125" i="13" s="1"/>
  <c r="I149" i="13"/>
  <c r="I156" i="13" s="1"/>
  <c r="E157" i="13"/>
  <c r="W67" i="13"/>
  <c r="F157" i="13"/>
  <c r="H157" i="13"/>
  <c r="G157" i="13"/>
  <c r="U88" i="13" l="1"/>
  <c r="W152" i="13"/>
  <c r="W150" i="13" s="1"/>
  <c r="AA147" i="13"/>
  <c r="AB147" i="13" s="1"/>
  <c r="U26" i="13"/>
  <c r="W26" i="13" s="1"/>
  <c r="U65" i="13"/>
  <c r="W65" i="13" s="1"/>
  <c r="AA145" i="13"/>
  <c r="AA114" i="13"/>
  <c r="AA88" i="13"/>
  <c r="AA140" i="13"/>
  <c r="AA125" i="13"/>
  <c r="AA132" i="13"/>
  <c r="AA53" i="13"/>
  <c r="AA34" i="13"/>
  <c r="U36" i="13"/>
  <c r="W36" i="13" s="1"/>
  <c r="AA36" i="13"/>
  <c r="I157" i="13"/>
  <c r="U97" i="13"/>
  <c r="Y88" i="13" s="1"/>
  <c r="U149" i="13"/>
  <c r="W125" i="13"/>
  <c r="O149" i="13"/>
  <c r="W88" i="13"/>
  <c r="W10" i="13"/>
  <c r="V6" i="13"/>
  <c r="W107" i="13"/>
  <c r="W149" i="13" l="1"/>
  <c r="O156" i="13"/>
  <c r="AA149" i="13"/>
  <c r="X149" i="13"/>
  <c r="W156" i="13"/>
  <c r="W97" i="13"/>
  <c r="Y90" i="13"/>
  <c r="U156" i="13"/>
  <c r="X156" i="13" l="1"/>
  <c r="O82" i="13"/>
  <c r="K79" i="13"/>
  <c r="K104" i="13" s="1"/>
  <c r="O142" i="34"/>
  <c r="I141" i="34" s="1"/>
  <c r="U82" i="13" l="1"/>
  <c r="AA82" i="13"/>
  <c r="I261" i="34"/>
  <c r="I265" i="34" s="1"/>
  <c r="I144" i="34"/>
  <c r="J144" i="34" s="1"/>
  <c r="O79" i="13"/>
  <c r="O104" i="13" s="1"/>
  <c r="AA104" i="13" l="1"/>
  <c r="O157" i="13"/>
  <c r="AB82" i="13"/>
  <c r="U79" i="13"/>
  <c r="W79" i="13" l="1"/>
  <c r="U104" i="13"/>
  <c r="U157" i="13" s="1"/>
  <c r="W104" i="13" l="1"/>
  <c r="W157" i="13" s="1"/>
  <c r="Y104" i="13"/>
  <c r="U159" i="13"/>
</calcChain>
</file>

<file path=xl/comments1.xml><?xml version="1.0" encoding="utf-8"?>
<comments xmlns="http://schemas.openxmlformats.org/spreadsheetml/2006/main">
  <authors>
    <author>Eddu Perez</author>
  </authors>
  <commentList>
    <comment ref="O38" authorId="0" shapeId="0">
      <text>
        <r>
          <rPr>
            <b/>
            <sz val="9"/>
            <color indexed="81"/>
            <rFont val="Tahoma"/>
            <family val="2"/>
          </rPr>
          <t>Eddu Perez:</t>
        </r>
        <r>
          <rPr>
            <sz val="9"/>
            <color indexed="81"/>
            <rFont val="Tahoma"/>
            <family val="2"/>
          </rPr>
          <t xml:space="preserve">
Darlen no la incluyo en la suma de su archivo consolidacion.
</t>
        </r>
      </text>
    </comment>
    <comment ref="T51" authorId="0" shapeId="0">
      <text>
        <r>
          <rPr>
            <b/>
            <sz val="9"/>
            <color indexed="81"/>
            <rFont val="Tahoma"/>
            <family val="2"/>
          </rPr>
          <t>Eddu Perez:</t>
        </r>
        <r>
          <rPr>
            <sz val="9"/>
            <color indexed="81"/>
            <rFont val="Tahoma"/>
            <family val="2"/>
          </rPr>
          <t xml:space="preserve">
Falta el valor de
 US$.226-286.62  
para completar la eliminacion.
</t>
        </r>
      </text>
    </comment>
    <comment ref="Q64" authorId="0" shapeId="0">
      <text>
        <r>
          <rPr>
            <b/>
            <sz val="9"/>
            <color indexed="81"/>
            <rFont val="Tahoma"/>
            <family val="2"/>
          </rPr>
          <t>Eddu Perez:</t>
        </r>
        <r>
          <rPr>
            <sz val="9"/>
            <color indexed="81"/>
            <rFont val="Tahoma"/>
            <family val="2"/>
          </rPr>
          <t xml:space="preserve">
AJUSTE SOLICITO DARLENE CUADRE INV
</t>
        </r>
      </text>
    </comment>
    <comment ref="Q70" authorId="0" shapeId="0">
      <text>
        <r>
          <rPr>
            <b/>
            <sz val="9"/>
            <color indexed="81"/>
            <rFont val="Tahoma"/>
            <family val="2"/>
          </rPr>
          <t>Eddu Perez:</t>
        </r>
        <r>
          <rPr>
            <sz val="9"/>
            <color indexed="81"/>
            <rFont val="Tahoma"/>
            <family val="2"/>
          </rPr>
          <t xml:space="preserve">
agregar a construcciones cta 2110001</t>
        </r>
      </text>
    </comment>
    <comment ref="G155" authorId="0" shapeId="0">
      <text>
        <r>
          <rPr>
            <b/>
            <sz val="9"/>
            <color indexed="81"/>
            <rFont val="Tahoma"/>
            <family val="2"/>
          </rPr>
          <t>Eddu Perez:</t>
        </r>
        <r>
          <rPr>
            <sz val="9"/>
            <color indexed="81"/>
            <rFont val="Tahoma"/>
            <family val="2"/>
          </rPr>
          <t xml:space="preserve">
REG CUENTAS ANALITICAS ALTIAN G POR 396.26</t>
        </r>
      </text>
    </comment>
    <comment ref="W155" authorId="0" shapeId="0">
      <text>
        <r>
          <rPr>
            <b/>
            <sz val="9"/>
            <color indexed="81"/>
            <rFont val="Tahoma"/>
            <family val="2"/>
          </rPr>
          <t>Eddu Perez:</t>
        </r>
        <r>
          <rPr>
            <sz val="9"/>
            <color indexed="81"/>
            <rFont val="Tahoma"/>
            <family val="2"/>
          </rPr>
          <t xml:space="preserve">
DIFERENCIA ES POR CARGA INIAL POR COMPAÑÍA EN Q ESTA CUADRADO Y DIF ES EN US$.</t>
        </r>
      </text>
    </comment>
    <comment ref="G160" authorId="0" shapeId="0">
      <text>
        <r>
          <rPr>
            <b/>
            <sz val="9"/>
            <color indexed="81"/>
            <rFont val="Tahoma"/>
            <family val="2"/>
          </rPr>
          <t>Eddu Perez:</t>
        </r>
        <r>
          <rPr>
            <sz val="9"/>
            <color indexed="81"/>
            <rFont val="Tahoma"/>
            <family val="2"/>
          </rPr>
          <t xml:space="preserve">
US$.501.70 DIFERENCIA EN CARGA INCIAL
</t>
        </r>
      </text>
    </comment>
    <comment ref="G163" authorId="0" shapeId="0">
      <text>
        <r>
          <rPr>
            <b/>
            <sz val="9"/>
            <color indexed="81"/>
            <rFont val="Tahoma"/>
            <family val="2"/>
          </rPr>
          <t>Eddu Perez:</t>
        </r>
        <r>
          <rPr>
            <sz val="9"/>
            <color indexed="81"/>
            <rFont val="Tahoma"/>
            <family val="2"/>
          </rPr>
          <t xml:space="preserve">
REG CUENTAS ANALITICAS ALTIAN G POR 396.26</t>
        </r>
      </text>
    </comment>
  </commentList>
</comments>
</file>

<file path=xl/comments2.xml><?xml version="1.0" encoding="utf-8"?>
<comments xmlns="http://schemas.openxmlformats.org/spreadsheetml/2006/main">
  <authors>
    <author>Eddu Perez</author>
  </authors>
  <commentList>
    <comment ref="N56" authorId="0" shapeId="0">
      <text>
        <r>
          <rPr>
            <b/>
            <sz val="9"/>
            <color indexed="81"/>
            <rFont val="Tahoma"/>
            <family val="2"/>
          </rPr>
          <t>Eddu Perez:</t>
        </r>
        <r>
          <rPr>
            <sz val="9"/>
            <color indexed="81"/>
            <rFont val="Tahoma"/>
            <family val="2"/>
          </rPr>
          <t xml:space="preserve">
273,130+266,944=
540,074 prov vencidos al 30/09/2017
</t>
        </r>
      </text>
    </comment>
    <comment ref="S56" authorId="0" shapeId="0">
      <text>
        <r>
          <rPr>
            <b/>
            <sz val="9"/>
            <color indexed="81"/>
            <rFont val="Tahoma"/>
            <family val="2"/>
          </rPr>
          <t>Eddu Perez:</t>
        </r>
        <r>
          <rPr>
            <sz val="9"/>
            <color indexed="81"/>
            <rFont val="Tahoma"/>
            <family val="2"/>
          </rPr>
          <t xml:space="preserve">
273,130+266,944=
540,074 prov vencidos al 30/09/2017
</t>
        </r>
      </text>
    </comment>
    <comment ref="V145" authorId="0" shapeId="0">
      <text>
        <r>
          <rPr>
            <b/>
            <sz val="9"/>
            <color indexed="81"/>
            <rFont val="Tahoma"/>
            <family val="2"/>
          </rPr>
          <t>Eddu Perez:</t>
        </r>
        <r>
          <rPr>
            <sz val="9"/>
            <color indexed="81"/>
            <rFont val="Tahoma"/>
            <family val="2"/>
          </rPr>
          <t xml:space="preserve">
UTILIDAD ACUMLADA AL 31/12/2016 SEGÚN INFORME CONSOLIDADO DE AUDITORIA</t>
        </r>
      </text>
    </comment>
  </commentList>
</comments>
</file>

<file path=xl/sharedStrings.xml><?xml version="1.0" encoding="utf-8"?>
<sst xmlns="http://schemas.openxmlformats.org/spreadsheetml/2006/main" count="4130" uniqueCount="860">
  <si>
    <t>(Cifras en US$)</t>
  </si>
  <si>
    <t xml:space="preserve">COD </t>
  </si>
  <si>
    <t>COD SAP</t>
  </si>
  <si>
    <t>NOMBRE DE LA CUENTA</t>
  </si>
  <si>
    <t>ALPA</t>
  </si>
  <si>
    <t>ASGT</t>
  </si>
  <si>
    <t>ALGT</t>
  </si>
  <si>
    <t>DALT</t>
  </si>
  <si>
    <t>CONSOLIDADO</t>
  </si>
  <si>
    <t>CAJA Y BANCOS</t>
  </si>
  <si>
    <t>CAJA GTQ QUETZAL GUATEMALTECO</t>
  </si>
  <si>
    <t>CAJA - DIVISAS DIF.CB</t>
  </si>
  <si>
    <t>BANCO AGROMER. C/C DOLARES USA</t>
  </si>
  <si>
    <t>BANCO CITI BANK C/C DOLARES USA</t>
  </si>
  <si>
    <t>BANCO G&amp;T C/C QUETZALES</t>
  </si>
  <si>
    <t>BANCOS E INSTITUCIONES DE CREDITO M.E.</t>
  </si>
  <si>
    <t>BANCO INDUSTRIAL C/C DOLARES USA</t>
  </si>
  <si>
    <t>BANCO INDUSTRIAL C/C QUETZALES</t>
  </si>
  <si>
    <t>BANCO RURAL C/C QUETZALES</t>
  </si>
  <si>
    <t>BANCO AGROMER. C/C DOLARES USA TRANSITO</t>
  </si>
  <si>
    <t>BANCO CITI BANK C/C DOLARES USA TRANSIT</t>
  </si>
  <si>
    <t>BANCO G&amp;T C/C QUETZALES TRANSITORIA</t>
  </si>
  <si>
    <t>BANCO INDUSTRIAL C/C DOLARES USA TRANSI</t>
  </si>
  <si>
    <t>BANCO INDUSTRIAL C/C QUETZALES TRANSITO</t>
  </si>
  <si>
    <t>CLIENTES</t>
  </si>
  <si>
    <t>CLIENTES NACIONALES.</t>
  </si>
  <si>
    <t>CLIENTES EXTRANJEROS</t>
  </si>
  <si>
    <t>CLIENTES, EMPRESAS DEL GRUPO</t>
  </si>
  <si>
    <t>CLIENTES, EMPRESAS DEL GRUPO EXT</t>
  </si>
  <si>
    <t>PROVISIONES CUENTAS INCOBRABLES</t>
  </si>
  <si>
    <t>OTRAS CUENTAS POR COBRAR</t>
  </si>
  <si>
    <t>ANTICIPO PROVEEDORES NACIONALES</t>
  </si>
  <si>
    <t>ANTICIPOS A PROVEEDORES EXTRANJEROS</t>
  </si>
  <si>
    <t>ANTICIPO PROVEEDORES GRUPO</t>
  </si>
  <si>
    <t>ANTICIPO ACREEDORES NACIONALES EMPLEADO</t>
  </si>
  <si>
    <t>ANTICIPOS DE REMUNERACIONES (FONDOS FIJ</t>
  </si>
  <si>
    <t>ANTICIPOS DE REMUNERACIONES GV</t>
  </si>
  <si>
    <t>ANTICIPOS DE REMUNERACIONES TRANSPORTE</t>
  </si>
  <si>
    <t>HAC.PUB. DEUDOR POR IVA</t>
  </si>
  <si>
    <t>HªP DEUD. CREDITO IVA x COBRAR (LITIGIO</t>
  </si>
  <si>
    <t>HªP DEUD. IVA x COBRAR IMPORTACIONES</t>
  </si>
  <si>
    <t>HAC.PUB. IVA SOPORTADO</t>
  </si>
  <si>
    <t>HªP DEUD. RETENC. SOPORTADAS EXT</t>
  </si>
  <si>
    <t>HªP DEUD. RETENCION IVA EFECT. POR TERC</t>
  </si>
  <si>
    <t>GASTOS ANTICIPADOS VARIOS</t>
  </si>
  <si>
    <t>CREDITOS A C/P ENAJENACION INMOVILIZADO</t>
  </si>
  <si>
    <t>CUENTA CORRIENTE GRUPO</t>
  </si>
  <si>
    <t>INVENTARIOS</t>
  </si>
  <si>
    <t>MATERIAS PRIMAS</t>
  </si>
  <si>
    <t>ENVASES PROPIOS</t>
  </si>
  <si>
    <t>PRODUCTOS ACABADOS</t>
  </si>
  <si>
    <t>MERCANCIAS EN TRANSITO</t>
  </si>
  <si>
    <t>PRODUCTOS ACABADOS MUESTRAS</t>
  </si>
  <si>
    <t>INVERSIONES EN COMPAÑIAS</t>
  </si>
  <si>
    <t>DEUDAS A LARGO PLAZO EMP. GRUPO</t>
  </si>
  <si>
    <t>PROPIEDAD PLANTA Y EQUIPO</t>
  </si>
  <si>
    <t>MOBILIARIO</t>
  </si>
  <si>
    <t>EQUIPOS INFORMATICOS</t>
  </si>
  <si>
    <t>ELEMENTOS DE TRANSPORTE</t>
  </si>
  <si>
    <t>TERRENOS Y BS. NATURALES</t>
  </si>
  <si>
    <t>MAQUINARIA</t>
  </si>
  <si>
    <t>CONSTRUCCIONES</t>
  </si>
  <si>
    <t>UTILLAJE</t>
  </si>
  <si>
    <t>INSTALACIONES TECNICAS</t>
  </si>
  <si>
    <t xml:space="preserve">TOTAL AMORTIZACIONES </t>
  </si>
  <si>
    <t>AMORT.ACUM.CONSTRUCCIONES</t>
  </si>
  <si>
    <t>AMORT.ACUM.INSTAL.TECNICAS</t>
  </si>
  <si>
    <t>AMORT.ACUM.MAQUINARIA</t>
  </si>
  <si>
    <t>AMORT.ACUM.UTILLAJE</t>
  </si>
  <si>
    <t>AMORT.ACUM.MOBILI. Y EQ.OFICIN</t>
  </si>
  <si>
    <t>AMORT.ACUM.EQUIP.PROCES.INFOR.</t>
  </si>
  <si>
    <t>AMORT.ACUM.ELEMENTOS TRANSPOR.</t>
  </si>
  <si>
    <t>PAGOS A CUENTA IMPUESTOS</t>
  </si>
  <si>
    <t>PAGOS A CUENTA IMPUESTOS IRPF / ISR</t>
  </si>
  <si>
    <t>PAGOS A CUENTA IMPUESTOS SOLIDARIOS</t>
  </si>
  <si>
    <t>PAGOS A CUENTA IMPUESTOS ISR 3M</t>
  </si>
  <si>
    <t>DEPOSITOS CONSTITUIDOS LP</t>
  </si>
  <si>
    <t>GASTOS DE INVESTIGACION Y DESARROLLO</t>
  </si>
  <si>
    <t>***TOTAL DEL ACTIVO***</t>
  </si>
  <si>
    <t>PASIVO</t>
  </si>
  <si>
    <t>PASIVO CORRIENTE</t>
  </si>
  <si>
    <t>ACREEDORES, EMPRESA GRUPO EXT.</t>
  </si>
  <si>
    <t>PROVEEDORES, EMPRESA GRUPO EXT.</t>
  </si>
  <si>
    <t>PROVEEDORES, EMPRESAS GRUPO</t>
  </si>
  <si>
    <t>COMISIONISTAS EXTRANJEROS</t>
  </si>
  <si>
    <t>OTRAS CUENTAS POR PAGA A DISTRIBUIDORES</t>
  </si>
  <si>
    <t>ACREEDORES NACIONALES</t>
  </si>
  <si>
    <t>ACREEDORES EXTRANJEROS</t>
  </si>
  <si>
    <t>PROVEEDORES</t>
  </si>
  <si>
    <t>PROVEEDORES NACIONALES.</t>
  </si>
  <si>
    <t>PROVEEDORES EXTRANJEROS.</t>
  </si>
  <si>
    <t>PROVEEDORES FACTURAS A RECIBIR COMPRAS</t>
  </si>
  <si>
    <t>PROVEEDORES FACTURAS A RECIBIR GASTOS</t>
  </si>
  <si>
    <t>CUENTAS POR PAGAR A EMPLEADOS</t>
  </si>
  <si>
    <t>ACREEDORES NACIONALES EMPLEADOS</t>
  </si>
  <si>
    <t>REMUNERACIONES PTES. DE PAGO</t>
  </si>
  <si>
    <t>REMUNERACIONES PTES. DE PAGO LICENCIAS</t>
  </si>
  <si>
    <t>REMUNERACIONES PTES. DE PAGO AGUINALDO</t>
  </si>
  <si>
    <t>REMUNERACIONES PTES. DE PAGO-NOMINA</t>
  </si>
  <si>
    <t>REMUNERACIONES PTES. DE PAGO BONIFICACI</t>
  </si>
  <si>
    <t>IMPUESTOS Y CONTRIBUCIONES POR PAGAR</t>
  </si>
  <si>
    <t>ORGANISMOS SEG.SOC.ACREEDORES</t>
  </si>
  <si>
    <t>RETENCIONES CONTRIB SEG SOCIAL</t>
  </si>
  <si>
    <t>DESCUENTO BANCO TRABAJADORES</t>
  </si>
  <si>
    <t>ISR POR PAGAR</t>
  </si>
  <si>
    <t>HAC.PUB.IVA REPERCUTIDO</t>
  </si>
  <si>
    <t>CUENTAS CORRIENTE</t>
  </si>
  <si>
    <t>PROVISION PARA INDEMNIZACIONES</t>
  </si>
  <si>
    <t>PROVISION POR RESPONSABILIDADE</t>
  </si>
  <si>
    <t>TOTAL PASIVO</t>
  </si>
  <si>
    <t>CAPITAL , RESERVAS Y SUPERAVIT</t>
  </si>
  <si>
    <t>CAPITAL SOCIAL</t>
  </si>
  <si>
    <t>RESERVA LEGAL</t>
  </si>
  <si>
    <t xml:space="preserve">RESULTADOS NEGATIVOS DE EJERCICIOS ANTE </t>
  </si>
  <si>
    <t>REMANENTE (resultado año ant)</t>
  </si>
  <si>
    <t>RESULTADOS DEL EJERCICIO</t>
  </si>
  <si>
    <t>TOTAL PASIVO + CAPITAL = ACTIVO</t>
  </si>
  <si>
    <t>ANTICIPO A PROVEEDORES EXTRANJEROS DIF.</t>
  </si>
  <si>
    <t>ANTICIPOS DE REMUNERACIONES FONDO (FONDO FIJO)</t>
  </si>
  <si>
    <t>ANTICIPO ACREEDORES GRUPO EXT. DIF C</t>
  </si>
  <si>
    <t>MERCANCIAS EN TRANSITO DIF. CB</t>
  </si>
  <si>
    <t>ACREEDORES NACIONALES DIF. CB</t>
  </si>
  <si>
    <t>ACREEDORES EXTRANJEROS DIF. CB</t>
  </si>
  <si>
    <t>PROVEEDORES NACIONALES. DIF. CB</t>
  </si>
  <si>
    <t>PROVEEDORES EXTRANJEROS. DIF. CB</t>
  </si>
  <si>
    <t>PROVEEDORES, EMPRESA GRUPO EXT. DIF. CB</t>
  </si>
  <si>
    <t>CAJAS USD DOLARES</t>
  </si>
  <si>
    <t xml:space="preserve"> -------&gt;</t>
  </si>
  <si>
    <t>ANTICIPOS DE REMUNERACIONES</t>
  </si>
  <si>
    <t>HªP DEUD. CREDITO IVA X COBRAR NACIONAL</t>
  </si>
  <si>
    <t>INVENTARIOS EN PROCESO</t>
  </si>
  <si>
    <t>PROV. DEPRECIACIONES EXISTENCIAS</t>
  </si>
  <si>
    <t>CLIENTES EXTRANJEROS DIF. CAMBIO</t>
  </si>
  <si>
    <t>DEUDORES EXTRANJEROS</t>
  </si>
  <si>
    <t>EQUIPOS DE LABORATORIO</t>
  </si>
  <si>
    <t>CONSTRUCCIONES EN PROCESO</t>
  </si>
  <si>
    <t>ENTRE COMPAÑIAS</t>
  </si>
  <si>
    <t>DEBE</t>
  </si>
  <si>
    <t>HABER</t>
  </si>
  <si>
    <t>SALDO</t>
  </si>
  <si>
    <t>FINAL</t>
  </si>
  <si>
    <t>ALTIAN PHARMA GRUPPE</t>
  </si>
  <si>
    <t>DE CENTRO AMERICA, S. A.</t>
  </si>
  <si>
    <t xml:space="preserve">Contabilidad: 01 - CONTABILIDAD CONSOLIDADA                </t>
  </si>
  <si>
    <t>Año actual : 2017</t>
  </si>
  <si>
    <t>Pagina     : 01</t>
  </si>
  <si>
    <t>Mes actual : 09 - SEPTIEMBRE</t>
  </si>
  <si>
    <t>BALANCE GENERAL CONSOLIDADO</t>
  </si>
  <si>
    <t>Fecha      : 09.10.2017</t>
  </si>
  <si>
    <t>Hora        : 10:33:59</t>
  </si>
  <si>
    <t>Programa : AMCONP06</t>
  </si>
  <si>
    <t>T. C. CTAS BALANCE     :      7.34427</t>
  </si>
  <si>
    <t>T. C. CTAS RESULTADO :    7.33313</t>
  </si>
  <si>
    <t>ANTICIPO Y OTROS GASTOS ANTICIPADOS</t>
  </si>
  <si>
    <t>IMPUESTOS POR COBRAR</t>
  </si>
  <si>
    <t>IMPUESTOS A CUENTA</t>
  </si>
  <si>
    <t>PROVEEDORES FACTURAS A RECIBIR ACTIVOS</t>
  </si>
  <si>
    <t>AMORT.ACUM.EQUIPO DE LABORATORIO</t>
  </si>
  <si>
    <t>CONTRIBUCIONES POR PAGAR</t>
  </si>
  <si>
    <t>FINANCIERO</t>
  </si>
  <si>
    <t>DIFERENCIA</t>
  </si>
  <si>
    <t>CUENTA</t>
  </si>
  <si>
    <t>NOMBRE</t>
  </si>
  <si>
    <t>PARTIDAS DE ELIMINACION MOVIMIENTOS ENTRE COMPAÑIAS</t>
  </si>
  <si>
    <t>BALANCE</t>
  </si>
  <si>
    <t>4030000 PROVEEDORES, EMPRESAS GRUPO</t>
  </si>
  <si>
    <t>ALGT - DEBE A ASGT</t>
  </si>
  <si>
    <t>ALGT = ALTIAN PHARMA, S. A. (GUATEMALA)</t>
  </si>
  <si>
    <t>ASGT - DEBE A ALGT</t>
  </si>
  <si>
    <t>ASGT = ASTA MEDICA CENTROAMERICANA, S. A. (GUATEMALA)</t>
  </si>
  <si>
    <t>ASGT - DEBE A DAGT</t>
  </si>
  <si>
    <t>DAGT = DALT PHARMA, S. A. (GUATEMALA)</t>
  </si>
  <si>
    <t>4030001 PROVEEDORES, EMPRESA GRUPO EXT.</t>
  </si>
  <si>
    <t>ASGT - DEBE A ALPA</t>
  </si>
  <si>
    <t>ALPA = ALTIAN PHARMA GRUPPE DE CENTRO AMERICA, S. A. (PANAMA)</t>
  </si>
  <si>
    <t>ALPA - DEBE A ASGT</t>
  </si>
  <si>
    <t>ALPA - DEBE A ALGT</t>
  </si>
  <si>
    <t>DALT - DEBE A ALGT</t>
  </si>
  <si>
    <t>4330001 CLIENTES, EMPRESAS DEL GRUPO</t>
  </si>
  <si>
    <t>4330002 CLIENTES, EMPRESAS DEL GRUPO EXT</t>
  </si>
  <si>
    <t>CUENTAS POR COBRAR Y PAGAR DEL GRUPO</t>
  </si>
  <si>
    <t>4100003 ACREEDORES, EMPRESA GRUPO EXT.</t>
  </si>
  <si>
    <t>5430000 CREDITOS A C/P ENAJENACION INMOVILIZADO</t>
  </si>
  <si>
    <t>5510000 CUENTA CORRIENTE GRUPO</t>
  </si>
  <si>
    <t xml:space="preserve">Ganancia (Perdida) Ejercicio  </t>
  </si>
  <si>
    <t>OTRAS CUENTAS POR COBRAR Y PAGAR DEL GRUPO</t>
  </si>
  <si>
    <t>Capital Autori. Suscri. Pagado</t>
  </si>
  <si>
    <t>Inversión en ASTA Medica Guat.</t>
  </si>
  <si>
    <t xml:space="preserve">Inversión en Altian Pharma    </t>
  </si>
  <si>
    <t xml:space="preserve">Inversion en Dalt Pharma      </t>
  </si>
  <si>
    <t>INVERSIONES ENTRE EL GRUPO</t>
  </si>
  <si>
    <t>4900000 PROVISIONES INSOLVENCIAS</t>
  </si>
  <si>
    <t>CUENTAS INCOBRABLES ENTRE EL GRUPO</t>
  </si>
  <si>
    <t>ISR DIFERIDO</t>
  </si>
  <si>
    <t>Impuesto s/la Renta x pagar   Diferido</t>
  </si>
  <si>
    <t xml:space="preserve">Superavit/Perdidas acumuladas </t>
  </si>
  <si>
    <t xml:space="preserve">Dep. Acda. Maquinaria         </t>
  </si>
  <si>
    <t>DEPRECIACION DE MAQUINARIA</t>
  </si>
  <si>
    <t>MOVIMIENTO DE DEPRECIACIONES Y GASTOS ANTICIPADOS 2017</t>
  </si>
  <si>
    <t>PROVISION PRODUCTOS VENCIDOS</t>
  </si>
  <si>
    <t>PRODUCTOS VENCIDOS</t>
  </si>
  <si>
    <t>Impuesto s/la Renta x Cobrar  Diferido</t>
  </si>
  <si>
    <t>PROVISION DE IVA POR PAGAR VENCIDOS</t>
  </si>
  <si>
    <t>3500000 PRODUCTOS ACABADOS</t>
  </si>
  <si>
    <t>3900000 PROV.DEPRECIACION EXISTENCIAS</t>
  </si>
  <si>
    <t>REGISTRO DE MUESTRAS MEDICAS A GASTO</t>
  </si>
  <si>
    <t>3500001 PRODUCTOS ACABADOS MUESTRAS</t>
  </si>
  <si>
    <t>REGISTRO DE MUESTRAS MEDICAS A GASTO 2016</t>
  </si>
  <si>
    <t>PROVISION IMPUESTO SOBRE LA RENTA</t>
  </si>
  <si>
    <t xml:space="preserve">IMPUESTOS POR PAGAR </t>
  </si>
  <si>
    <t>REGISTRO DE IMPUESTO SOBRE LA RENTA POR PAGAR</t>
  </si>
  <si>
    <t>MOVIMIENTO DE INVENTARIO DE MERCADERIA VENCIDA 2017</t>
  </si>
  <si>
    <t>6299700 GASTOS INMOVILIZACIONES EN CURSO ALPA</t>
  </si>
  <si>
    <t>6299700 GASTOS INMOVILIZACIONES EN CURSO ASGT</t>
  </si>
  <si>
    <t>6299700 GASTOS INMOVILIZACIONES EN CURSO ALGT</t>
  </si>
  <si>
    <t>Ganancia (Perdida) Ejercicio  ALPA</t>
  </si>
  <si>
    <t>Ganancia (Perdida) Ejercicio  ALGT</t>
  </si>
  <si>
    <t>Ganancia (Perdida) Ejercicio  ASGT</t>
  </si>
  <si>
    <t>REGISTRO INMOVILIZADOS AL 30/09/2017</t>
  </si>
  <si>
    <t>PROVEEDORES DEL EXTERIOR</t>
  </si>
  <si>
    <t>CAMBIO DE PATRONAL EN EL SALVADOR FUERZA DE VENTAS</t>
  </si>
  <si>
    <t xml:space="preserve">KPMG REGULARIZACION DEL COSTO </t>
  </si>
  <si>
    <t>REGULARIZACION DEL COSTO VENTAS</t>
  </si>
  <si>
    <t>OTROS GASTOS PROMOTION</t>
  </si>
  <si>
    <t>PROVISION  GASTOS LANZAMIENTOS DE PRODUCTO RETRASADOS 2017</t>
  </si>
  <si>
    <t>OTROS GASTOS SALES FORCE</t>
  </si>
  <si>
    <t>PROVISION  GASTOS (SUSTITUCIÓN PATRONAL EL SALVADOR Y OTRAS BAJAS) SEPTIEMBRE 2018</t>
  </si>
  <si>
    <t>OTROS GASTOS MARKETING</t>
  </si>
  <si>
    <t>PROVISION  GASTOS GASTOS DE RECLUTAMIENTO Y MUDANZA GERENTE LINEA 4, SEPTIEMBRE 2019</t>
  </si>
  <si>
    <t>OTROS GASTOS FINANZAS</t>
  </si>
  <si>
    <t>PROVISION  GASTOS BAJA PERSONAL 22 AÑOS LABORALES SEPTIEMBRE 2017</t>
  </si>
  <si>
    <t>OTROS GASTOS RECURSOS HUMANOS</t>
  </si>
  <si>
    <t>PROVISION  GASTOS CONVENCIÓN DIRECTIVOS Y RECLUTAMIENTO SEPTIEMBRE 2017</t>
  </si>
  <si>
    <t>OTROS GASTOS SERVICIOS GENERALES</t>
  </si>
  <si>
    <t>PROVISION  GASTOS DE READECUACIÓN DE INSTALACIONES OFICINAS Y MANTENIMIENTOS SEPTIEMBRE 2017</t>
  </si>
  <si>
    <t>OTROS GASTOS G&amp;A</t>
  </si>
  <si>
    <t>PROVISION  GASTOS  TRASLADO DE OFICINAS PANAMÁ SEPTIEMBRE 2017</t>
  </si>
  <si>
    <t>PROVISION  GASTOS SEPTIEMBRE 2017</t>
  </si>
  <si>
    <t>PROVISION DE GASTOS DEL MES DE SEPTIEMBRE 2017</t>
  </si>
  <si>
    <t>Utilidades retenidas</t>
  </si>
  <si>
    <t>Diferencia por conversión</t>
  </si>
  <si>
    <t>REG DIFERENCIA POR CONVERSION</t>
  </si>
  <si>
    <t>PDA#1</t>
  </si>
  <si>
    <t xml:space="preserve"> ------------------------XX--------------------------</t>
  </si>
  <si>
    <t>PDA#2</t>
  </si>
  <si>
    <t>PDA#3</t>
  </si>
  <si>
    <t>PDA#4</t>
  </si>
  <si>
    <t>PDA#5</t>
  </si>
  <si>
    <t>PDA#6</t>
  </si>
  <si>
    <t>PDA#7</t>
  </si>
  <si>
    <t>PDA#8</t>
  </si>
  <si>
    <t>PDA#9</t>
  </si>
  <si>
    <t>PDA#10</t>
  </si>
  <si>
    <t>PDA#11</t>
  </si>
  <si>
    <t>PDA#12</t>
  </si>
  <si>
    <t>PDA#13</t>
  </si>
  <si>
    <t>PDA#14</t>
  </si>
  <si>
    <t>PDA#15</t>
  </si>
  <si>
    <t>PDA#16</t>
  </si>
  <si>
    <t>Provision para obsolecencia</t>
  </si>
  <si>
    <t xml:space="preserve">                         A Superavit/Perdidas acumuladas </t>
  </si>
  <si>
    <t>PROVISION PARA OBSOLECENCIA AÑO 2016</t>
  </si>
  <si>
    <t>PDA#17</t>
  </si>
  <si>
    <t xml:space="preserve">                        A Ganancia (Perdida) Ejercicio  </t>
  </si>
  <si>
    <t>PROVISION PARA OBSOLECENCIA AÑO 2017</t>
  </si>
  <si>
    <t>PDA#18</t>
  </si>
  <si>
    <t>Otros gastos G&amp;A</t>
  </si>
  <si>
    <t>PROVISION GASTOS G&amp;A REMODELACION OFICINAS</t>
  </si>
  <si>
    <t>PDA#19</t>
  </si>
  <si>
    <t>Diferencia en cambio Cta. Corriente</t>
  </si>
  <si>
    <t>Cuenta Incobrable entre Grupo</t>
  </si>
  <si>
    <t>Depreciacion Maquinaria</t>
  </si>
  <si>
    <t>Provsion productos vencidos</t>
  </si>
  <si>
    <t>Reg al gasto Inv vencidos</t>
  </si>
  <si>
    <t>Prov iva Productos vencidos</t>
  </si>
  <si>
    <t>Isr diferido Vencidos</t>
  </si>
  <si>
    <t>ISR diferido maquinaria</t>
  </si>
  <si>
    <t>Regal gasto Inv. Muestras Medicas</t>
  </si>
  <si>
    <t>Isr diferido MM</t>
  </si>
  <si>
    <t>Provision ISR</t>
  </si>
  <si>
    <t>Inmovilizados a 30/09/2017</t>
  </si>
  <si>
    <t>Regularizacion Costo Ventas</t>
  </si>
  <si>
    <t>Provision Cambio Patronal Fuerza ventas El Salvador</t>
  </si>
  <si>
    <t>Dif. En cabio inversiones entre Cias.</t>
  </si>
  <si>
    <t>Diferencia en conversion</t>
  </si>
  <si>
    <t>Provision obsolecencia 2017</t>
  </si>
  <si>
    <t>ISR diferido maquinaria 2016</t>
  </si>
  <si>
    <t>Depreciacion maquinaria 2016</t>
  </si>
  <si>
    <t>Regularizacion del costo</t>
  </si>
  <si>
    <t>provision obsolecencia</t>
  </si>
  <si>
    <t>Provision gastos remodelacion oficinas</t>
  </si>
  <si>
    <t>cambio</t>
  </si>
  <si>
    <t>Gasto por indem</t>
  </si>
  <si>
    <t>MOVIMIENTO DE IMDEMNIZACIONES 2016</t>
  </si>
  <si>
    <t>Impuesto s/la Renta x pagar   Diferido pasivo</t>
  </si>
  <si>
    <t>Reversar ISR DIFERIDO DE INDEMNIZACIONES 2016</t>
  </si>
  <si>
    <t>PARTIDA HISTORICA VENCIDOS SE CORRE PRIMERO DEL 2016</t>
  </si>
  <si>
    <t>ISR POR COBRAR DIFERIDO</t>
  </si>
  <si>
    <t>DEPRECIACION EXISTENCIAS</t>
  </si>
  <si>
    <t>PROVISION IVA X PAGAR VENCIDOS</t>
  </si>
  <si>
    <t>PROVISION DEPRECIACION EXISTENCIAS</t>
  </si>
  <si>
    <t>ISR DIFERIDO GASTO</t>
  </si>
  <si>
    <t>GASTO DESTRUCCION INVENTARIOS</t>
  </si>
  <si>
    <t>GASTOS POR IVA POR DESTRUCCION DE INVENTARIOS</t>
  </si>
  <si>
    <t>PARTIDA HISTORICA MM SE CORRE PRIMERO DEL 2016</t>
  </si>
  <si>
    <t>IMPUESTO POR COBRAR DIFERIDO</t>
  </si>
  <si>
    <t>GASTO DE MUESTRA MEDICA</t>
  </si>
  <si>
    <t>ISR DIFERIDO X PAGAR</t>
  </si>
  <si>
    <t>Regularizacion del ISR DIFERIDO</t>
  </si>
  <si>
    <t>Año actual : 2016</t>
  </si>
  <si>
    <t>Mes actual : 12 - SEPTIEMBRE</t>
  </si>
  <si>
    <t>Fecha      : 28.01.2017</t>
  </si>
  <si>
    <t>T. C. CTAS BALANCE     :      7.52067</t>
  </si>
  <si>
    <t>Hora        : 21:15:21</t>
  </si>
  <si>
    <t>T. C. CTAS RESULTADO :    7.52444</t>
  </si>
  <si>
    <t>1420000 PROVISION POR RESPONSABILIDADE</t>
  </si>
  <si>
    <t>a</t>
  </si>
  <si>
    <t>Gasto por indemnizaciones</t>
  </si>
  <si>
    <t>b</t>
  </si>
  <si>
    <t>ISR diferido beneficio</t>
  </si>
  <si>
    <t>MOVIMIENTO DE IMDEMNIZACIONES 2017</t>
  </si>
  <si>
    <t>Impuesto sobre la renta diferido gasto</t>
  </si>
  <si>
    <t>MOVIMIENTO DE DEPRECIACIONES Y GASTOS ANTICIPADOS 2016</t>
  </si>
  <si>
    <t>Superavit</t>
  </si>
  <si>
    <t>MOVIMIENTO DE INVENTARIO DE MERCADERIA VENCIDA 2016</t>
  </si>
  <si>
    <t>Impuesto diferido gasto</t>
  </si>
  <si>
    <t>Impuesto diferido por cobrar</t>
  </si>
  <si>
    <t>Gasto por destrucción de inventarios</t>
  </si>
  <si>
    <t>Gasto por IVA por la destrucción de inventarios</t>
  </si>
  <si>
    <t>Gasto por muestra</t>
  </si>
  <si>
    <t>ISR diferido gasto</t>
  </si>
  <si>
    <t>Gasto por muestras</t>
  </si>
  <si>
    <t>413001_2</t>
  </si>
  <si>
    <t>Deferred tax Debts</t>
  </si>
  <si>
    <t>ISR DIF MAQ</t>
  </si>
  <si>
    <t>ISR DIF INDEM</t>
  </si>
  <si>
    <t>PDA#20</t>
  </si>
  <si>
    <t>PROVISION POR OBSOLECENCIA</t>
  </si>
  <si>
    <t>ISR DIFERIDO POR COBRAR</t>
  </si>
  <si>
    <t>IVA POR PAGAR VENCIDOS</t>
  </si>
  <si>
    <t>ISR DIFERIDO POR PAGAR</t>
  </si>
  <si>
    <t>8,10</t>
  </si>
  <si>
    <t xml:space="preserve">CUENTAS POR PAGAR A EMPLEADOS </t>
  </si>
  <si>
    <t>7,6</t>
  </si>
  <si>
    <t>9,12</t>
  </si>
  <si>
    <t>4,23</t>
  </si>
  <si>
    <t>REGULARIZACION RESERVA LEGAL Y UTILIADES RET.</t>
  </si>
  <si>
    <t>A)</t>
  </si>
  <si>
    <t>B)</t>
  </si>
  <si>
    <t>C)</t>
  </si>
  <si>
    <t>D)</t>
  </si>
  <si>
    <t>9, 9A</t>
  </si>
  <si>
    <t>Resultado del ejercicio</t>
  </si>
  <si>
    <t>Reversion partida Valuacion del Inventario</t>
  </si>
  <si>
    <t>Diferencial Cambiario</t>
  </si>
  <si>
    <t>REGISTRO PROVISION PARA OBSOLECENCIA</t>
  </si>
  <si>
    <t>PROVISION PARA OBSOLECENCIA</t>
  </si>
  <si>
    <t>22,ER8</t>
  </si>
  <si>
    <t>6270411CONVENCIONES Y CONFERENCIAS</t>
  </si>
  <si>
    <t>4104000 ACREEDORES EXTRANJEROS</t>
  </si>
  <si>
    <t>EXTORNO GASTOS PROVISIONADOS CONVENCION DE VENTAS</t>
  </si>
  <si>
    <t>Utilidad año 2016</t>
  </si>
  <si>
    <t>Remanente</t>
  </si>
  <si>
    <t>Reserva Legal 2016</t>
  </si>
  <si>
    <t>Regularizacion del costo en julio 2017</t>
  </si>
  <si>
    <t>minoria</t>
  </si>
  <si>
    <t>Diferencial en cambiario</t>
  </si>
  <si>
    <t>Registro partida financiera de junio 2017</t>
  </si>
  <si>
    <t>Reg. Complemento Provision para Obsolecencia</t>
  </si>
  <si>
    <t>Provsion productos vencidos 2017</t>
  </si>
  <si>
    <t>Provsion IVA productos vencidos 2017</t>
  </si>
  <si>
    <t>CUENTA CORRIENTE GRUPO Dif en cambio</t>
  </si>
  <si>
    <t>Diferencia por conversion</t>
  </si>
  <si>
    <t xml:space="preserve">tienene que ser contra los gastos de este periodo </t>
  </si>
  <si>
    <t>registrar el gasto</t>
  </si>
  <si>
    <t>ISR BENEFICIO</t>
  </si>
  <si>
    <t>AL 31 DICIEMBRE 2017.</t>
  </si>
  <si>
    <t>Fecha      : 09.01.2018</t>
  </si>
  <si>
    <t>Hora        : 16:28:06</t>
  </si>
  <si>
    <t>T. C. CTAS BALANCE     :      7.34477</t>
  </si>
  <si>
    <t>T. C. CTAS RESULTADO :    7.34045</t>
  </si>
  <si>
    <t>Texto p.posición balance/PyG</t>
  </si>
  <si>
    <t>TotPerInf</t>
  </si>
  <si>
    <t>TotPerComp</t>
  </si>
  <si>
    <t>Desv.abs.</t>
  </si>
  <si>
    <t/>
  </si>
  <si>
    <t>5730090 BANCO G&amp;T C/C QUETZALES</t>
  </si>
  <si>
    <t>5730990 BANCO G&amp;T C/C QUETZALES TRANSITORIA</t>
  </si>
  <si>
    <t>3100000 MATERIAS PRIMAS</t>
  </si>
  <si>
    <t>2170001 EQUIPOS INFORMATICOS</t>
  </si>
  <si>
    <t>2110001 CONSTRUCCIONES</t>
  </si>
  <si>
    <t>4100000 ACREEDORES NACIONALES</t>
  </si>
  <si>
    <t>Pérdidas y ganancias</t>
  </si>
  <si>
    <t>Soc.</t>
  </si>
  <si>
    <t>4770000 HAC.PUB.IVA REPERCUTIDO</t>
  </si>
  <si>
    <t>2130001 MAQUINARIA</t>
  </si>
  <si>
    <t>DAGT</t>
  </si>
  <si>
    <t>IMPUESTO DIFERIDO</t>
  </si>
  <si>
    <t>6299700 GASTOS INMOVILIZADOS EN CURSO</t>
  </si>
  <si>
    <t>PROVISION DE ACTIVOS PLANTA 2017</t>
  </si>
  <si>
    <t>PROVISION DE ACTIVOS ALPA Y ASGT2017</t>
  </si>
  <si>
    <t>PROVISION DE ACTIVOS 2017</t>
  </si>
  <si>
    <t>DIFERECIAS EN CAMBIO</t>
  </si>
  <si>
    <t>REGULARIZACION DIFERENCIA EN CAMBIO CUENTAS ENTRE CIAS.</t>
  </si>
  <si>
    <t>6050010 PROMOCION FARMACIAS</t>
  </si>
  <si>
    <t>6241901 MUESTRAS COMERCIALES</t>
  </si>
  <si>
    <t xml:space="preserve">ELIMINACION INTRAGROUP SERVICES  ENTRE ASGT Y ALPA </t>
  </si>
  <si>
    <t>Diferencial cambiario</t>
  </si>
  <si>
    <t>6410000 Gasto por indemnizaciones</t>
  </si>
  <si>
    <t>Impuesto s/la Renta x pagar   Diferido beneficio</t>
  </si>
  <si>
    <t>6299900 OTROS GASTOS DE ESTRUCTURA SALES FORCE</t>
  </si>
  <si>
    <t>6299900 OTROS GASTOS DE ESTRUCTURA MARKETING</t>
  </si>
  <si>
    <t>6299900 OTROS GASTOS DE ESTRUCTURA FINANZAS</t>
  </si>
  <si>
    <t>6299900 OTROS GASTOS DE ESTRUCTURA RH</t>
  </si>
  <si>
    <t>6299900 OTROS GASTOS DE ESTRUCTURA SERVICIOS GENERALES</t>
  </si>
  <si>
    <t>6299900 OTROS GASTOS DE ESTRUCTURA G&amp;A</t>
  </si>
  <si>
    <t>6299900 OTROS GASTOS DE ESTRUCTURA PROMOTION</t>
  </si>
  <si>
    <t>PROVISION DE GASTOS DICIEMBRE 2017</t>
  </si>
  <si>
    <t>Impuesto sobre la renta gasto</t>
  </si>
  <si>
    <t>4751007 ISR POR PAGAR DAGT</t>
  </si>
  <si>
    <t>4751007 ISR POR PAGAR ASGT</t>
  </si>
  <si>
    <t>4751007 ISR POR PAGAR ALGT</t>
  </si>
  <si>
    <t>4751007 ISR POR PAGAR ALPA</t>
  </si>
  <si>
    <t>ISR POR PAGAR AL 31 DE DICIEMBRE 2017</t>
  </si>
  <si>
    <t>6200100 DESARROLLOS EXTERNOS</t>
  </si>
  <si>
    <t>REGISTRO DE GASTOS DE INVESTIGACION Y DESARROLLO 2017</t>
  </si>
  <si>
    <t>UTILIDAD SEGÚN ESTADO DE RESULTADOS</t>
  </si>
  <si>
    <t>6299900 OTROS GASTOS DE ESTRUCTURA</t>
  </si>
  <si>
    <t xml:space="preserve">RECLASIFICACION GASTOS CONTRUCCIONES ALPA  </t>
  </si>
  <si>
    <t>6201698 PERDIDA PRODUCTO</t>
  </si>
  <si>
    <t>Superativ/perdidad acumulado</t>
  </si>
  <si>
    <t xml:space="preserve">Impuesto s/renta x Cobrar Diferido  </t>
  </si>
  <si>
    <t>Impuesto s/renta x  Diferido Beneficio</t>
  </si>
  <si>
    <t>MOVIMIENTO DE MERCADERIA VENCIDA 2017</t>
  </si>
  <si>
    <t>Impuesto sobre la renta por cobrar diferido</t>
  </si>
  <si>
    <t>Impuesto Diferido Beneficio</t>
  </si>
  <si>
    <t xml:space="preserve"> ------------------------------XX------------------------------------------</t>
  </si>
  <si>
    <t>6000100 COMPRAS MATERIA PRIMA</t>
  </si>
  <si>
    <t>WRITE OF PLANTA PRODUCCIÓN 2017</t>
  </si>
  <si>
    <t>WRITE OF (ACETAMINOFEN Y PREDNISOLONA)</t>
  </si>
  <si>
    <t>WRITE OF ACETAMINOFEN Y PREDNISOLONA PLANTA PRODUCCION</t>
  </si>
  <si>
    <t>OBSOLESENCIA</t>
  </si>
  <si>
    <t>ER#5</t>
  </si>
  <si>
    <t>ER#8</t>
  </si>
  <si>
    <t>ER#13</t>
  </si>
  <si>
    <t>ER#9</t>
  </si>
  <si>
    <t>PDA#21</t>
  </si>
  <si>
    <t>ER#11</t>
  </si>
  <si>
    <t>REVERSION PROVISION DE GASTOS CONVENCION 2016</t>
  </si>
  <si>
    <t>GASTOS PROVISIONADOS CONVENCION DE VENTAS</t>
  </si>
  <si>
    <t>ER#12</t>
  </si>
  <si>
    <t>PDA#22</t>
  </si>
  <si>
    <t>ER#14</t>
  </si>
  <si>
    <t>ER#15</t>
  </si>
  <si>
    <t>ER#16</t>
  </si>
  <si>
    <t>ER#20</t>
  </si>
  <si>
    <t>ER#22</t>
  </si>
  <si>
    <t>ER#7</t>
  </si>
  <si>
    <t>ER7</t>
  </si>
  <si>
    <t>ER9</t>
  </si>
  <si>
    <t>ER10</t>
  </si>
  <si>
    <t xml:space="preserve">2813001 Dep. Acda. Maquinaria         </t>
  </si>
  <si>
    <t>Impuesto s/la Renta DIFERIDO x Pagar</t>
  </si>
  <si>
    <t>Superavit/Pérdidas acumuladas</t>
  </si>
  <si>
    <t>Impuesto s/la Renta Diferido gasto</t>
  </si>
  <si>
    <t>ISR DIFERIDO MM DICIEMBRE 2016</t>
  </si>
  <si>
    <t>6241901MUESTRAS COMERCIALES</t>
  </si>
  <si>
    <t>PDA#23</t>
  </si>
  <si>
    <t>Debe</t>
  </si>
  <si>
    <t>Haber</t>
  </si>
  <si>
    <t>GASTOS INMOBILIZACIONES EN CURSO</t>
  </si>
  <si>
    <t>REGULARIZACION CUENTAS DE ORDEN</t>
  </si>
  <si>
    <t>PDA#24</t>
  </si>
  <si>
    <t>S930000</t>
  </si>
  <si>
    <t>14 ER14</t>
  </si>
  <si>
    <t>15-19</t>
  </si>
  <si>
    <t>16  ER11</t>
  </si>
  <si>
    <t>5 ER22</t>
  </si>
  <si>
    <t>13-15-20-ER10</t>
  </si>
  <si>
    <t xml:space="preserve"> 3-6</t>
  </si>
  <si>
    <t>8-21 ER13</t>
  </si>
  <si>
    <t xml:space="preserve"> 9-10</t>
  </si>
  <si>
    <t>20-14</t>
  </si>
  <si>
    <t xml:space="preserve">  13-14</t>
  </si>
  <si>
    <t>Año actual : 2018</t>
  </si>
  <si>
    <t>Mon.</t>
  </si>
  <si>
    <t>USD</t>
  </si>
  <si>
    <t>HAC. PUB. ACREEDOR IVA PROFESIONALES</t>
  </si>
  <si>
    <t xml:space="preserve">AMC Inversión en Altian Pharma    </t>
  </si>
  <si>
    <t xml:space="preserve">ALPA Inversión en Altian Pharma    </t>
  </si>
  <si>
    <t xml:space="preserve">ALGT Inversion en Dalt Pharma      </t>
  </si>
  <si>
    <t>ALPA Inversión en ASTA Medica Guat.</t>
  </si>
  <si>
    <t>PROVISION ISR POR PAGAR</t>
  </si>
  <si>
    <t>MOVIMIENTO DE IMDEMNIZACIONES 2018</t>
  </si>
  <si>
    <t>Provision por Responsabilidades</t>
  </si>
  <si>
    <t>RESERVA PARA OBSOLECIENCIA</t>
  </si>
  <si>
    <t>ENTRE COMPAÑIAS 2018</t>
  </si>
  <si>
    <t>ENTRE COMPAÑIAS 2017</t>
  </si>
  <si>
    <t>Diferencia en cambio</t>
  </si>
  <si>
    <t>RESULTADO</t>
  </si>
  <si>
    <t>INMOVILIZADOS EN CURSO MES FEBRERO 2018</t>
  </si>
  <si>
    <t>REGISTRO INMOVILIZADOS EN CURSO MES FEBRERO  2018</t>
  </si>
  <si>
    <t>REGSITRO AL GASTO SALDO MUESTRAS MEDICAS 2018</t>
  </si>
  <si>
    <t>T. C. CTAS BALANCE     :      7.39919</t>
  </si>
  <si>
    <t>T. C. CTAS RESULTADO :    7.39635</t>
  </si>
  <si>
    <t>Fecha      : 03.04.2018</t>
  </si>
  <si>
    <t>Hora        : 21:12:25</t>
  </si>
  <si>
    <t xml:space="preserve">Texto </t>
  </si>
  <si>
    <t>posición balance/PyG</t>
  </si>
  <si>
    <t>Texto p</t>
  </si>
  <si>
    <t>.posición balance/PyG</t>
  </si>
  <si>
    <t>DOT.PROVISION INSOLVENCIAS</t>
  </si>
  <si>
    <t>6241900 OTROS GASTOS DE EXTRUCTURA</t>
  </si>
  <si>
    <t>6684100 DIFERENCIAS EN CAMBIO NEGATIVA</t>
  </si>
  <si>
    <t>PROVISION GASTOS ENERO 2018</t>
  </si>
  <si>
    <t>Impuesto s/la Renta x pagar   Diferido Benficio</t>
  </si>
  <si>
    <t>REGULARIZACION CUENTA INCOBRABLE MARZO 2018</t>
  </si>
  <si>
    <t>ALGT - DEBE A ALPA</t>
  </si>
  <si>
    <t>DALT - DEBE A ASGT</t>
  </si>
  <si>
    <t>IMPUESTO DIFERIDO ACTIVO</t>
  </si>
  <si>
    <t>PDA#25</t>
  </si>
  <si>
    <t>7684000 DIFERENCIAL CAMBIARIO</t>
  </si>
  <si>
    <t>DIFERENCIAL CAMBIARIO</t>
  </si>
  <si>
    <t>NO APARECE</t>
  </si>
  <si>
    <t>RESultado</t>
  </si>
  <si>
    <t>resultado</t>
  </si>
  <si>
    <t>se rebajo dos veces el ajuste maquinaria de 2018 USD 10222.50</t>
  </si>
  <si>
    <t>VAR EXIST PRODUCTOS</t>
  </si>
  <si>
    <t>IMPUESTO SOBRE LA RENTA GASTO</t>
  </si>
  <si>
    <t>ISR Diferido Beneficio</t>
  </si>
  <si>
    <t>REGISTRO INMOVILIZADOS EN CURSO MES DICIEMBRE 2017</t>
  </si>
  <si>
    <t xml:space="preserve"> COMPRAS MATERIA PRIMA</t>
  </si>
  <si>
    <t>PERDIDA DE PRODUCTO</t>
  </si>
  <si>
    <t xml:space="preserve">REP Y MANT EDIFICIOS </t>
  </si>
  <si>
    <t xml:space="preserve">SERV. / HONORARIOS </t>
  </si>
  <si>
    <t xml:space="preserve">REMUNERACIONES VARIA </t>
  </si>
  <si>
    <t>MUESTRAS COMERCIALES</t>
  </si>
  <si>
    <t>OTROS GASTOS DE VENT</t>
  </si>
  <si>
    <t xml:space="preserve">MATERIALES PROMOCION </t>
  </si>
  <si>
    <t xml:space="preserve">CONVENCIONES Y CONFE </t>
  </si>
  <si>
    <t xml:space="preserve">COMPRAS SOFTWARE </t>
  </si>
  <si>
    <t xml:space="preserve">VIAJES </t>
  </si>
  <si>
    <t>Viáticos ND</t>
  </si>
  <si>
    <t xml:space="preserve">Viáticos ND </t>
  </si>
  <si>
    <t>OTROS GASTOS ESTRUCT</t>
  </si>
  <si>
    <t xml:space="preserve">OTROS GASTOS ESTRUCT </t>
  </si>
  <si>
    <t xml:space="preserve">SUELDOS Y SALARIOS </t>
  </si>
  <si>
    <t>INDEMNIZACIONES</t>
  </si>
  <si>
    <t>DIFERENCIAS CAMBIO N</t>
  </si>
  <si>
    <t>DOT.PROVISION INSOLV</t>
  </si>
  <si>
    <t>VENTAS EXTRANJERO</t>
  </si>
  <si>
    <t>VAR EXIST  PRODUCTOS</t>
  </si>
  <si>
    <t>INGRESOS SERV. DIVER</t>
  </si>
  <si>
    <t>DIFERENCIAS CAMBIO P</t>
  </si>
  <si>
    <t>GASTOS INMOVILIZACIONES EN CURSO</t>
  </si>
  <si>
    <t>OTROS GASTOS</t>
  </si>
  <si>
    <t xml:space="preserve">OTROS GASTOS </t>
  </si>
  <si>
    <t xml:space="preserve">OTROS SERVICIOS </t>
  </si>
  <si>
    <t>TRANSPORTES DE VENTAS</t>
  </si>
  <si>
    <t>OTROS GASTOS DE ESTRUCTURA</t>
  </si>
  <si>
    <t>Diferencias en cambio Positiva</t>
  </si>
  <si>
    <t>Diferencias en cambio Negativas</t>
  </si>
  <si>
    <t>DOT AMORT  MAQUINARIA</t>
  </si>
  <si>
    <t>VENTAS NACIONALES I/C</t>
  </si>
  <si>
    <t>PDA#26</t>
  </si>
  <si>
    <t xml:space="preserve"> 45K</t>
  </si>
  <si>
    <t>3500201001</t>
  </si>
  <si>
    <t>3500102001</t>
  </si>
  <si>
    <t>servicios generales</t>
  </si>
  <si>
    <t>3500104001</t>
  </si>
  <si>
    <t>gerencia general</t>
  </si>
  <si>
    <t>3700101010</t>
  </si>
  <si>
    <t>3700201002</t>
  </si>
  <si>
    <t>marketing</t>
  </si>
  <si>
    <t>3500201005</t>
  </si>
  <si>
    <t>promotion</t>
  </si>
  <si>
    <t>sales</t>
  </si>
  <si>
    <t>3700106001</t>
  </si>
  <si>
    <t>finance</t>
  </si>
  <si>
    <t>3700201004</t>
  </si>
  <si>
    <t>distribution</t>
  </si>
  <si>
    <t>3700201005</t>
  </si>
  <si>
    <t>3599999999</t>
  </si>
  <si>
    <t>3500201004</t>
  </si>
  <si>
    <t>3700102001</t>
  </si>
  <si>
    <t>3701601130</t>
  </si>
  <si>
    <t>3700104001</t>
  </si>
  <si>
    <t>3701601105</t>
  </si>
  <si>
    <t>3601601130</t>
  </si>
  <si>
    <t>3700108001</t>
  </si>
  <si>
    <t>hr</t>
  </si>
  <si>
    <t>CC</t>
  </si>
  <si>
    <t>no deja contabilizar manualmente</t>
  </si>
  <si>
    <t>PARTIDA 1</t>
  </si>
  <si>
    <t>Reversión provisión de Capex Planta 2017 por ingreso de compras en 2018</t>
  </si>
  <si>
    <t>Reversión de Inmobilizado 2018 P&amp;L</t>
  </si>
  <si>
    <t>Ajuste P&amp;L</t>
  </si>
  <si>
    <t>por la eliminacion de cartera</t>
  </si>
  <si>
    <t>esta diferencia resulta de la eliminacion de cuentas intercompany entre ALPA Y ASGT</t>
  </si>
  <si>
    <t>Diferencia en eliminacion de cartera por pagar</t>
  </si>
  <si>
    <t>y por cobrar</t>
  </si>
  <si>
    <t>PARTIDA 2</t>
  </si>
  <si>
    <t>PARTIDA 3</t>
  </si>
  <si>
    <t>PARTIDA 4</t>
  </si>
  <si>
    <t>AÑO 2018</t>
  </si>
  <si>
    <t>ya ingresado  el gasto (6299700 gasto de inmovilizaciones)según partida #2001729 de marzo 2018 (se utilizo la cuenta puente 1210000 RESULTADOS NEGATIVOS)</t>
  </si>
  <si>
    <t>ya ingresado  el gasto (6810201 DOT AMORT MAQUINARIA)según partida #2001729 de marzo 2018 (se utilizo la cuenta puente 1210000 RESULTADOS NEGATIVOS)</t>
  </si>
  <si>
    <t>CAJAS CHICAS</t>
  </si>
  <si>
    <t>CAJA USD DOLARES</t>
  </si>
  <si>
    <t>CUENTAS POR COBRAR (CLIENTES)</t>
  </si>
  <si>
    <t>CLIENTES NACIONALES</t>
  </si>
  <si>
    <t>CLIENTES NACIONALES (CIAS. GRUPO)</t>
  </si>
  <si>
    <t>CLIENTES EXTRANJEROS (CIAS. GRUPO)</t>
  </si>
  <si>
    <t>PROVISIONES INSOLVENCIAS</t>
  </si>
  <si>
    <t>OTRAS CUENTAS</t>
  </si>
  <si>
    <t>CREDITO FISCAL POR COBRAR</t>
  </si>
  <si>
    <t>ANTICIPOS P/ GASTOS A LIQUIDAR</t>
  </si>
  <si>
    <t>INVENTARIO</t>
  </si>
  <si>
    <t>INVENTARIO EN TRANSITO</t>
  </si>
  <si>
    <t>INVENTARIO MUESTRAS MEDICAS</t>
  </si>
  <si>
    <t>INVENTARIO PRODUCTOS VENCIDOS</t>
  </si>
  <si>
    <t>PROV.DEPRECIACION EXISTENCIAS</t>
  </si>
  <si>
    <t>Activo Fijo</t>
  </si>
  <si>
    <t>======</t>
  </si>
  <si>
    <t>MOBILIARIO Y EQUIPO</t>
  </si>
  <si>
    <t>VEHICULOS</t>
  </si>
  <si>
    <t>EQUIPO DE LABORATORIO</t>
  </si>
  <si>
    <t>INMUEBLES</t>
  </si>
  <si>
    <t>HERRAMIENTAS Y CRISTALERIA</t>
  </si>
  <si>
    <t>Mejoras Propiedades Arrendadas</t>
  </si>
  <si>
    <t>DEPRECIACIONES ACUMULADAS</t>
  </si>
  <si>
    <t>AMORT.ACUM.EQUIPOS DE LABORATORIO</t>
  </si>
  <si>
    <t>Total Activo Fijo</t>
  </si>
  <si>
    <t>==========</t>
  </si>
  <si>
    <t>OTROS ACTIVOS</t>
  </si>
  <si>
    <t>MPUESTO S/RENTA EN EXCESO</t>
  </si>
  <si>
    <t>PAGOS IMPUESTO DE SOLIDARIDAD</t>
  </si>
  <si>
    <t>PAGO ISR TRIMESTRALES</t>
  </si>
  <si>
    <t>OTROS PAGOS ANTICIPADOS</t>
  </si>
  <si>
    <t>DEPOSITOS DE ALQUILERES</t>
  </si>
  <si>
    <t>DESARROLLO DE PRODUCTOS</t>
  </si>
  <si>
    <t>DESARROLLO DE PRODUCTOS NUEVOS</t>
  </si>
  <si>
    <t>T O T A L   A C T I V O</t>
  </si>
  <si>
    <t>=======================</t>
  </si>
  <si>
    <t>Textos............................................</t>
  </si>
  <si>
    <t>.......absolutos</t>
  </si>
  <si>
    <t>..................................................</t>
  </si>
  <si>
    <t>.....Desviación</t>
  </si>
  <si>
    <t>=====</t>
  </si>
  <si>
    <t>Pasivo Circulante</t>
  </si>
  <si>
    <t>OTRAS CTAS X PAGAR DISTRIB.</t>
  </si>
  <si>
    <t>CUENTAS POR PAGAR EMPLEADOS</t>
  </si>
  <si>
    <t>IMPUESTOS POR PAGAR</t>
  </si>
  <si>
    <t>CUENTA CORRIENTE</t>
  </si>
  <si>
    <t>Total Pasivo Circulante</t>
  </si>
  <si>
    <t>==============</t>
  </si>
  <si>
    <t>PASIVO CONTINGENTE</t>
  </si>
  <si>
    <t>T O T A L   PASIVO</t>
  </si>
  <si>
    <t>============</t>
  </si>
  <si>
    <t>CAPITAL, RESERVAS Y SUPERAVIT</t>
  </si>
  <si>
    <t>CAPITAL</t>
  </si>
  <si>
    <t>CAPITAL AUTORIZADO</t>
  </si>
  <si>
    <t>RESERVAS</t>
  </si>
  <si>
    <t>SUPERAVIT/PERDIDAS ACUMULADAS</t>
  </si>
  <si>
    <t>RESULTADOS NEGATIVOS DE EJERCICIOS ANTE</t>
  </si>
  <si>
    <t>GANANCIA (PERDIDA) EJERCICIO</t>
  </si>
  <si>
    <t>REMANENTE</t>
  </si>
  <si>
    <t>VENTAS</t>
  </si>
  <si>
    <t>=========</t>
  </si>
  <si>
    <t>OTRAS VENTAS</t>
  </si>
  <si>
    <t>VENTAS SERVICIOS.DIV SERV.</t>
  </si>
  <si>
    <t>GASTOS VARIABLES</t>
  </si>
  <si>
    <t>GASTOS DE DISTRIBUCION</t>
  </si>
  <si>
    <t>GASTOS EMBALAJE</t>
  </si>
  <si>
    <t>OTROS GASTOS DE VENTA</t>
  </si>
  <si>
    <t>PRIMAS SEG. VIDA H,O,</t>
  </si>
  <si>
    <t>LOCOMOCION</t>
  </si>
  <si>
    <t>SUELDOS Y SALARIOS</t>
  </si>
  <si>
    <t>SUELDOS Y SALARIOS AGUINALDOS</t>
  </si>
  <si>
    <t>PAGAS EXTRAS</t>
  </si>
  <si>
    <t>VACACIONES</t>
  </si>
  <si>
    <t>SEGURIDAD SOCIAL CGO EMPRESA</t>
  </si>
  <si>
    <t>ALQUILERES Y GTOS.COMUNIDAD</t>
  </si>
  <si>
    <t>SEG.OFICINAS</t>
  </si>
  <si>
    <t>TELEFONO FIJO</t>
  </si>
  <si>
    <t>MATERIAL OFICINA</t>
  </si>
  <si>
    <t>OTROS GASTOS ESTRUCTURA</t>
  </si>
  <si>
    <t>COSTO DE VENTAS</t>
  </si>
  <si>
    <t>COMPRAS MATERIA PRIMA</t>
  </si>
  <si>
    <t>GASTOS ALMACENAJE</t>
  </si>
  <si>
    <t>DESPACHO DE ADUANAS</t>
  </si>
  <si>
    <t>FLETES COMPRAS</t>
  </si>
  <si>
    <t>OTROS GASTOS COMPRAS</t>
  </si>
  <si>
    <t>DIF. PREV. GTOS. COMPRAS</t>
  </si>
  <si>
    <t>MATERIAL DE ACONDICIONAMIENTO</t>
  </si>
  <si>
    <t>COMPRA MAT.AUX. / SERVICIOS</t>
  </si>
  <si>
    <t>DIF.PREV.GTOS.MAT.ACONDICIONAMIENTO</t>
  </si>
  <si>
    <t>MATERIAL DE SEGURIDAD</t>
  </si>
  <si>
    <t>MATERIAL DE LABORATORIO</t>
  </si>
  <si>
    <t>GASTOS DE PLANTA</t>
  </si>
  <si>
    <t>CALIBRACIONES</t>
  </si>
  <si>
    <t>MATERIALES PRODUCCION</t>
  </si>
  <si>
    <t>SEGURIDAD Y MEDIO AMBIENTE</t>
  </si>
  <si>
    <t>REPARACIONES Y MANTENIMIENTO PRODUCCION</t>
  </si>
  <si>
    <t>REPARACIONES Y MANTENIMIENTO DE UTILIDA</t>
  </si>
  <si>
    <t>ESTUDIOS Y PROYECTOS</t>
  </si>
  <si>
    <t>MANT.CONTRATADO EXTERNO</t>
  </si>
  <si>
    <t>MANO DE OBRA CONTRATADA</t>
  </si>
  <si>
    <t>ASESOR.TEC/SERV.EXT</t>
  </si>
  <si>
    <t>VIGILANCIA</t>
  </si>
  <si>
    <t>GASOLINAS Y LUBRICANTES</t>
  </si>
  <si>
    <t>AGUA</t>
  </si>
  <si>
    <t>GAS</t>
  </si>
  <si>
    <t>Materiales de empaque y almacenaje ND</t>
  </si>
  <si>
    <t>OTROS GASTOS DE COMEDOR</t>
  </si>
  <si>
    <t>DOT. AMORT. INSTALACIONES</t>
  </si>
  <si>
    <t>Variación de existencias de producto</t>
  </si>
  <si>
    <t>GASTOS FIJOS</t>
  </si>
  <si>
    <t>GASTOS DE PROMOCION</t>
  </si>
  <si>
    <t>GASTOS DE FORMACION</t>
  </si>
  <si>
    <t>GASTOS DE VENTA</t>
  </si>
  <si>
    <t>REMUNERACIONES VARIABLES / BONOS</t>
  </si>
  <si>
    <t>VIAJES</t>
  </si>
  <si>
    <t>SERVICIOS PROF. EXT. / HONORARIOS</t>
  </si>
  <si>
    <t>LIMPIEZA</t>
  </si>
  <si>
    <t>REGISTROS SANITARIOS</t>
  </si>
  <si>
    <t>REGISTROS</t>
  </si>
  <si>
    <t>GASTOS DE ADMINISTRACION</t>
  </si>
  <si>
    <t>MANTENIM HARDWARE</t>
  </si>
  <si>
    <t>REPARACIONES Y MANTENIMIENTO EDIFICIOS</t>
  </si>
  <si>
    <t>ELECTRICIDAD</t>
  </si>
  <si>
    <t>SERVICIOS INTERNET</t>
  </si>
  <si>
    <t>MENSAJERIA Y CORREOS</t>
  </si>
  <si>
    <t>DOT AMORT EDIFICIOS</t>
  </si>
  <si>
    <t>DOT AMORT  MOBILIARIO</t>
  </si>
  <si>
    <t>DOT. AMORT. EQUIPOS INFORMATIC</t>
  </si>
  <si>
    <t>IMPUESTO AL DEBITO Y CREDITO BANCARIO</t>
  </si>
  <si>
    <t>CUOTAS Y VARIOS</t>
  </si>
  <si>
    <t>INVESTIGACION Y DESARROLLO</t>
  </si>
  <si>
    <t>DESARROLLOS EXTERNOS</t>
  </si>
  <si>
    <t>OTROS INGRESOS Y GASTOS</t>
  </si>
  <si>
    <t>INGRESOS VARIOS</t>
  </si>
  <si>
    <t>INGRESOS NO AFECTOS</t>
  </si>
  <si>
    <t>INTERESES GANADOS (CREDITOS COMERCIALES</t>
  </si>
  <si>
    <t>GASTOS FINANCIEROS</t>
  </si>
  <si>
    <t>COMISIONES BANCARIAS.</t>
  </si>
  <si>
    <t>OTROS INGRESOS/EGRESOS</t>
  </si>
  <si>
    <t>INGRESOS SERV. DIVERSOS</t>
  </si>
  <si>
    <t>DIFERENCIAS CAMBIO POSITIVAS REALIZADAS</t>
  </si>
  <si>
    <t>PERDIDA DE PRODUCTO GP</t>
  </si>
  <si>
    <t>RESIDUOS</t>
  </si>
  <si>
    <t>OTROS GTOS NO DEDUCIBLES</t>
  </si>
  <si>
    <t>OTROS GASTOS ESTRUCTURA H.O.</t>
  </si>
  <si>
    <t>DIFERENCIAS CAMBIO NEGATIVAS REALIZADAS</t>
  </si>
  <si>
    <t>DIFERENCIAS CAMBIO NEGATIVAS NO REALIZ.</t>
  </si>
  <si>
    <t>RESULTADO DEL EJERCICIO</t>
  </si>
  <si>
    <t>CUENTAS NO ASIGNADAS</t>
  </si>
  <si>
    <t>====================</t>
  </si>
  <si>
    <t>ANALISIS</t>
  </si>
  <si>
    <t>S912000</t>
  </si>
  <si>
    <t>REMANENTE CUENTAS 9</t>
  </si>
  <si>
    <t>PRINCIPIO ACTIVO</t>
  </si>
  <si>
    <t>S930001</t>
  </si>
  <si>
    <t>EXCIPIENTES</t>
  </si>
  <si>
    <t>S930002</t>
  </si>
  <si>
    <t>MAT.ACONDICIONAMIEN</t>
  </si>
  <si>
    <t>S934000</t>
  </si>
  <si>
    <t>SEMITERMINADO</t>
  </si>
  <si>
    <t>S935000</t>
  </si>
  <si>
    <t>TERMINADO</t>
  </si>
  <si>
    <t>S936000</t>
  </si>
  <si>
    <t>MUESTRAS MEDICAS</t>
  </si>
  <si>
    <t>S938000</t>
  </si>
  <si>
    <t>DESVIACION PRODUCCION</t>
  </si>
  <si>
    <t>S938001</t>
  </si>
  <si>
    <t>DIF VALOR. CAMBIO PRECIO</t>
  </si>
  <si>
    <t>S950000</t>
  </si>
  <si>
    <t>CTE.VENTA</t>
  </si>
  <si>
    <t>S970000</t>
  </si>
  <si>
    <t>V.EXIST.PRINCIPIO ACTIVO</t>
  </si>
  <si>
    <t>S970001</t>
  </si>
  <si>
    <t>V.EXIST.EXCIPIENTES</t>
  </si>
  <si>
    <t>S970002</t>
  </si>
  <si>
    <t>V.EXIST.MAT.ACONDICIONAMIEN</t>
  </si>
  <si>
    <t>S974000</t>
  </si>
  <si>
    <t>V.EXIST.SEMITERMINADO</t>
  </si>
  <si>
    <t>S975000</t>
  </si>
  <si>
    <t>V.EXIST.TERMINADO</t>
  </si>
  <si>
    <t>S976000</t>
  </si>
  <si>
    <t>V.EXIST.MUESTRAS MEDICAS</t>
  </si>
  <si>
    <t>BANCOS LOCALES</t>
  </si>
  <si>
    <t>BANCOS DEL EXTERIOR</t>
  </si>
  <si>
    <t>CLIENTES EXTRANJEROS DIF.CB</t>
  </si>
  <si>
    <t>PRESTAMOS</t>
  </si>
  <si>
    <t>CUENTAS POR COBRAR OTRAS CIAS.</t>
  </si>
  <si>
    <t>CREDITOS A C/P</t>
  </si>
  <si>
    <t>DEUDORES VARIOS</t>
  </si>
  <si>
    <t>ANTICIPOS PERMANENTES</t>
  </si>
  <si>
    <t>ANTICIPOS SOBRE SUELDOS</t>
  </si>
  <si>
    <t>TERRENOS</t>
  </si>
  <si>
    <t>CONCESION ADMINST. / DERECHO DE USO</t>
  </si>
  <si>
    <t>Impuestos a Cuenta</t>
  </si>
  <si>
    <t>IMPUESTOS SOBRE BENEF.DIFERIDO</t>
  </si>
  <si>
    <t>OTRAS CTAS. x PAGAR ENTRE CIAS</t>
  </si>
  <si>
    <t>COMISIONES X PAGAR</t>
  </si>
  <si>
    <t>PROVEEDORES EXTRANJEROS. DIF.CB</t>
  </si>
  <si>
    <t>OTROS PASIVOS</t>
  </si>
  <si>
    <t>INGRESOS POR APLICAR</t>
  </si>
  <si>
    <t>VENTAS BRUTAS</t>
  </si>
  <si>
    <t>VENTAS NACIONALES</t>
  </si>
  <si>
    <t>DEV. Y REBAJAS S/VENTAS</t>
  </si>
  <si>
    <t>DEVOLUCIONES EN VENTAS</t>
  </si>
  <si>
    <t>DESCUENTOS COMERCIALES EN VENTAS POR VO</t>
  </si>
  <si>
    <t>GASTOS VENTAS INSTITUCIONALES</t>
  </si>
  <si>
    <t>BONIFICACIONES EN VENTAS</t>
  </si>
  <si>
    <t>DESCUENTOS SOBRE VENTRAS POR PRONTO PAG</t>
  </si>
  <si>
    <t>COMISIONES</t>
  </si>
  <si>
    <t>VALES DE REGALOS</t>
  </si>
  <si>
    <t>DEPRECIACIÓN DE EQUIPO DE TRANSPORTE AR</t>
  </si>
  <si>
    <t>SERVICIO AGUA POTABLE</t>
  </si>
  <si>
    <t>COMPRAS MUESTRAS MEDICAS</t>
  </si>
  <si>
    <t>DIF. PREV. GTOS. PRODUCTO SEMIELABORADO</t>
  </si>
  <si>
    <t>SEGURIDAD Y VIGILANCIA</t>
  </si>
  <si>
    <t>LITERATURAS</t>
  </si>
  <si>
    <t>PATROCINIOS MEDICOS</t>
  </si>
  <si>
    <t>CONFERENCIAS</t>
  </si>
  <si>
    <t>CONVENCIONES Y CONFERENCIAS</t>
  </si>
  <si>
    <t>PROMOCION FARMACIAS</t>
  </si>
  <si>
    <t>MATERIAL PROMOCIONAL</t>
  </si>
  <si>
    <t>PROGRAMAS DE FIDELIDAD</t>
  </si>
  <si>
    <t>SIMPOSIUM</t>
  </si>
  <si>
    <t>Platicas y Eventos ND</t>
  </si>
  <si>
    <t>IMAGEN Y PUBLICIDAD</t>
  </si>
  <si>
    <t>PRIMAS SEG. AUTOMOVILES</t>
  </si>
  <si>
    <t>GASTOS DE VIAJE - HOTELES Y MANUTENCION</t>
  </si>
  <si>
    <t>ATENCIONES</t>
  </si>
  <si>
    <t>OTROS GASTOS DE MARKETING</t>
  </si>
  <si>
    <t>ESTUDIOS DE MERCADO</t>
  </si>
  <si>
    <t>AUDITORIA</t>
  </si>
  <si>
    <t>RENTING VEHICULOS</t>
  </si>
  <si>
    <t>TELEFONO MOVIL</t>
  </si>
  <si>
    <t>COMPRAS SOFTWARE</t>
  </si>
  <si>
    <t>DOT AMORT  TRANSPORTES</t>
  </si>
  <si>
    <t>IMPUESTO SOBRE BIENES MUEBLES</t>
  </si>
  <si>
    <t>I.S.R. de las Sociedades</t>
  </si>
  <si>
    <t>ACTIVOS P.DIFERENCIAS TEMPO</t>
  </si>
  <si>
    <t>PARTIDAS PENDIENTES APLICACION</t>
  </si>
  <si>
    <t>IMPUESTO DIFERIDO ISR</t>
  </si>
  <si>
    <t>HªP DEUD. CREDITO IVA x COBRAR NACIONAL</t>
  </si>
  <si>
    <t>INVENTARIO EN PROCESO</t>
  </si>
  <si>
    <t>TRABAJO EN CURSO  TERMINADO</t>
  </si>
  <si>
    <t>HAC.PUB.ACREEDOR IVA PROFESIONALES</t>
  </si>
  <si>
    <t>GASTOS/SERVICIO COMEDOR</t>
  </si>
  <si>
    <t>TAXIS (LOCOMOCION ALC.)</t>
  </si>
  <si>
    <t>Fichero Médico</t>
  </si>
  <si>
    <t>MANTENIM SOFTWARE</t>
  </si>
  <si>
    <t>COMPRAS HARDWARE</t>
  </si>
  <si>
    <t>Despensa y articulos de limpieza ND</t>
  </si>
  <si>
    <t>AL 30  ABRIL 2018.</t>
  </si>
  <si>
    <t>Mes actual : 03 -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</si>
</sst>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3" formatCode="_(* #,##0.00_);_(* \(#,##0.00\);_(* &quot;-&quot;??_);_(@_)"/>
    <numFmt numFmtId="164" formatCode="_-* #,##0.00_-;\-* #,##0.00_-;_-* &quot;-&quot;??_-;_-@_-"/>
    <numFmt numFmtId="165" formatCode="#,##0.00000_);[Red]\(#,##0.00000\)"/>
    <numFmt numFmtId="166" formatCode="#,##0.00_ ;[Red]\-#,##0.00\ "/>
    <numFmt numFmtId="167" formatCode="#,##0.0000000000_ ;\-#,##0.0000000000\ "/>
    <numFmt numFmtId="168" formatCode="#,##0.00000000000000_ ;\-#,##0.00000000000000\ "/>
    <numFmt numFmtId="169" formatCode="#,##0.00_ ;\-#,##0.00\ "/>
    <numFmt numFmtId="170" formatCode="#,##0.0_ ;\-#,##0.0\ "/>
    <numFmt numFmtId="171" formatCode="_(* #,##0_);_(* \(#,##0\);_(* &quot;-&quot;??_);_(@_)"/>
    <numFmt numFmtId="172" formatCode="#,##0_ ;[Red]\-#,##0\ "/>
    <numFmt numFmtId="173" formatCode="_-* #,##0.00\ [$€]_-;\-* #,##0.00\ [$€]_-;_-* &quot;-&quot;??\ [$€]_-;_-@_-"/>
    <numFmt numFmtId="174" formatCode="#,##0.0000000000_ ;[Red]\-#,##0.0000000000\ "/>
    <numFmt numFmtId="175" formatCode="#,##0.00000_ ;\-#,##0.00000\ "/>
    <numFmt numFmtId="176" formatCode="_-* #,##0\ _€_-;\-* #,##0\ _€_-;_-* &quot;-&quot;??\ _€_-;_-@_-"/>
    <numFmt numFmtId="177" formatCode="#,##0.00000000000_ ;\-#,##0.00000000000\ "/>
    <numFmt numFmtId="178" formatCode="_-* #,##0_-;\-* #,##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u/>
      <sz val="8"/>
      <name val="Arial"/>
      <family val="2"/>
    </font>
    <font>
      <sz val="7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9"/>
      <color rgb="FFFF0000"/>
      <name val="Wingdings 2"/>
      <family val="1"/>
      <charset val="2"/>
    </font>
    <font>
      <sz val="10"/>
      <color theme="0"/>
      <name val="Arial"/>
      <family val="2"/>
    </font>
    <font>
      <sz val="10"/>
      <name val="Courier"/>
      <family val="3"/>
    </font>
    <font>
      <sz val="10"/>
      <name val="Calibri"/>
      <family val="2"/>
      <scheme val="minor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FF0000"/>
      <name val="Wingdings 2"/>
      <family val="1"/>
      <charset val="2"/>
    </font>
    <font>
      <sz val="11"/>
      <name val="Calibri"/>
      <family val="2"/>
      <scheme val="minor"/>
    </font>
    <font>
      <b/>
      <sz val="9"/>
      <name val="Arial"/>
      <family val="2"/>
    </font>
    <font>
      <sz val="8"/>
      <color theme="1"/>
      <name val="Arial"/>
      <family val="2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10"/>
      <color rgb="FF000000"/>
      <name val="Times New Roman"/>
      <family val="1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3" fontId="27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81">
    <xf numFmtId="0" fontId="0" fillId="0" borderId="0" xfId="0"/>
    <xf numFmtId="0" fontId="16" fillId="0" borderId="0" xfId="0" applyFont="1"/>
    <xf numFmtId="0" fontId="16" fillId="33" borderId="0" xfId="0" applyFont="1" applyFill="1" applyAlignment="1">
      <alignment horizontal="left"/>
    </xf>
    <xf numFmtId="0" fontId="16" fillId="33" borderId="0" xfId="0" applyFont="1" applyFill="1"/>
    <xf numFmtId="0" fontId="16" fillId="33" borderId="10" xfId="0" applyFont="1" applyFill="1" applyBorder="1" applyAlignment="1">
      <alignment horizontal="left"/>
    </xf>
    <xf numFmtId="0" fontId="16" fillId="33" borderId="10" xfId="0" applyFont="1" applyFill="1" applyBorder="1"/>
    <xf numFmtId="0" fontId="16" fillId="33" borderId="11" xfId="0" applyFont="1" applyFill="1" applyBorder="1"/>
    <xf numFmtId="0" fontId="16" fillId="33" borderId="12" xfId="0" applyFont="1" applyFill="1" applyBorder="1" applyAlignment="1">
      <alignment horizontal="left"/>
    </xf>
    <xf numFmtId="0" fontId="16" fillId="33" borderId="12" xfId="0" applyFont="1" applyFill="1" applyBorder="1"/>
    <xf numFmtId="40" fontId="16" fillId="33" borderId="10" xfId="0" applyNumberFormat="1" applyFont="1" applyFill="1" applyBorder="1"/>
    <xf numFmtId="40" fontId="0" fillId="0" borderId="0" xfId="0" applyNumberFormat="1"/>
    <xf numFmtId="40" fontId="16" fillId="33" borderId="11" xfId="0" applyNumberFormat="1" applyFont="1" applyFill="1" applyBorder="1"/>
    <xf numFmtId="40" fontId="16" fillId="33" borderId="0" xfId="0" applyNumberFormat="1" applyFont="1" applyFill="1"/>
    <xf numFmtId="40" fontId="16" fillId="33" borderId="12" xfId="0" applyNumberFormat="1" applyFont="1" applyFill="1" applyBorder="1"/>
    <xf numFmtId="0" fontId="16" fillId="0" borderId="0" xfId="0" applyFont="1" applyAlignment="1">
      <alignment horizontal="center"/>
    </xf>
    <xf numFmtId="40" fontId="0" fillId="0" borderId="0" xfId="0" applyNumberFormat="1" applyFill="1"/>
    <xf numFmtId="0" fontId="16" fillId="33" borderId="0" xfId="0" applyFont="1" applyFill="1" applyBorder="1" applyAlignment="1">
      <alignment horizontal="left"/>
    </xf>
    <xf numFmtId="165" fontId="0" fillId="0" borderId="0" xfId="0" applyNumberFormat="1"/>
    <xf numFmtId="0" fontId="16" fillId="33" borderId="0" xfId="0" applyFont="1" applyFill="1" applyBorder="1"/>
    <xf numFmtId="40" fontId="16" fillId="0" borderId="0" xfId="0" applyNumberFormat="1" applyFont="1" applyFill="1" applyBorder="1"/>
    <xf numFmtId="166" fontId="0" fillId="0" borderId="0" xfId="0" applyNumberFormat="1"/>
    <xf numFmtId="0" fontId="0" fillId="34" borderId="0" xfId="0" applyFill="1"/>
    <xf numFmtId="0" fontId="0" fillId="0" borderId="0" xfId="0" applyFill="1"/>
    <xf numFmtId="0" fontId="18" fillId="0" borderId="10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/>
    </xf>
    <xf numFmtId="39" fontId="19" fillId="0" borderId="0" xfId="0" applyNumberFormat="1" applyFont="1" applyFill="1"/>
    <xf numFmtId="39" fontId="19" fillId="0" borderId="12" xfId="0" applyNumberFormat="1" applyFont="1" applyFill="1" applyBorder="1"/>
    <xf numFmtId="0" fontId="19" fillId="0" borderId="0" xfId="0" applyFont="1" applyFill="1"/>
    <xf numFmtId="0" fontId="18" fillId="0" borderId="0" xfId="0" applyFont="1" applyFill="1"/>
    <xf numFmtId="0" fontId="21" fillId="0" borderId="0" xfId="0" applyFont="1" applyFill="1"/>
    <xf numFmtId="0" fontId="22" fillId="0" borderId="0" xfId="0" applyFont="1" applyFill="1"/>
    <xf numFmtId="0" fontId="0" fillId="0" borderId="12" xfId="0" applyBorder="1"/>
    <xf numFmtId="0" fontId="19" fillId="0" borderId="12" xfId="0" applyFont="1" applyFill="1" applyBorder="1"/>
    <xf numFmtId="39" fontId="19" fillId="0" borderId="0" xfId="0" applyNumberFormat="1" applyFont="1" applyFill="1" applyBorder="1"/>
    <xf numFmtId="167" fontId="0" fillId="0" borderId="0" xfId="0" applyNumberFormat="1"/>
    <xf numFmtId="168" fontId="0" fillId="0" borderId="0" xfId="0" applyNumberFormat="1"/>
    <xf numFmtId="0" fontId="0" fillId="0" borderId="0" xfId="0" applyBorder="1"/>
    <xf numFmtId="170" fontId="0" fillId="0" borderId="0" xfId="0" applyNumberFormat="1"/>
    <xf numFmtId="0" fontId="23" fillId="0" borderId="0" xfId="42"/>
    <xf numFmtId="0" fontId="19" fillId="0" borderId="0" xfId="42" applyFont="1"/>
    <xf numFmtId="0" fontId="19" fillId="0" borderId="0" xfId="42" applyFont="1" applyFill="1"/>
    <xf numFmtId="0" fontId="23" fillId="0" borderId="0" xfId="42" applyFill="1"/>
    <xf numFmtId="0" fontId="21" fillId="0" borderId="0" xfId="42" applyFont="1"/>
    <xf numFmtId="0" fontId="22" fillId="0" borderId="0" xfId="42" applyFont="1" applyFill="1"/>
    <xf numFmtId="0" fontId="18" fillId="0" borderId="10" xfId="42" applyFont="1" applyFill="1" applyBorder="1" applyAlignment="1">
      <alignment horizontal="center" vertical="center"/>
    </xf>
    <xf numFmtId="0" fontId="24" fillId="0" borderId="0" xfId="42" applyFont="1"/>
    <xf numFmtId="4" fontId="19" fillId="0" borderId="0" xfId="42" applyNumberFormat="1" applyFont="1"/>
    <xf numFmtId="39" fontId="19" fillId="0" borderId="0" xfId="42" applyNumberFormat="1" applyFont="1"/>
    <xf numFmtId="39" fontId="19" fillId="0" borderId="0" xfId="42" applyNumberFormat="1" applyFont="1" applyFill="1"/>
    <xf numFmtId="4" fontId="18" fillId="0" borderId="0" xfId="42" applyNumberFormat="1" applyFont="1"/>
    <xf numFmtId="39" fontId="19" fillId="0" borderId="0" xfId="42" applyNumberFormat="1" applyFont="1" applyFill="1" applyBorder="1"/>
    <xf numFmtId="0" fontId="19" fillId="0" borderId="0" xfId="42" applyFont="1" applyAlignment="1">
      <alignment horizontal="left"/>
    </xf>
    <xf numFmtId="3" fontId="18" fillId="0" borderId="0" xfId="42" applyNumberFormat="1" applyFont="1" applyFill="1" applyAlignment="1">
      <alignment horizontal="center"/>
    </xf>
    <xf numFmtId="171" fontId="25" fillId="0" borderId="0" xfId="43" applyNumberFormat="1" applyFont="1" applyFill="1" applyAlignment="1">
      <alignment horizontal="center"/>
    </xf>
    <xf numFmtId="4" fontId="19" fillId="0" borderId="0" xfId="42" applyNumberFormat="1" applyFont="1" applyFill="1" applyBorder="1"/>
    <xf numFmtId="0" fontId="19" fillId="0" borderId="0" xfId="42" applyFont="1" applyBorder="1"/>
    <xf numFmtId="4" fontId="19" fillId="0" borderId="0" xfId="42" applyNumberFormat="1" applyFont="1" applyFill="1"/>
    <xf numFmtId="39" fontId="18" fillId="0" borderId="0" xfId="42" applyNumberFormat="1" applyFont="1"/>
    <xf numFmtId="3" fontId="18" fillId="0" borderId="11" xfId="42" applyNumberFormat="1" applyFont="1" applyFill="1" applyBorder="1" applyAlignment="1">
      <alignment horizontal="center"/>
    </xf>
    <xf numFmtId="39" fontId="18" fillId="0" borderId="11" xfId="42" applyNumberFormat="1" applyFont="1" applyFill="1" applyBorder="1"/>
    <xf numFmtId="4" fontId="18" fillId="0" borderId="11" xfId="42" applyNumberFormat="1" applyFont="1" applyFill="1" applyBorder="1"/>
    <xf numFmtId="4" fontId="19" fillId="0" borderId="0" xfId="42" applyNumberFormat="1" applyFont="1" applyBorder="1"/>
    <xf numFmtId="3" fontId="18" fillId="0" borderId="0" xfId="42" applyNumberFormat="1" applyFont="1" applyFill="1" applyBorder="1" applyAlignment="1">
      <alignment horizontal="center"/>
    </xf>
    <xf numFmtId="0" fontId="19" fillId="0" borderId="0" xfId="42" applyFont="1" applyAlignment="1"/>
    <xf numFmtId="4" fontId="19" fillId="0" borderId="11" xfId="42" applyNumberFormat="1" applyFont="1" applyFill="1" applyBorder="1"/>
    <xf numFmtId="0" fontId="19" fillId="0" borderId="0" xfId="42" applyFont="1" applyFill="1" applyAlignment="1"/>
    <xf numFmtId="0" fontId="18" fillId="0" borderId="13" xfId="0" applyFont="1" applyFill="1" applyBorder="1" applyAlignment="1">
      <alignment horizontal="center" vertical="center"/>
    </xf>
    <xf numFmtId="49" fontId="0" fillId="0" borderId="0" xfId="0" applyNumberFormat="1" applyFill="1"/>
    <xf numFmtId="0" fontId="18" fillId="0" borderId="0" xfId="42" applyFont="1"/>
    <xf numFmtId="0" fontId="0" fillId="0" borderId="0" xfId="0" applyFill="1" applyBorder="1"/>
    <xf numFmtId="39" fontId="0" fillId="0" borderId="0" xfId="0" applyNumberFormat="1" applyFill="1"/>
    <xf numFmtId="166" fontId="0" fillId="0" borderId="0" xfId="0" applyNumberFormat="1" applyFill="1"/>
    <xf numFmtId="0" fontId="19" fillId="0" borderId="0" xfId="42" applyFont="1" applyFill="1" applyBorder="1"/>
    <xf numFmtId="0" fontId="23" fillId="0" borderId="0" xfId="42" applyFill="1" applyBorder="1"/>
    <xf numFmtId="0" fontId="18" fillId="0" borderId="0" xfId="42" applyFont="1" applyFill="1" applyBorder="1" applyAlignment="1">
      <alignment horizontal="center"/>
    </xf>
    <xf numFmtId="0" fontId="19" fillId="0" borderId="0" xfId="42" applyFont="1" applyFill="1" applyBorder="1" applyAlignment="1">
      <alignment horizontal="left"/>
    </xf>
    <xf numFmtId="171" fontId="25" fillId="0" borderId="0" xfId="43" applyNumberFormat="1" applyFont="1" applyFill="1" applyBorder="1" applyAlignment="1">
      <alignment horizontal="center"/>
    </xf>
    <xf numFmtId="0" fontId="18" fillId="0" borderId="0" xfId="42" applyFont="1" applyFill="1" applyBorder="1" applyAlignment="1">
      <alignment horizontal="left"/>
    </xf>
    <xf numFmtId="39" fontId="18" fillId="0" borderId="0" xfId="42" applyNumberFormat="1" applyFont="1" applyFill="1" applyBorder="1"/>
    <xf numFmtId="4" fontId="18" fillId="0" borderId="0" xfId="42" applyNumberFormat="1" applyFont="1" applyFill="1" applyBorder="1"/>
    <xf numFmtId="167" fontId="19" fillId="0" borderId="0" xfId="42" applyNumberFormat="1" applyFont="1" applyFill="1" applyBorder="1"/>
    <xf numFmtId="4" fontId="18" fillId="0" borderId="13" xfId="42" applyNumberFormat="1" applyFont="1" applyFill="1" applyBorder="1"/>
    <xf numFmtId="0" fontId="18" fillId="0" borderId="0" xfId="42" applyFont="1" applyBorder="1"/>
    <xf numFmtId="0" fontId="19" fillId="0" borderId="0" xfId="42" applyFont="1" applyFill="1" applyBorder="1" applyAlignment="1"/>
    <xf numFmtId="0" fontId="26" fillId="0" borderId="0" xfId="42" applyFont="1" applyFill="1" applyBorder="1"/>
    <xf numFmtId="0" fontId="26" fillId="0" borderId="0" xfId="42" applyFont="1"/>
    <xf numFmtId="172" fontId="19" fillId="0" borderId="0" xfId="0" applyNumberFormat="1" applyFont="1" applyFill="1"/>
    <xf numFmtId="172" fontId="0" fillId="0" borderId="0" xfId="0" applyNumberFormat="1"/>
    <xf numFmtId="172" fontId="18" fillId="0" borderId="10" xfId="0" applyNumberFormat="1" applyFont="1" applyFill="1" applyBorder="1" applyAlignment="1">
      <alignment horizontal="center" vertical="center"/>
    </xf>
    <xf numFmtId="172" fontId="16" fillId="33" borderId="10" xfId="0" applyNumberFormat="1" applyFont="1" applyFill="1" applyBorder="1"/>
    <xf numFmtId="172" fontId="19" fillId="0" borderId="0" xfId="0" applyNumberFormat="1" applyFont="1" applyFill="1" applyBorder="1"/>
    <xf numFmtId="172" fontId="19" fillId="0" borderId="12" xfId="0" applyNumberFormat="1" applyFont="1" applyFill="1" applyBorder="1"/>
    <xf numFmtId="172" fontId="0" fillId="0" borderId="0" xfId="0" applyNumberFormat="1" applyFill="1"/>
    <xf numFmtId="172" fontId="16" fillId="33" borderId="11" xfId="0" applyNumberFormat="1" applyFont="1" applyFill="1" applyBorder="1"/>
    <xf numFmtId="172" fontId="0" fillId="0" borderId="0" xfId="0" applyNumberFormat="1" applyFill="1" applyBorder="1"/>
    <xf numFmtId="172" fontId="16" fillId="33" borderId="12" xfId="0" applyNumberFormat="1" applyFont="1" applyFill="1" applyBorder="1"/>
    <xf numFmtId="172" fontId="16" fillId="0" borderId="0" xfId="0" applyNumberFormat="1" applyFont="1" applyAlignment="1">
      <alignment horizontal="center"/>
    </xf>
    <xf numFmtId="172" fontId="16" fillId="0" borderId="0" xfId="0" applyNumberFormat="1" applyFont="1" applyFill="1" applyBorder="1"/>
    <xf numFmtId="172" fontId="16" fillId="33" borderId="0" xfId="0" applyNumberFormat="1" applyFont="1" applyFill="1" applyBorder="1"/>
    <xf numFmtId="172" fontId="0" fillId="0" borderId="0" xfId="0" applyNumberFormat="1" applyBorder="1"/>
    <xf numFmtId="0" fontId="23" fillId="0" borderId="0" xfId="42" applyFont="1" applyFill="1"/>
    <xf numFmtId="0" fontId="19" fillId="0" borderId="11" xfId="42" applyFont="1" applyBorder="1"/>
    <xf numFmtId="39" fontId="19" fillId="0" borderId="11" xfId="42" applyNumberFormat="1" applyFont="1" applyFill="1" applyBorder="1"/>
    <xf numFmtId="0" fontId="19" fillId="0" borderId="11" xfId="42" applyFont="1" applyFill="1" applyBorder="1"/>
    <xf numFmtId="0" fontId="0" fillId="0" borderId="0" xfId="0" applyFill="1" applyBorder="1" applyAlignment="1">
      <alignment horizontal="center"/>
    </xf>
    <xf numFmtId="40" fontId="0" fillId="0" borderId="0" xfId="0" applyNumberFormat="1" applyFill="1" applyBorder="1"/>
    <xf numFmtId="170" fontId="0" fillId="0" borderId="0" xfId="0" applyNumberFormat="1" applyFill="1" applyBorder="1"/>
    <xf numFmtId="0" fontId="18" fillId="0" borderId="0" xfId="0" applyFont="1" applyFill="1" applyBorder="1"/>
    <xf numFmtId="169" fontId="0" fillId="0" borderId="0" xfId="0" applyNumberFormat="1" applyFill="1" applyBorder="1"/>
    <xf numFmtId="39" fontId="0" fillId="0" borderId="0" xfId="0" applyNumberFormat="1" applyFill="1" applyBorder="1"/>
    <xf numFmtId="169" fontId="23" fillId="0" borderId="0" xfId="42" applyNumberFormat="1" applyFill="1" applyBorder="1"/>
    <xf numFmtId="0" fontId="18" fillId="0" borderId="13" xfId="0" applyFont="1" applyFill="1" applyBorder="1" applyAlignment="1">
      <alignment horizontal="center" vertical="center"/>
    </xf>
    <xf numFmtId="0" fontId="18" fillId="0" borderId="13" xfId="42" applyFont="1" applyBorder="1" applyAlignment="1">
      <alignment horizontal="center" vertical="center"/>
    </xf>
    <xf numFmtId="0" fontId="18" fillId="0" borderId="10" xfId="42" applyFont="1" applyBorder="1" applyAlignment="1">
      <alignment horizontal="center" vertical="center"/>
    </xf>
    <xf numFmtId="0" fontId="18" fillId="0" borderId="0" xfId="42" applyFont="1" applyAlignment="1">
      <alignment horizontal="left"/>
    </xf>
    <xf numFmtId="0" fontId="19" fillId="34" borderId="0" xfId="42" applyFont="1" applyFill="1"/>
    <xf numFmtId="3" fontId="18" fillId="34" borderId="0" xfId="42" applyNumberFormat="1" applyFont="1" applyFill="1" applyBorder="1" applyAlignment="1">
      <alignment horizontal="center"/>
    </xf>
    <xf numFmtId="39" fontId="19" fillId="34" borderId="0" xfId="42" applyNumberFormat="1" applyFont="1" applyFill="1"/>
    <xf numFmtId="4" fontId="19" fillId="34" borderId="0" xfId="42" applyNumberFormat="1" applyFont="1" applyFill="1"/>
    <xf numFmtId="3" fontId="18" fillId="34" borderId="0" xfId="42" applyNumberFormat="1" applyFont="1" applyFill="1" applyAlignment="1">
      <alignment horizontal="center"/>
    </xf>
    <xf numFmtId="4" fontId="19" fillId="34" borderId="0" xfId="42" applyNumberFormat="1" applyFont="1" applyFill="1" applyBorder="1"/>
    <xf numFmtId="39" fontId="19" fillId="34" borderId="0" xfId="42" applyNumberFormat="1" applyFont="1" applyFill="1" applyBorder="1"/>
    <xf numFmtId="171" fontId="25" fillId="34" borderId="0" xfId="43" applyNumberFormat="1" applyFont="1" applyFill="1" applyAlignment="1">
      <alignment horizontal="center"/>
    </xf>
    <xf numFmtId="0" fontId="18" fillId="34" borderId="0" xfId="42" applyFont="1" applyFill="1" applyAlignment="1">
      <alignment horizontal="left"/>
    </xf>
    <xf numFmtId="3" fontId="18" fillId="34" borderId="11" xfId="42" applyNumberFormat="1" applyFont="1" applyFill="1" applyBorder="1" applyAlignment="1">
      <alignment horizontal="center"/>
    </xf>
    <xf numFmtId="39" fontId="18" fillId="34" borderId="11" xfId="42" applyNumberFormat="1" applyFont="1" applyFill="1" applyBorder="1"/>
    <xf numFmtId="4" fontId="18" fillId="34" borderId="11" xfId="42" applyNumberFormat="1" applyFont="1" applyFill="1" applyBorder="1"/>
    <xf numFmtId="0" fontId="21" fillId="0" borderId="0" xfId="42" applyFont="1" applyFill="1"/>
    <xf numFmtId="0" fontId="18" fillId="0" borderId="13" xfId="42" applyFont="1" applyFill="1" applyBorder="1" applyAlignment="1">
      <alignment horizontal="center" vertical="center"/>
    </xf>
    <xf numFmtId="0" fontId="24" fillId="0" borderId="0" xfId="42" applyFont="1" applyFill="1"/>
    <xf numFmtId="4" fontId="18" fillId="0" borderId="0" xfId="42" applyNumberFormat="1" applyFont="1" applyFill="1"/>
    <xf numFmtId="0" fontId="19" fillId="0" borderId="0" xfId="42" applyFont="1" applyFill="1" applyAlignment="1">
      <alignment horizontal="left"/>
    </xf>
    <xf numFmtId="0" fontId="18" fillId="0" borderId="0" xfId="42" applyFont="1" applyFill="1" applyAlignment="1">
      <alignment horizontal="left"/>
    </xf>
    <xf numFmtId="164" fontId="19" fillId="0" borderId="0" xfId="44" applyFont="1" applyFill="1"/>
    <xf numFmtId="169" fontId="19" fillId="0" borderId="0" xfId="42" applyNumberFormat="1" applyFont="1" applyFill="1"/>
    <xf numFmtId="170" fontId="19" fillId="0" borderId="0" xfId="42" applyNumberFormat="1" applyFont="1" applyFill="1"/>
    <xf numFmtId="3" fontId="19" fillId="34" borderId="0" xfId="42" applyNumberFormat="1" applyFont="1" applyFill="1" applyBorder="1" applyAlignment="1">
      <alignment horizontal="center"/>
    </xf>
    <xf numFmtId="0" fontId="19" fillId="34" borderId="0" xfId="42" applyFont="1" applyFill="1" applyAlignment="1"/>
    <xf numFmtId="164" fontId="19" fillId="34" borderId="0" xfId="44" applyFont="1" applyFill="1"/>
    <xf numFmtId="164" fontId="19" fillId="34" borderId="0" xfId="44" applyFont="1" applyFill="1" applyBorder="1"/>
    <xf numFmtId="164" fontId="18" fillId="34" borderId="0" xfId="44" applyFont="1" applyFill="1" applyBorder="1"/>
    <xf numFmtId="164" fontId="18" fillId="34" borderId="0" xfId="44" applyFont="1" applyFill="1" applyBorder="1" applyAlignment="1">
      <alignment horizontal="center"/>
    </xf>
    <xf numFmtId="164" fontId="19" fillId="34" borderId="0" xfId="44" applyFont="1" applyFill="1" applyBorder="1" applyAlignment="1">
      <alignment horizontal="center"/>
    </xf>
    <xf numFmtId="0" fontId="18" fillId="0" borderId="0" xfId="42" applyFont="1" applyFill="1"/>
    <xf numFmtId="0" fontId="18" fillId="0" borderId="13" xfId="42" applyFont="1" applyFill="1" applyBorder="1"/>
    <xf numFmtId="0" fontId="18" fillId="0" borderId="0" xfId="42" applyFont="1" applyFill="1" applyBorder="1"/>
    <xf numFmtId="37" fontId="28" fillId="0" borderId="14" xfId="45" quotePrefix="1" applyNumberFormat="1" applyFont="1" applyFill="1" applyBorder="1" applyAlignment="1" applyProtection="1">
      <alignment horizontal="right"/>
    </xf>
    <xf numFmtId="173" fontId="28" fillId="0" borderId="14" xfId="45" applyFont="1" applyFill="1" applyBorder="1" applyAlignment="1" applyProtection="1">
      <alignment horizontal="left"/>
      <protection locked="0"/>
    </xf>
    <xf numFmtId="37" fontId="28" fillId="0" borderId="0" xfId="45" quotePrefix="1" applyNumberFormat="1" applyFont="1" applyFill="1" applyBorder="1" applyAlignment="1" applyProtection="1">
      <alignment horizontal="right"/>
    </xf>
    <xf numFmtId="173" fontId="28" fillId="0" borderId="0" xfId="45" applyFont="1" applyFill="1" applyBorder="1" applyAlignment="1" applyProtection="1">
      <alignment horizontal="left"/>
      <protection locked="0"/>
    </xf>
    <xf numFmtId="166" fontId="0" fillId="0" borderId="14" xfId="0" applyNumberFormat="1" applyBorder="1"/>
    <xf numFmtId="0" fontId="16" fillId="0" borderId="14" xfId="0" applyFont="1" applyBorder="1" applyAlignment="1">
      <alignment horizontal="center"/>
    </xf>
    <xf numFmtId="17" fontId="16" fillId="0" borderId="14" xfId="0" applyNumberFormat="1" applyFont="1" applyBorder="1" applyAlignment="1">
      <alignment horizontal="center"/>
    </xf>
    <xf numFmtId="39" fontId="19" fillId="36" borderId="0" xfId="0" applyNumberFormat="1" applyFont="1" applyFill="1"/>
    <xf numFmtId="172" fontId="0" fillId="34" borderId="0" xfId="0" applyNumberFormat="1" applyFill="1"/>
    <xf numFmtId="39" fontId="19" fillId="37" borderId="0" xfId="0" applyNumberFormat="1" applyFont="1" applyFill="1"/>
    <xf numFmtId="4" fontId="18" fillId="36" borderId="0" xfId="42" applyNumberFormat="1" applyFont="1" applyFill="1" applyBorder="1"/>
    <xf numFmtId="39" fontId="19" fillId="36" borderId="0" xfId="42" applyNumberFormat="1" applyFont="1" applyFill="1"/>
    <xf numFmtId="0" fontId="23" fillId="0" borderId="0" xfId="42"/>
    <xf numFmtId="0" fontId="19" fillId="0" borderId="0" xfId="42" applyFont="1"/>
    <xf numFmtId="0" fontId="19" fillId="0" borderId="0" xfId="42" applyFont="1" applyFill="1"/>
    <xf numFmtId="0" fontId="23" fillId="0" borderId="0" xfId="42"/>
    <xf numFmtId="0" fontId="19" fillId="0" borderId="0" xfId="42" applyFont="1"/>
    <xf numFmtId="0" fontId="19" fillId="0" borderId="0" xfId="42" applyFont="1" applyFill="1"/>
    <xf numFmtId="4" fontId="19" fillId="0" borderId="0" xfId="42" applyNumberFormat="1" applyFont="1"/>
    <xf numFmtId="39" fontId="19" fillId="0" borderId="0" xfId="42" applyNumberFormat="1" applyFont="1" applyFill="1" applyBorder="1"/>
    <xf numFmtId="0" fontId="18" fillId="0" borderId="0" xfId="42" applyFont="1" applyAlignment="1">
      <alignment horizontal="center"/>
    </xf>
    <xf numFmtId="0" fontId="19" fillId="0" borderId="0" xfId="0" applyFont="1" applyFill="1"/>
    <xf numFmtId="0" fontId="19" fillId="0" borderId="0" xfId="42" applyFont="1" applyFill="1" applyBorder="1"/>
    <xf numFmtId="0" fontId="19" fillId="0" borderId="11" xfId="42" applyFont="1" applyFill="1" applyBorder="1"/>
    <xf numFmtId="0" fontId="18" fillId="0" borderId="0" xfId="42" applyFont="1" applyFill="1"/>
    <xf numFmtId="0" fontId="19" fillId="35" borderId="11" xfId="42" applyFont="1" applyFill="1" applyBorder="1"/>
    <xf numFmtId="166" fontId="0" fillId="35" borderId="0" xfId="0" applyNumberFormat="1" applyFill="1"/>
    <xf numFmtId="39" fontId="19" fillId="35" borderId="11" xfId="42" applyNumberFormat="1" applyFont="1" applyFill="1" applyBorder="1"/>
    <xf numFmtId="39" fontId="19" fillId="38" borderId="0" xfId="0" applyNumberFormat="1" applyFont="1" applyFill="1"/>
    <xf numFmtId="0" fontId="19" fillId="38" borderId="11" xfId="42" applyFont="1" applyFill="1" applyBorder="1"/>
    <xf numFmtId="0" fontId="19" fillId="38" borderId="0" xfId="42" applyFont="1" applyFill="1"/>
    <xf numFmtId="39" fontId="19" fillId="37" borderId="11" xfId="42" applyNumberFormat="1" applyFont="1" applyFill="1" applyBorder="1"/>
    <xf numFmtId="39" fontId="19" fillId="39" borderId="0" xfId="0" applyNumberFormat="1" applyFont="1" applyFill="1"/>
    <xf numFmtId="39" fontId="19" fillId="39" borderId="11" xfId="42" applyNumberFormat="1" applyFont="1" applyFill="1" applyBorder="1"/>
    <xf numFmtId="0" fontId="19" fillId="36" borderId="0" xfId="42" applyFont="1" applyFill="1"/>
    <xf numFmtId="3" fontId="18" fillId="36" borderId="0" xfId="42" applyNumberFormat="1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" vertical="center"/>
    </xf>
    <xf numFmtId="0" fontId="18" fillId="0" borderId="0" xfId="42" applyFont="1" applyFill="1" applyAlignment="1">
      <alignment horizontal="left"/>
    </xf>
    <xf numFmtId="0" fontId="0" fillId="0" borderId="0" xfId="0"/>
    <xf numFmtId="0" fontId="19" fillId="0" borderId="0" xfId="42" applyFont="1"/>
    <xf numFmtId="39" fontId="19" fillId="0" borderId="0" xfId="42" applyNumberFormat="1" applyFont="1" applyFill="1"/>
    <xf numFmtId="39" fontId="19" fillId="0" borderId="0" xfId="42" applyNumberFormat="1" applyFont="1" applyFill="1" applyBorder="1"/>
    <xf numFmtId="3" fontId="18" fillId="0" borderId="0" xfId="42" applyNumberFormat="1" applyFont="1" applyFill="1" applyAlignment="1">
      <alignment horizontal="center"/>
    </xf>
    <xf numFmtId="4" fontId="19" fillId="0" borderId="0" xfId="42" applyNumberFormat="1" applyFont="1" applyFill="1"/>
    <xf numFmtId="3" fontId="18" fillId="0" borderId="11" xfId="42" applyNumberFormat="1" applyFont="1" applyFill="1" applyBorder="1" applyAlignment="1">
      <alignment horizontal="center"/>
    </xf>
    <xf numFmtId="39" fontId="18" fillId="0" borderId="11" xfId="42" applyNumberFormat="1" applyFont="1" applyFill="1" applyBorder="1"/>
    <xf numFmtId="4" fontId="18" fillId="0" borderId="11" xfId="42" applyNumberFormat="1" applyFont="1" applyFill="1" applyBorder="1"/>
    <xf numFmtId="3" fontId="18" fillId="0" borderId="0" xfId="42" applyNumberFormat="1" applyFont="1" applyFill="1" applyBorder="1" applyAlignment="1">
      <alignment horizontal="center"/>
    </xf>
    <xf numFmtId="0" fontId="19" fillId="34" borderId="0" xfId="42" applyFont="1" applyFill="1"/>
    <xf numFmtId="3" fontId="18" fillId="34" borderId="0" xfId="42" applyNumberFormat="1" applyFont="1" applyFill="1" applyAlignment="1">
      <alignment horizontal="center"/>
    </xf>
    <xf numFmtId="39" fontId="19" fillId="34" borderId="0" xfId="42" applyNumberFormat="1" applyFont="1" applyFill="1"/>
    <xf numFmtId="39" fontId="19" fillId="0" borderId="0" xfId="0" applyNumberFormat="1" applyFont="1" applyFill="1"/>
    <xf numFmtId="3" fontId="18" fillId="36" borderId="0" xfId="42" applyNumberFormat="1" applyFont="1" applyFill="1" applyAlignment="1">
      <alignment horizontal="center"/>
    </xf>
    <xf numFmtId="4" fontId="19" fillId="36" borderId="0" xfId="42" applyNumberFormat="1" applyFont="1" applyFill="1"/>
    <xf numFmtId="0" fontId="24" fillId="0" borderId="0" xfId="42" applyFont="1" applyFill="1" applyBorder="1"/>
    <xf numFmtId="4" fontId="19" fillId="0" borderId="0" xfId="42" applyNumberFormat="1" applyFont="1" applyFill="1" applyBorder="1" applyAlignment="1"/>
    <xf numFmtId="4" fontId="18" fillId="0" borderId="0" xfId="42" applyNumberFormat="1" applyFont="1" applyFill="1" applyBorder="1" applyAlignment="1">
      <alignment horizontal="center"/>
    </xf>
    <xf numFmtId="4" fontId="25" fillId="0" borderId="0" xfId="48" applyNumberFormat="1" applyFont="1" applyFill="1" applyBorder="1" applyAlignment="1">
      <alignment horizontal="center"/>
    </xf>
    <xf numFmtId="169" fontId="19" fillId="0" borderId="0" xfId="42" applyNumberFormat="1" applyFont="1" applyFill="1" applyBorder="1"/>
    <xf numFmtId="171" fontId="25" fillId="0" borderId="0" xfId="47" applyNumberFormat="1" applyFont="1" applyFill="1" applyBorder="1" applyAlignment="1">
      <alignment horizontal="center"/>
    </xf>
    <xf numFmtId="171" fontId="32" fillId="0" borderId="0" xfId="48" applyNumberFormat="1" applyFont="1" applyFill="1" applyBorder="1" applyAlignment="1">
      <alignment horizontal="center"/>
    </xf>
    <xf numFmtId="0" fontId="18" fillId="36" borderId="0" xfId="42" applyFont="1" applyFill="1" applyBorder="1"/>
    <xf numFmtId="172" fontId="16" fillId="0" borderId="0" xfId="0" applyNumberFormat="1" applyFont="1" applyFill="1"/>
    <xf numFmtId="39" fontId="19" fillId="40" borderId="0" xfId="42" applyNumberFormat="1" applyFont="1" applyFill="1" applyBorder="1"/>
    <xf numFmtId="39" fontId="19" fillId="40" borderId="0" xfId="42" applyNumberFormat="1" applyFont="1" applyFill="1"/>
    <xf numFmtId="0" fontId="18" fillId="0" borderId="0" xfId="42" applyFont="1" applyFill="1" applyAlignment="1">
      <alignment horizontal="left"/>
    </xf>
    <xf numFmtId="169" fontId="0" fillId="0" borderId="0" xfId="0" applyNumberFormat="1"/>
    <xf numFmtId="1" fontId="18" fillId="0" borderId="0" xfId="42" applyNumberFormat="1" applyFont="1"/>
    <xf numFmtId="0" fontId="19" fillId="41" borderId="0" xfId="42" applyFont="1" applyFill="1" applyBorder="1"/>
    <xf numFmtId="0" fontId="19" fillId="41" borderId="0" xfId="42" applyFont="1" applyFill="1"/>
    <xf numFmtId="0" fontId="23" fillId="41" borderId="0" xfId="42" applyFill="1"/>
    <xf numFmtId="39" fontId="19" fillId="41" borderId="0" xfId="42" applyNumberFormat="1" applyFont="1" applyFill="1"/>
    <xf numFmtId="4" fontId="19" fillId="41" borderId="11" xfId="42" applyNumberFormat="1" applyFont="1" applyFill="1" applyBorder="1"/>
    <xf numFmtId="39" fontId="18" fillId="36" borderId="0" xfId="42" applyNumberFormat="1" applyFont="1" applyFill="1" applyBorder="1"/>
    <xf numFmtId="0" fontId="29" fillId="0" borderId="0" xfId="0" applyFont="1" applyFill="1" applyBorder="1" applyAlignment="1">
      <alignment horizontal="center" vertical="center"/>
    </xf>
    <xf numFmtId="170" fontId="23" fillId="0" borderId="0" xfId="42" applyNumberFormat="1" applyFill="1"/>
    <xf numFmtId="39" fontId="19" fillId="36" borderId="12" xfId="0" applyNumberFormat="1" applyFont="1" applyFill="1" applyBorder="1"/>
    <xf numFmtId="39" fontId="19" fillId="36" borderId="0" xfId="0" applyNumberFormat="1" applyFont="1" applyFill="1" applyBorder="1"/>
    <xf numFmtId="0" fontId="0" fillId="36" borderId="0" xfId="0" applyFill="1" applyBorder="1"/>
    <xf numFmtId="40" fontId="16" fillId="36" borderId="10" xfId="0" applyNumberFormat="1" applyFont="1" applyFill="1" applyBorder="1"/>
    <xf numFmtId="39" fontId="19" fillId="38" borderId="13" xfId="42" applyNumberFormat="1" applyFont="1" applyFill="1" applyBorder="1"/>
    <xf numFmtId="0" fontId="18" fillId="0" borderId="0" xfId="42" applyFont="1" applyFill="1" applyAlignment="1">
      <alignment horizontal="left"/>
    </xf>
    <xf numFmtId="169" fontId="23" fillId="0" borderId="0" xfId="42" applyNumberFormat="1"/>
    <xf numFmtId="0" fontId="0" fillId="42" borderId="0" xfId="0" applyFill="1"/>
    <xf numFmtId="0" fontId="0" fillId="43" borderId="0" xfId="0" applyFill="1" applyAlignment="1">
      <alignment horizontal="left"/>
    </xf>
    <xf numFmtId="49" fontId="0" fillId="43" borderId="0" xfId="0" applyNumberFormat="1" applyFill="1"/>
    <xf numFmtId="4" fontId="0" fillId="0" borderId="0" xfId="0" applyNumberFormat="1"/>
    <xf numFmtId="39" fontId="19" fillId="0" borderId="10" xfId="0" applyNumberFormat="1" applyFont="1" applyFill="1" applyBorder="1"/>
    <xf numFmtId="39" fontId="19" fillId="35" borderId="0" xfId="42" applyNumberFormat="1" applyFont="1" applyFill="1"/>
    <xf numFmtId="169" fontId="19" fillId="0" borderId="0" xfId="42" applyNumberFormat="1" applyFont="1"/>
    <xf numFmtId="39" fontId="18" fillId="0" borderId="0" xfId="42" applyNumberFormat="1" applyFont="1" applyFill="1"/>
    <xf numFmtId="9" fontId="19" fillId="0" borderId="0" xfId="42" applyNumberFormat="1" applyFont="1" applyBorder="1"/>
    <xf numFmtId="0" fontId="18" fillId="0" borderId="13" xfId="42" applyFont="1" applyBorder="1" applyAlignment="1">
      <alignment horizontal="center" vertical="center"/>
    </xf>
    <xf numFmtId="0" fontId="18" fillId="0" borderId="10" xfId="42" applyFont="1" applyBorder="1" applyAlignment="1">
      <alignment horizontal="center" vertical="center"/>
    </xf>
    <xf numFmtId="0" fontId="18" fillId="0" borderId="0" xfId="42" applyFont="1" applyAlignment="1">
      <alignment horizontal="left"/>
    </xf>
    <xf numFmtId="0" fontId="18" fillId="0" borderId="10" xfId="42" applyFont="1" applyFill="1" applyBorder="1" applyAlignment="1">
      <alignment horizontal="center" vertical="center"/>
    </xf>
    <xf numFmtId="39" fontId="18" fillId="36" borderId="11" xfId="42" applyNumberFormat="1" applyFont="1" applyFill="1" applyBorder="1"/>
    <xf numFmtId="3" fontId="18" fillId="36" borderId="11" xfId="42" applyNumberFormat="1" applyFont="1" applyFill="1" applyBorder="1" applyAlignment="1">
      <alignment horizontal="center"/>
    </xf>
    <xf numFmtId="4" fontId="18" fillId="36" borderId="11" xfId="42" applyNumberFormat="1" applyFont="1" applyFill="1" applyBorder="1"/>
    <xf numFmtId="169" fontId="19" fillId="0" borderId="0" xfId="42" applyNumberFormat="1" applyFont="1" applyBorder="1"/>
    <xf numFmtId="172" fontId="16" fillId="0" borderId="10" xfId="0" applyNumberFormat="1" applyFont="1" applyFill="1" applyBorder="1"/>
    <xf numFmtId="0" fontId="34" fillId="0" borderId="0" xfId="42" applyFont="1" applyFill="1" applyAlignment="1">
      <alignment horizontal="center"/>
    </xf>
    <xf numFmtId="171" fontId="25" fillId="0" borderId="0" xfId="47" applyNumberFormat="1" applyFont="1" applyFill="1" applyAlignment="1">
      <alignment horizontal="center"/>
    </xf>
    <xf numFmtId="0" fontId="34" fillId="0" borderId="0" xfId="42" applyFont="1" applyFill="1" applyAlignment="1">
      <alignment horizontal="left"/>
    </xf>
    <xf numFmtId="167" fontId="19" fillId="0" borderId="0" xfId="42" applyNumberFormat="1" applyFont="1" applyFill="1"/>
    <xf numFmtId="174" fontId="0" fillId="0" borderId="0" xfId="0" applyNumberFormat="1"/>
    <xf numFmtId="4" fontId="19" fillId="0" borderId="0" xfId="42" applyNumberFormat="1" applyFont="1" applyFill="1" applyAlignment="1"/>
    <xf numFmtId="4" fontId="18" fillId="0" borderId="0" xfId="42" applyNumberFormat="1" applyFont="1" applyFill="1" applyAlignment="1">
      <alignment horizontal="center"/>
    </xf>
    <xf numFmtId="4" fontId="25" fillId="0" borderId="0" xfId="48" applyNumberFormat="1" applyFont="1" applyFill="1" applyAlignment="1">
      <alignment horizontal="center"/>
    </xf>
    <xf numFmtId="0" fontId="18" fillId="0" borderId="11" xfId="42" applyFont="1" applyFill="1" applyBorder="1"/>
    <xf numFmtId="164" fontId="19" fillId="0" borderId="0" xfId="44" applyFont="1" applyFill="1" applyBorder="1"/>
    <xf numFmtId="0" fontId="18" fillId="0" borderId="0" xfId="42" applyFont="1" applyFill="1" applyAlignment="1">
      <alignment horizontal="left"/>
    </xf>
    <xf numFmtId="0" fontId="18" fillId="0" borderId="11" xfId="42" applyFont="1" applyBorder="1"/>
    <xf numFmtId="0" fontId="35" fillId="0" borderId="0" xfId="0" applyFont="1" applyFill="1" applyAlignment="1"/>
    <xf numFmtId="169" fontId="0" fillId="0" borderId="0" xfId="0" applyNumberFormat="1" applyBorder="1"/>
    <xf numFmtId="4" fontId="33" fillId="0" borderId="0" xfId="0" applyNumberFormat="1" applyFont="1" applyFill="1"/>
    <xf numFmtId="39" fontId="18" fillId="0" borderId="11" xfId="42" applyNumberFormat="1" applyFont="1" applyFill="1" applyBorder="1" applyAlignment="1"/>
    <xf numFmtId="4" fontId="0" fillId="0" borderId="0" xfId="0" applyNumberFormat="1" applyFill="1"/>
    <xf numFmtId="3" fontId="18" fillId="0" borderId="13" xfId="42" applyNumberFormat="1" applyFont="1" applyFill="1" applyBorder="1" applyAlignment="1">
      <alignment horizontal="center"/>
    </xf>
    <xf numFmtId="49" fontId="0" fillId="0" borderId="0" xfId="0" applyNumberFormat="1"/>
    <xf numFmtId="172" fontId="0" fillId="36" borderId="0" xfId="0" applyNumberFormat="1" applyFill="1" applyBorder="1"/>
    <xf numFmtId="39" fontId="19" fillId="34" borderId="0" xfId="0" applyNumberFormat="1" applyFont="1" applyFill="1"/>
    <xf numFmtId="164" fontId="0" fillId="0" borderId="0" xfId="44" applyFont="1" applyFill="1"/>
    <xf numFmtId="164" fontId="18" fillId="0" borderId="0" xfId="44" applyFont="1" applyFill="1"/>
    <xf numFmtId="0" fontId="18" fillId="0" borderId="13" xfId="0" applyFont="1" applyFill="1" applyBorder="1" applyAlignment="1">
      <alignment horizontal="center" vertical="center"/>
    </xf>
    <xf numFmtId="164" fontId="0" fillId="0" borderId="0" xfId="0" applyNumberFormat="1" applyBorder="1"/>
    <xf numFmtId="175" fontId="0" fillId="0" borderId="0" xfId="0" applyNumberFormat="1" applyFill="1" applyBorder="1"/>
    <xf numFmtId="176" fontId="16" fillId="0" borderId="0" xfId="0" applyNumberFormat="1" applyFont="1" applyFill="1" applyAlignment="1">
      <alignment horizontal="right"/>
    </xf>
    <xf numFmtId="176" fontId="16" fillId="34" borderId="0" xfId="0" applyNumberFormat="1" applyFont="1" applyFill="1" applyAlignment="1">
      <alignment horizontal="right"/>
    </xf>
    <xf numFmtId="39" fontId="19" fillId="41" borderId="0" xfId="0" applyNumberFormat="1" applyFont="1" applyFill="1"/>
    <xf numFmtId="39" fontId="19" fillId="41" borderId="0" xfId="42" applyNumberFormat="1" applyFont="1" applyFill="1" applyBorder="1"/>
    <xf numFmtId="40" fontId="0" fillId="41" borderId="0" xfId="0" applyNumberFormat="1" applyFill="1"/>
    <xf numFmtId="172" fontId="0" fillId="41" borderId="0" xfId="0" applyNumberFormat="1" applyFill="1"/>
    <xf numFmtId="177" fontId="0" fillId="0" borderId="0" xfId="0" applyNumberFormat="1"/>
    <xf numFmtId="0" fontId="0" fillId="42" borderId="0" xfId="0" applyFill="1" applyAlignment="1"/>
    <xf numFmtId="0" fontId="18" fillId="0" borderId="0" xfId="42" applyFont="1" applyFill="1" applyAlignment="1">
      <alignment horizontal="left"/>
    </xf>
    <xf numFmtId="0" fontId="0" fillId="43" borderId="0" xfId="0" applyNumberFormat="1" applyFill="1" applyAlignment="1">
      <alignment horizontal="left"/>
    </xf>
    <xf numFmtId="39" fontId="19" fillId="34" borderId="12" xfId="0" applyNumberFormat="1" applyFont="1" applyFill="1" applyBorder="1"/>
    <xf numFmtId="40" fontId="0" fillId="34" borderId="0" xfId="0" applyNumberFormat="1" applyFill="1"/>
    <xf numFmtId="40" fontId="16" fillId="34" borderId="10" xfId="0" applyNumberFormat="1" applyFont="1" applyFill="1" applyBorder="1"/>
    <xf numFmtId="39" fontId="19" fillId="34" borderId="0" xfId="0" applyNumberFormat="1" applyFont="1" applyFill="1" applyBorder="1"/>
    <xf numFmtId="0" fontId="0" fillId="34" borderId="0" xfId="0" applyFill="1" applyBorder="1"/>
    <xf numFmtId="0" fontId="24" fillId="44" borderId="0" xfId="42" applyFont="1" applyFill="1"/>
    <xf numFmtId="0" fontId="19" fillId="44" borderId="0" xfId="42" applyFont="1" applyFill="1"/>
    <xf numFmtId="3" fontId="18" fillId="44" borderId="0" xfId="42" applyNumberFormat="1" applyFont="1" applyFill="1" applyAlignment="1">
      <alignment horizontal="center"/>
    </xf>
    <xf numFmtId="39" fontId="19" fillId="44" borderId="0" xfId="42" applyNumberFormat="1" applyFont="1" applyFill="1"/>
    <xf numFmtId="171" fontId="25" fillId="44" borderId="0" xfId="47" applyNumberFormat="1" applyFont="1" applyFill="1" applyAlignment="1">
      <alignment horizontal="center"/>
    </xf>
    <xf numFmtId="4" fontId="19" fillId="44" borderId="0" xfId="42" applyNumberFormat="1" applyFont="1" applyFill="1"/>
    <xf numFmtId="0" fontId="18" fillId="44" borderId="0" xfId="42" applyFont="1" applyFill="1"/>
    <xf numFmtId="0" fontId="34" fillId="44" borderId="0" xfId="42" applyFont="1" applyFill="1" applyAlignment="1">
      <alignment horizontal="center"/>
    </xf>
    <xf numFmtId="3" fontId="18" fillId="44" borderId="0" xfId="42" applyNumberFormat="1" applyFont="1" applyFill="1" applyBorder="1" applyAlignment="1">
      <alignment horizontal="center"/>
    </xf>
    <xf numFmtId="0" fontId="34" fillId="44" borderId="0" xfId="42" applyFont="1" applyFill="1" applyAlignment="1">
      <alignment horizontal="left"/>
    </xf>
    <xf numFmtId="3" fontId="18" fillId="44" borderId="11" xfId="42" applyNumberFormat="1" applyFont="1" applyFill="1" applyBorder="1" applyAlignment="1">
      <alignment horizontal="center"/>
    </xf>
    <xf numFmtId="39" fontId="18" fillId="44" borderId="11" xfId="42" applyNumberFormat="1" applyFont="1" applyFill="1" applyBorder="1"/>
    <xf numFmtId="4" fontId="18" fillId="44" borderId="11" xfId="42" applyNumberFormat="1" applyFont="1" applyFill="1" applyBorder="1"/>
    <xf numFmtId="39" fontId="18" fillId="44" borderId="0" xfId="42" applyNumberFormat="1" applyFont="1" applyFill="1" applyBorder="1"/>
    <xf numFmtId="4" fontId="18" fillId="44" borderId="0" xfId="42" applyNumberFormat="1" applyFont="1" applyFill="1" applyBorder="1"/>
    <xf numFmtId="0" fontId="19" fillId="44" borderId="0" xfId="42" applyFont="1" applyFill="1" applyAlignment="1">
      <alignment horizontal="left"/>
    </xf>
    <xf numFmtId="0" fontId="19" fillId="44" borderId="0" xfId="42" applyFont="1" applyFill="1" applyAlignment="1"/>
    <xf numFmtId="171" fontId="25" fillId="44" borderId="0" xfId="43" applyNumberFormat="1" applyFont="1" applyFill="1" applyAlignment="1">
      <alignment horizontal="center"/>
    </xf>
    <xf numFmtId="0" fontId="18" fillId="44" borderId="0" xfId="42" applyFont="1" applyFill="1" applyAlignment="1">
      <alignment horizontal="left"/>
    </xf>
    <xf numFmtId="4" fontId="19" fillId="44" borderId="0" xfId="42" applyNumberFormat="1" applyFont="1" applyFill="1" applyBorder="1"/>
    <xf numFmtId="39" fontId="19" fillId="44" borderId="0" xfId="42" applyNumberFormat="1" applyFont="1" applyFill="1" applyBorder="1"/>
    <xf numFmtId="0" fontId="19" fillId="44" borderId="0" xfId="42" applyFont="1" applyFill="1" applyBorder="1"/>
    <xf numFmtId="39" fontId="19" fillId="44" borderId="11" xfId="42" applyNumberFormat="1" applyFont="1" applyFill="1" applyBorder="1"/>
    <xf numFmtId="4" fontId="19" fillId="44" borderId="11" xfId="42" applyNumberFormat="1" applyFont="1" applyFill="1" applyBorder="1"/>
    <xf numFmtId="0" fontId="0" fillId="44" borderId="0" xfId="0" applyFill="1" applyAlignment="1">
      <alignment horizontal="left"/>
    </xf>
    <xf numFmtId="171" fontId="25" fillId="44" borderId="0" xfId="48" applyNumberFormat="1" applyFont="1" applyFill="1" applyAlignment="1">
      <alignment horizontal="center"/>
    </xf>
    <xf numFmtId="3" fontId="19" fillId="0" borderId="0" xfId="42" applyNumberFormat="1" applyFont="1" applyFill="1" applyBorder="1" applyAlignment="1">
      <alignment horizontal="center"/>
    </xf>
    <xf numFmtId="164" fontId="0" fillId="0" borderId="0" xfId="44" applyFont="1"/>
    <xf numFmtId="39" fontId="0" fillId="0" borderId="0" xfId="0" applyNumberFormat="1"/>
    <xf numFmtId="43" fontId="0" fillId="0" borderId="0" xfId="0" applyNumberFormat="1"/>
    <xf numFmtId="164" fontId="0" fillId="36" borderId="0" xfId="44" applyFont="1" applyFill="1"/>
    <xf numFmtId="0" fontId="0" fillId="36" borderId="0" xfId="0" applyFill="1"/>
    <xf numFmtId="0" fontId="0" fillId="36" borderId="0" xfId="0" applyNumberFormat="1" applyFill="1" applyAlignment="1"/>
    <xf numFmtId="164" fontId="0" fillId="0" borderId="15" xfId="44" applyFont="1" applyFill="1" applyBorder="1"/>
    <xf numFmtId="164" fontId="0" fillId="0" borderId="16" xfId="44" applyFont="1" applyFill="1" applyBorder="1"/>
    <xf numFmtId="164" fontId="0" fillId="36" borderId="16" xfId="44" applyFont="1" applyFill="1" applyBorder="1"/>
    <xf numFmtId="164" fontId="0" fillId="36" borderId="15" xfId="44" applyFont="1" applyFill="1" applyBorder="1"/>
    <xf numFmtId="164" fontId="0" fillId="0" borderId="0" xfId="44" applyFont="1" applyFill="1" applyBorder="1"/>
    <xf numFmtId="164" fontId="0" fillId="36" borderId="0" xfId="44" applyFont="1" applyFill="1" applyBorder="1"/>
    <xf numFmtId="0" fontId="0" fillId="0" borderId="15" xfId="0" applyBorder="1"/>
    <xf numFmtId="0" fontId="0" fillId="0" borderId="16" xfId="0" applyBorder="1"/>
    <xf numFmtId="0" fontId="0" fillId="36" borderId="16" xfId="0" applyFill="1" applyBorder="1"/>
    <xf numFmtId="0" fontId="0" fillId="36" borderId="16" xfId="0" applyNumberFormat="1" applyFill="1" applyBorder="1" applyAlignment="1"/>
    <xf numFmtId="0" fontId="0" fillId="0" borderId="17" xfId="0" applyBorder="1"/>
    <xf numFmtId="0" fontId="0" fillId="36" borderId="18" xfId="0" applyFill="1" applyBorder="1"/>
    <xf numFmtId="0" fontId="0" fillId="0" borderId="19" xfId="0" applyBorder="1"/>
    <xf numFmtId="0" fontId="0" fillId="0" borderId="20" xfId="0" applyBorder="1"/>
    <xf numFmtId="0" fontId="0" fillId="45" borderId="23" xfId="0" applyFont="1" applyFill="1" applyBorder="1"/>
    <xf numFmtId="0" fontId="0" fillId="0" borderId="23" xfId="0" applyFont="1" applyBorder="1"/>
    <xf numFmtId="178" fontId="0" fillId="0" borderId="0" xfId="44" applyNumberFormat="1" applyFont="1" applyFill="1"/>
    <xf numFmtId="164" fontId="0" fillId="0" borderId="21" xfId="44" applyFont="1" applyFill="1" applyBorder="1"/>
    <xf numFmtId="164" fontId="0" fillId="0" borderId="19" xfId="44" applyFont="1" applyFill="1" applyBorder="1"/>
    <xf numFmtId="164" fontId="0" fillId="0" borderId="20" xfId="44" applyFont="1" applyFill="1" applyBorder="1"/>
    <xf numFmtId="164" fontId="0" fillId="0" borderId="22" xfId="44" applyFont="1" applyFill="1" applyBorder="1"/>
    <xf numFmtId="164" fontId="0" fillId="0" borderId="17" xfId="44" applyFont="1" applyFill="1" applyBorder="1"/>
    <xf numFmtId="164" fontId="0" fillId="0" borderId="18" xfId="44" applyFont="1" applyFill="1" applyBorder="1"/>
    <xf numFmtId="0" fontId="0" fillId="0" borderId="16" xfId="0" applyFill="1" applyBorder="1"/>
    <xf numFmtId="0" fontId="0" fillId="0" borderId="18" xfId="0" applyFill="1" applyBorder="1"/>
    <xf numFmtId="0" fontId="0" fillId="0" borderId="19" xfId="0" applyBorder="1" applyAlignment="1">
      <alignment horizontal="center"/>
    </xf>
    <xf numFmtId="0" fontId="0" fillId="0" borderId="20" xfId="0" applyFill="1" applyBorder="1" applyAlignment="1">
      <alignment horizontal="center"/>
    </xf>
    <xf numFmtId="164" fontId="0" fillId="0" borderId="21" xfId="44" applyFont="1" applyFill="1" applyBorder="1" applyAlignment="1">
      <alignment horizontal="center"/>
    </xf>
    <xf numFmtId="164" fontId="0" fillId="0" borderId="19" xfId="44" applyFont="1" applyFill="1" applyBorder="1" applyAlignment="1">
      <alignment horizontal="center"/>
    </xf>
    <xf numFmtId="164" fontId="0" fillId="0" borderId="20" xfId="44" applyFont="1" applyFill="1" applyBorder="1" applyAlignment="1">
      <alignment horizontal="center"/>
    </xf>
    <xf numFmtId="39" fontId="0" fillId="0" borderId="0" xfId="0" applyNumberFormat="1" applyBorder="1"/>
    <xf numFmtId="164" fontId="0" fillId="0" borderId="0" xfId="0" applyNumberFormat="1"/>
    <xf numFmtId="0" fontId="37" fillId="0" borderId="0" xfId="0" applyFont="1" applyAlignment="1">
      <alignment vertical="center"/>
    </xf>
    <xf numFmtId="0" fontId="37" fillId="0" borderId="0" xfId="0" applyFont="1" applyAlignment="1">
      <alignment vertical="center" wrapText="1"/>
    </xf>
    <xf numFmtId="0" fontId="36" fillId="0" borderId="0" xfId="0" applyFont="1"/>
    <xf numFmtId="0" fontId="38" fillId="0" borderId="0" xfId="0" applyFont="1" applyAlignment="1">
      <alignment horizontal="right" vertical="center"/>
    </xf>
    <xf numFmtId="0" fontId="39" fillId="0" borderId="0" xfId="0" applyFont="1" applyAlignment="1">
      <alignment vertical="center"/>
    </xf>
    <xf numFmtId="0" fontId="39" fillId="0" borderId="0" xfId="0" applyFont="1" applyAlignment="1">
      <alignment vertical="center" wrapText="1"/>
    </xf>
    <xf numFmtId="0" fontId="41" fillId="0" borderId="0" xfId="0" applyFont="1" applyAlignment="1">
      <alignment vertical="center" wrapText="1"/>
    </xf>
    <xf numFmtId="164" fontId="40" fillId="0" borderId="0" xfId="44" applyFont="1" applyFill="1" applyAlignment="1">
      <alignment vertical="center"/>
    </xf>
    <xf numFmtId="164" fontId="36" fillId="0" borderId="0" xfId="44" applyFont="1" applyFill="1" applyAlignment="1"/>
    <xf numFmtId="164" fontId="36" fillId="0" borderId="11" xfId="44" applyFont="1" applyBorder="1"/>
    <xf numFmtId="0" fontId="39" fillId="0" borderId="0" xfId="0" applyFont="1" applyBorder="1" applyAlignment="1">
      <alignment vertical="center" wrapText="1"/>
    </xf>
    <xf numFmtId="0" fontId="39" fillId="0" borderId="0" xfId="0" applyFont="1" applyBorder="1" applyAlignment="1">
      <alignment vertical="center"/>
    </xf>
    <xf numFmtId="164" fontId="0" fillId="0" borderId="11" xfId="44" applyFont="1" applyFill="1" applyBorder="1"/>
    <xf numFmtId="0" fontId="36" fillId="0" borderId="0" xfId="0" applyFont="1" applyAlignment="1">
      <alignment horizontal="center"/>
    </xf>
    <xf numFmtId="0" fontId="18" fillId="0" borderId="13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/>
    </xf>
    <xf numFmtId="0" fontId="19" fillId="0" borderId="1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8" fillId="0" borderId="13" xfId="42" applyFont="1" applyBorder="1" applyAlignment="1">
      <alignment horizontal="center" vertical="center"/>
    </xf>
    <xf numFmtId="0" fontId="18" fillId="0" borderId="10" xfId="42" applyFont="1" applyBorder="1" applyAlignment="1">
      <alignment horizontal="center" vertical="center"/>
    </xf>
    <xf numFmtId="164" fontId="0" fillId="0" borderId="0" xfId="44" applyFont="1" applyFill="1" applyAlignment="1">
      <alignment horizontal="left" vertical="center" wrapText="1"/>
    </xf>
    <xf numFmtId="1" fontId="16" fillId="41" borderId="19" xfId="44" applyNumberFormat="1" applyFont="1" applyFill="1" applyBorder="1" applyAlignment="1">
      <alignment horizontal="center" vertical="center"/>
    </xf>
    <xf numFmtId="1" fontId="16" fillId="41" borderId="20" xfId="44" applyNumberFormat="1" applyFont="1" applyFill="1" applyBorder="1" applyAlignment="1">
      <alignment horizontal="center" vertical="center"/>
    </xf>
    <xf numFmtId="0" fontId="18" fillId="0" borderId="0" xfId="42" applyFont="1" applyFill="1" applyBorder="1" applyAlignment="1">
      <alignment horizontal="center" vertical="center"/>
    </xf>
    <xf numFmtId="0" fontId="29" fillId="0" borderId="0" xfId="42" applyFont="1" applyFill="1" applyBorder="1" applyAlignment="1">
      <alignment horizontal="center"/>
    </xf>
    <xf numFmtId="0" fontId="18" fillId="0" borderId="0" xfId="42" applyFont="1" applyFill="1" applyAlignment="1">
      <alignment horizontal="left"/>
    </xf>
    <xf numFmtId="0" fontId="18" fillId="0" borderId="13" xfId="42" applyFont="1" applyFill="1" applyBorder="1" applyAlignment="1">
      <alignment horizontal="center" vertical="center"/>
    </xf>
    <xf numFmtId="0" fontId="18" fillId="0" borderId="10" xfId="42" applyFont="1" applyFill="1" applyBorder="1" applyAlignment="1">
      <alignment horizontal="center" vertical="center"/>
    </xf>
  </cellXfs>
  <cellStyles count="50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4" builtinId="3"/>
    <cellStyle name="Millares 2" xfId="43"/>
    <cellStyle name="Millares 2 2" xfId="47"/>
    <cellStyle name="Millares 3" xfId="48"/>
    <cellStyle name="Millares 4" xfId="46"/>
    <cellStyle name="Millares 5" xfId="49"/>
    <cellStyle name="Neutral" xfId="8" builtinId="28" customBuiltin="1"/>
    <cellStyle name="Normal" xfId="0" builtinId="0"/>
    <cellStyle name="Normal 2" xfId="42"/>
    <cellStyle name="Normale_PAK 1" xfId="45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41</xdr:row>
      <xdr:rowOff>0</xdr:rowOff>
    </xdr:from>
    <xdr:to>
      <xdr:col>4</xdr:col>
      <xdr:colOff>333375</xdr:colOff>
      <xdr:row>43</xdr:row>
      <xdr:rowOff>142875</xdr:rowOff>
    </xdr:to>
    <xdr:sp macro="" textlink="">
      <xdr:nvSpPr>
        <xdr:cNvPr id="2" name="Cerrar llave 1"/>
        <xdr:cNvSpPr/>
      </xdr:nvSpPr>
      <xdr:spPr>
        <a:xfrm>
          <a:off x="5486400" y="8048625"/>
          <a:ext cx="209550" cy="5238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quiroga/Desktop/KSB1%20Cenam%20v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KEVILMARE%202016\EF-DICIEMBRE%202016%20-%20Total%20FINAL%20ACUMUL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5"/>
      <sheetName val="Detalle"/>
      <sheetName val="GL"/>
      <sheetName val="CCenters"/>
    </sheetNames>
    <sheetDataSet>
      <sheetData sheetId="0"/>
      <sheetData sheetId="1">
        <row r="3">
          <cell r="BT3">
            <v>-4324.79</v>
          </cell>
          <cell r="BY3">
            <v>4324.79</v>
          </cell>
        </row>
        <row r="4">
          <cell r="BT4">
            <v>926.15</v>
          </cell>
          <cell r="BY4">
            <v>926.15</v>
          </cell>
        </row>
        <row r="5">
          <cell r="BT5">
            <v>2045.08</v>
          </cell>
          <cell r="BY5">
            <v>2045.08</v>
          </cell>
        </row>
        <row r="6">
          <cell r="BT6">
            <v>2166.2199999999998</v>
          </cell>
          <cell r="BY6">
            <v>2166.2199999999998</v>
          </cell>
        </row>
        <row r="7">
          <cell r="BT7">
            <v>4324.8900000000003</v>
          </cell>
          <cell r="BY7">
            <v>4324.8900000000003</v>
          </cell>
        </row>
        <row r="8">
          <cell r="BT8">
            <v>-2045.04</v>
          </cell>
          <cell r="BY8">
            <v>2045.04</v>
          </cell>
        </row>
        <row r="9">
          <cell r="BT9">
            <v>-926.13</v>
          </cell>
          <cell r="BY9">
            <v>926.13</v>
          </cell>
        </row>
        <row r="10">
          <cell r="BT10">
            <v>-1710.27</v>
          </cell>
          <cell r="BY10">
            <v>1710.27</v>
          </cell>
        </row>
        <row r="11">
          <cell r="BT11">
            <v>-2166.17</v>
          </cell>
          <cell r="BY11">
            <v>2166.17</v>
          </cell>
        </row>
        <row r="12">
          <cell r="BT12">
            <v>-2214.37</v>
          </cell>
          <cell r="BY12">
            <v>2214.37</v>
          </cell>
        </row>
        <row r="13">
          <cell r="BT13">
            <v>24.75</v>
          </cell>
          <cell r="BY13">
            <v>24.75</v>
          </cell>
        </row>
        <row r="14">
          <cell r="BT14">
            <v>2214.42</v>
          </cell>
          <cell r="BY14">
            <v>2214.42</v>
          </cell>
        </row>
        <row r="15">
          <cell r="BT15">
            <v>2045.04</v>
          </cell>
          <cell r="BY15">
            <v>2045.04</v>
          </cell>
        </row>
        <row r="16">
          <cell r="BT16">
            <v>2214.37</v>
          </cell>
          <cell r="BY16">
            <v>2214.37</v>
          </cell>
        </row>
        <row r="17">
          <cell r="BT17">
            <v>-3691.48</v>
          </cell>
          <cell r="BY17">
            <v>3691.48</v>
          </cell>
        </row>
        <row r="18">
          <cell r="BT18">
            <v>-24.75</v>
          </cell>
          <cell r="BY18">
            <v>24.75</v>
          </cell>
        </row>
        <row r="19">
          <cell r="BT19">
            <v>1710.31</v>
          </cell>
          <cell r="BY19">
            <v>1710.31</v>
          </cell>
        </row>
        <row r="20">
          <cell r="BT20">
            <v>3691.57</v>
          </cell>
          <cell r="BY20">
            <v>3691.57</v>
          </cell>
        </row>
        <row r="21">
          <cell r="BT21">
            <v>24.75</v>
          </cell>
          <cell r="BY21">
            <v>24.75</v>
          </cell>
        </row>
        <row r="22">
          <cell r="BT22">
            <v>2166.17</v>
          </cell>
          <cell r="BY22">
            <v>2166.17</v>
          </cell>
        </row>
        <row r="23">
          <cell r="BT23">
            <v>4324.79</v>
          </cell>
          <cell r="BY23">
            <v>4324.79</v>
          </cell>
        </row>
        <row r="24">
          <cell r="BT24">
            <v>1710.27</v>
          </cell>
          <cell r="BY24">
            <v>1710.27</v>
          </cell>
        </row>
        <row r="25">
          <cell r="BT25">
            <v>3691.48</v>
          </cell>
          <cell r="BY25">
            <v>3691.48</v>
          </cell>
        </row>
        <row r="26">
          <cell r="BT26">
            <v>926.13</v>
          </cell>
          <cell r="BY26">
            <v>926.13</v>
          </cell>
        </row>
        <row r="27">
          <cell r="BT27">
            <v>1014.76</v>
          </cell>
          <cell r="BY27">
            <v>1014.76</v>
          </cell>
        </row>
        <row r="28">
          <cell r="BT28">
            <v>-5237.28</v>
          </cell>
          <cell r="BY28">
            <v>5237.28</v>
          </cell>
        </row>
        <row r="29">
          <cell r="BT29">
            <v>5237.28</v>
          </cell>
          <cell r="BY29">
            <v>5237.28</v>
          </cell>
        </row>
        <row r="30">
          <cell r="BT30">
            <v>-5237.28</v>
          </cell>
          <cell r="BY30">
            <v>5237.28</v>
          </cell>
        </row>
        <row r="31">
          <cell r="BT31">
            <v>5237.28</v>
          </cell>
          <cell r="BY31">
            <v>5237.28</v>
          </cell>
        </row>
        <row r="32">
          <cell r="BT32">
            <v>5237.28</v>
          </cell>
          <cell r="BY32">
            <v>5237.28</v>
          </cell>
        </row>
        <row r="33">
          <cell r="BT33">
            <v>3822.9</v>
          </cell>
          <cell r="BY33">
            <v>3822.9</v>
          </cell>
        </row>
        <row r="34">
          <cell r="BT34">
            <v>129.21</v>
          </cell>
          <cell r="BY34">
            <v>129.21</v>
          </cell>
        </row>
        <row r="35">
          <cell r="BT35">
            <v>412.48</v>
          </cell>
          <cell r="BY35">
            <v>412.48</v>
          </cell>
        </row>
        <row r="36">
          <cell r="BT36">
            <v>25</v>
          </cell>
          <cell r="BY36">
            <v>25</v>
          </cell>
        </row>
        <row r="37">
          <cell r="BT37">
            <v>25</v>
          </cell>
          <cell r="BY37">
            <v>25</v>
          </cell>
        </row>
        <row r="38">
          <cell r="BT38">
            <v>5</v>
          </cell>
          <cell r="BY38">
            <v>5</v>
          </cell>
        </row>
        <row r="39">
          <cell r="BT39">
            <v>40</v>
          </cell>
          <cell r="BY39">
            <v>40</v>
          </cell>
        </row>
        <row r="40">
          <cell r="BT40">
            <v>15</v>
          </cell>
          <cell r="BY40">
            <v>15</v>
          </cell>
        </row>
        <row r="41">
          <cell r="BT41">
            <v>5</v>
          </cell>
          <cell r="BY41">
            <v>5</v>
          </cell>
        </row>
        <row r="42">
          <cell r="BT42">
            <v>5</v>
          </cell>
          <cell r="BY42">
            <v>5</v>
          </cell>
        </row>
        <row r="43">
          <cell r="BT43">
            <v>15</v>
          </cell>
          <cell r="BY43">
            <v>15</v>
          </cell>
        </row>
        <row r="44">
          <cell r="BT44">
            <v>20</v>
          </cell>
          <cell r="BY44">
            <v>20</v>
          </cell>
        </row>
        <row r="45">
          <cell r="BT45">
            <v>150</v>
          </cell>
          <cell r="BY45">
            <v>150</v>
          </cell>
        </row>
        <row r="46">
          <cell r="BT46">
            <v>25</v>
          </cell>
          <cell r="BY46">
            <v>25</v>
          </cell>
        </row>
        <row r="47">
          <cell r="BT47">
            <v>25</v>
          </cell>
          <cell r="BY47">
            <v>25</v>
          </cell>
        </row>
        <row r="48">
          <cell r="BT48">
            <v>-25</v>
          </cell>
          <cell r="BY48">
            <v>25</v>
          </cell>
        </row>
        <row r="49">
          <cell r="BT49">
            <v>25</v>
          </cell>
          <cell r="BY49">
            <v>25</v>
          </cell>
        </row>
        <row r="50">
          <cell r="BT50">
            <v>15.31</v>
          </cell>
          <cell r="BY50">
            <v>15.31</v>
          </cell>
        </row>
        <row r="51">
          <cell r="BT51">
            <v>5</v>
          </cell>
          <cell r="BY51">
            <v>5</v>
          </cell>
        </row>
        <row r="52">
          <cell r="BT52">
            <v>5</v>
          </cell>
          <cell r="BY52">
            <v>5</v>
          </cell>
        </row>
        <row r="53">
          <cell r="BT53">
            <v>25</v>
          </cell>
          <cell r="BY53">
            <v>25</v>
          </cell>
        </row>
        <row r="54">
          <cell r="BT54">
            <v>5</v>
          </cell>
          <cell r="BY54">
            <v>5</v>
          </cell>
        </row>
        <row r="55">
          <cell r="BT55">
            <v>25</v>
          </cell>
          <cell r="BY55">
            <v>25</v>
          </cell>
        </row>
        <row r="56">
          <cell r="BT56">
            <v>5</v>
          </cell>
          <cell r="BY56">
            <v>5</v>
          </cell>
        </row>
        <row r="57">
          <cell r="BT57">
            <v>15</v>
          </cell>
          <cell r="BY57">
            <v>15</v>
          </cell>
        </row>
        <row r="58">
          <cell r="BT58">
            <v>15.9</v>
          </cell>
          <cell r="BY58">
            <v>15.9</v>
          </cell>
        </row>
        <row r="59">
          <cell r="BT59">
            <v>20</v>
          </cell>
          <cell r="BY59">
            <v>20</v>
          </cell>
        </row>
        <row r="60">
          <cell r="BT60">
            <v>32</v>
          </cell>
          <cell r="BY60">
            <v>32</v>
          </cell>
        </row>
        <row r="61">
          <cell r="BT61">
            <v>10</v>
          </cell>
          <cell r="BY61">
            <v>10</v>
          </cell>
        </row>
        <row r="62">
          <cell r="BT62">
            <v>998.79</v>
          </cell>
          <cell r="BY62">
            <v>998.79</v>
          </cell>
        </row>
        <row r="63">
          <cell r="BT63">
            <v>-776.41</v>
          </cell>
          <cell r="BY63">
            <v>776.41</v>
          </cell>
        </row>
        <row r="64">
          <cell r="BT64">
            <v>-87.69</v>
          </cell>
          <cell r="BY64">
            <v>87.69</v>
          </cell>
        </row>
        <row r="65">
          <cell r="BT65">
            <v>88.31</v>
          </cell>
          <cell r="BY65">
            <v>88.31</v>
          </cell>
        </row>
        <row r="66">
          <cell r="BT66">
            <v>135.63</v>
          </cell>
          <cell r="BY66">
            <v>135.63</v>
          </cell>
        </row>
        <row r="67">
          <cell r="BT67">
            <v>745.45</v>
          </cell>
          <cell r="BY67">
            <v>745.45</v>
          </cell>
        </row>
        <row r="68">
          <cell r="BT68">
            <v>-998.79</v>
          </cell>
          <cell r="BY68">
            <v>998.79</v>
          </cell>
        </row>
        <row r="69">
          <cell r="BT69">
            <v>776.41</v>
          </cell>
          <cell r="BY69">
            <v>776.41</v>
          </cell>
        </row>
        <row r="70">
          <cell r="BT70">
            <v>-134.68</v>
          </cell>
          <cell r="BY70">
            <v>134.68</v>
          </cell>
        </row>
        <row r="71">
          <cell r="BT71">
            <v>87.69</v>
          </cell>
          <cell r="BY71">
            <v>87.69</v>
          </cell>
        </row>
        <row r="72">
          <cell r="BT72">
            <v>134.68</v>
          </cell>
          <cell r="BY72">
            <v>134.68</v>
          </cell>
        </row>
        <row r="73">
          <cell r="BT73">
            <v>6.9</v>
          </cell>
          <cell r="BY73">
            <v>6.9</v>
          </cell>
        </row>
        <row r="74">
          <cell r="BT74">
            <v>0.03</v>
          </cell>
          <cell r="BY74">
            <v>0</v>
          </cell>
        </row>
        <row r="75">
          <cell r="BT75">
            <v>0.03</v>
          </cell>
          <cell r="BY75">
            <v>0</v>
          </cell>
        </row>
        <row r="76">
          <cell r="BT76">
            <v>6.25</v>
          </cell>
          <cell r="BY76">
            <v>6.25</v>
          </cell>
        </row>
        <row r="77">
          <cell r="BT77">
            <v>6.25</v>
          </cell>
          <cell r="BY77">
            <v>6.25</v>
          </cell>
        </row>
        <row r="78">
          <cell r="BT78">
            <v>389.61</v>
          </cell>
          <cell r="BY78">
            <v>389.61</v>
          </cell>
        </row>
        <row r="79">
          <cell r="BT79">
            <v>87.93</v>
          </cell>
          <cell r="BY79">
            <v>87.93</v>
          </cell>
        </row>
        <row r="80">
          <cell r="BT80">
            <v>13.68</v>
          </cell>
          <cell r="BY80">
            <v>13.68</v>
          </cell>
        </row>
        <row r="81">
          <cell r="BT81">
            <v>7.0000000000000007E-2</v>
          </cell>
          <cell r="BY81">
            <v>0</v>
          </cell>
        </row>
        <row r="82">
          <cell r="BT82">
            <v>0.87</v>
          </cell>
          <cell r="BY82">
            <v>0</v>
          </cell>
        </row>
        <row r="83">
          <cell r="BT83">
            <v>0.05</v>
          </cell>
          <cell r="BY83">
            <v>0</v>
          </cell>
        </row>
        <row r="84">
          <cell r="BT84">
            <v>0.01</v>
          </cell>
          <cell r="BY84">
            <v>0</v>
          </cell>
        </row>
        <row r="85">
          <cell r="BT85">
            <v>0.01</v>
          </cell>
          <cell r="BY85">
            <v>0</v>
          </cell>
        </row>
        <row r="86">
          <cell r="BT86">
            <v>0.35</v>
          </cell>
          <cell r="BY86">
            <v>0</v>
          </cell>
        </row>
        <row r="87">
          <cell r="BT87">
            <v>0.05</v>
          </cell>
          <cell r="BY87">
            <v>0</v>
          </cell>
        </row>
        <row r="88">
          <cell r="BT88">
            <v>0.05</v>
          </cell>
          <cell r="BY88">
            <v>0</v>
          </cell>
        </row>
        <row r="89">
          <cell r="BT89">
            <v>-389.61</v>
          </cell>
          <cell r="BY89">
            <v>389.61</v>
          </cell>
        </row>
        <row r="90">
          <cell r="BT90">
            <v>6.25</v>
          </cell>
          <cell r="BY90">
            <v>6.25</v>
          </cell>
        </row>
        <row r="91">
          <cell r="BT91">
            <v>218.06</v>
          </cell>
          <cell r="BY91">
            <v>218.06</v>
          </cell>
        </row>
        <row r="92">
          <cell r="BT92">
            <v>13.68</v>
          </cell>
          <cell r="BY92">
            <v>13.68</v>
          </cell>
        </row>
        <row r="93">
          <cell r="BT93">
            <v>12.9</v>
          </cell>
          <cell r="BY93">
            <v>12.9</v>
          </cell>
        </row>
        <row r="94">
          <cell r="BT94">
            <v>17.72</v>
          </cell>
          <cell r="BY94">
            <v>17.72</v>
          </cell>
        </row>
        <row r="95">
          <cell r="BT95">
            <v>1535.47</v>
          </cell>
          <cell r="BY95">
            <v>1530.42</v>
          </cell>
        </row>
        <row r="96">
          <cell r="BT96">
            <v>196.14</v>
          </cell>
          <cell r="BY96">
            <v>196.14</v>
          </cell>
        </row>
        <row r="97">
          <cell r="BT97">
            <v>500</v>
          </cell>
          <cell r="BY97">
            <v>500</v>
          </cell>
        </row>
        <row r="98">
          <cell r="BT98">
            <v>1500</v>
          </cell>
          <cell r="BY98">
            <v>1500</v>
          </cell>
        </row>
        <row r="99">
          <cell r="BT99">
            <v>6100</v>
          </cell>
          <cell r="BY99">
            <v>6100</v>
          </cell>
        </row>
        <row r="100">
          <cell r="BT100">
            <v>2436.4699999999998</v>
          </cell>
          <cell r="BY100">
            <v>2436.4699999999998</v>
          </cell>
        </row>
        <row r="101">
          <cell r="BT101">
            <v>1067.25</v>
          </cell>
          <cell r="BY101">
            <v>1067.25</v>
          </cell>
        </row>
        <row r="102">
          <cell r="BT102">
            <v>1067.25</v>
          </cell>
          <cell r="BY102">
            <v>1067.25</v>
          </cell>
        </row>
        <row r="103">
          <cell r="BT103">
            <v>40000</v>
          </cell>
          <cell r="BY103">
            <v>40000</v>
          </cell>
        </row>
        <row r="104">
          <cell r="BT104">
            <v>485.08</v>
          </cell>
          <cell r="BY104">
            <v>485.08</v>
          </cell>
        </row>
        <row r="105">
          <cell r="BT105">
            <v>515.96</v>
          </cell>
          <cell r="BY105">
            <v>515.96</v>
          </cell>
        </row>
        <row r="106">
          <cell r="BT106">
            <v>90.91</v>
          </cell>
          <cell r="BY106">
            <v>90.91</v>
          </cell>
        </row>
        <row r="107">
          <cell r="BT107">
            <v>143.69</v>
          </cell>
          <cell r="BY107">
            <v>144.15</v>
          </cell>
        </row>
        <row r="108">
          <cell r="BT108">
            <v>25</v>
          </cell>
          <cell r="BY108">
            <v>25</v>
          </cell>
        </row>
        <row r="109">
          <cell r="BT109">
            <v>25</v>
          </cell>
          <cell r="BY109">
            <v>25</v>
          </cell>
        </row>
        <row r="110">
          <cell r="BT110">
            <v>75</v>
          </cell>
          <cell r="BY110">
            <v>75</v>
          </cell>
        </row>
        <row r="111">
          <cell r="BT111">
            <v>20</v>
          </cell>
          <cell r="BY111">
            <v>20</v>
          </cell>
        </row>
        <row r="112">
          <cell r="BT112">
            <v>25</v>
          </cell>
          <cell r="BY112">
            <v>25</v>
          </cell>
        </row>
        <row r="113">
          <cell r="BT113">
            <v>25</v>
          </cell>
          <cell r="BY113">
            <v>25</v>
          </cell>
        </row>
        <row r="114">
          <cell r="BT114">
            <v>20</v>
          </cell>
          <cell r="BY114">
            <v>20</v>
          </cell>
        </row>
        <row r="115">
          <cell r="BT115">
            <v>20</v>
          </cell>
          <cell r="BY115">
            <v>20</v>
          </cell>
        </row>
        <row r="116">
          <cell r="BT116">
            <v>20</v>
          </cell>
          <cell r="BY116">
            <v>20</v>
          </cell>
        </row>
        <row r="117">
          <cell r="BT117">
            <v>25</v>
          </cell>
          <cell r="BY117">
            <v>25</v>
          </cell>
        </row>
        <row r="118">
          <cell r="BT118">
            <v>25</v>
          </cell>
          <cell r="BY118">
            <v>25</v>
          </cell>
        </row>
        <row r="119">
          <cell r="BT119">
            <v>25</v>
          </cell>
          <cell r="BY119">
            <v>25</v>
          </cell>
        </row>
        <row r="120">
          <cell r="BT120">
            <v>65</v>
          </cell>
          <cell r="BY120">
            <v>65</v>
          </cell>
        </row>
        <row r="121">
          <cell r="BT121">
            <v>20</v>
          </cell>
          <cell r="BY121">
            <v>20</v>
          </cell>
        </row>
        <row r="122">
          <cell r="BT122">
            <v>25</v>
          </cell>
          <cell r="BY122">
            <v>25</v>
          </cell>
        </row>
        <row r="123">
          <cell r="BT123">
            <v>185</v>
          </cell>
          <cell r="BY123">
            <v>185</v>
          </cell>
        </row>
        <row r="124">
          <cell r="BT124">
            <v>1312.5</v>
          </cell>
          <cell r="BY124">
            <v>0</v>
          </cell>
        </row>
        <row r="125">
          <cell r="BT125">
            <v>1104.17</v>
          </cell>
          <cell r="BY125">
            <v>0</v>
          </cell>
        </row>
        <row r="126">
          <cell r="BT126">
            <v>59.37</v>
          </cell>
          <cell r="BY126">
            <v>0</v>
          </cell>
        </row>
        <row r="127">
          <cell r="BT127">
            <v>280.39999999999998</v>
          </cell>
          <cell r="BY127">
            <v>0</v>
          </cell>
        </row>
        <row r="128">
          <cell r="BT128">
            <v>49671.56</v>
          </cell>
          <cell r="BY128">
            <v>49671.56</v>
          </cell>
        </row>
        <row r="129">
          <cell r="BT129">
            <v>-3822.9</v>
          </cell>
          <cell r="BY129">
            <v>3822.9</v>
          </cell>
        </row>
        <row r="130">
          <cell r="BT130">
            <v>-22.89</v>
          </cell>
          <cell r="BY130">
            <v>22.89</v>
          </cell>
        </row>
        <row r="131">
          <cell r="BT131">
            <v>-600</v>
          </cell>
          <cell r="BY131">
            <v>600</v>
          </cell>
        </row>
        <row r="132">
          <cell r="BT132">
            <v>-1200</v>
          </cell>
          <cell r="BY132">
            <v>1200</v>
          </cell>
        </row>
        <row r="133">
          <cell r="BT133">
            <v>-1000</v>
          </cell>
          <cell r="BY133">
            <v>1000</v>
          </cell>
        </row>
        <row r="134">
          <cell r="BT134">
            <v>-49671.56</v>
          </cell>
          <cell r="BY134">
            <v>49671.56</v>
          </cell>
        </row>
        <row r="135">
          <cell r="BT135">
            <v>5301.91</v>
          </cell>
          <cell r="BY135">
            <v>5301.91</v>
          </cell>
        </row>
        <row r="136">
          <cell r="BT136">
            <v>29.24</v>
          </cell>
          <cell r="BY136">
            <v>29.24</v>
          </cell>
        </row>
        <row r="137">
          <cell r="BT137">
            <v>208.17</v>
          </cell>
          <cell r="BY137">
            <v>208.17</v>
          </cell>
        </row>
        <row r="138">
          <cell r="BT138">
            <v>119.19</v>
          </cell>
          <cell r="BY138">
            <v>119.19</v>
          </cell>
        </row>
        <row r="139">
          <cell r="BT139">
            <v>658.71</v>
          </cell>
          <cell r="BY139">
            <v>658.71</v>
          </cell>
        </row>
        <row r="140">
          <cell r="BT140">
            <v>12513.68</v>
          </cell>
          <cell r="BY140">
            <v>12513.68</v>
          </cell>
        </row>
        <row r="141">
          <cell r="BT141">
            <v>7792.96</v>
          </cell>
          <cell r="BY141">
            <v>7792.96</v>
          </cell>
        </row>
        <row r="142">
          <cell r="BT142">
            <v>746.49</v>
          </cell>
          <cell r="BY142">
            <v>746.49</v>
          </cell>
        </row>
        <row r="143">
          <cell r="BT143">
            <v>3033.6</v>
          </cell>
          <cell r="BY143">
            <v>3033.6</v>
          </cell>
        </row>
        <row r="144">
          <cell r="BT144">
            <v>3074.58</v>
          </cell>
          <cell r="BY144">
            <v>3074.58</v>
          </cell>
        </row>
        <row r="145">
          <cell r="BT145">
            <v>2050.25</v>
          </cell>
          <cell r="BY145">
            <v>2050.25</v>
          </cell>
        </row>
        <row r="146">
          <cell r="BT146">
            <v>750</v>
          </cell>
          <cell r="BY146">
            <v>750</v>
          </cell>
        </row>
        <row r="147">
          <cell r="BT147">
            <v>77</v>
          </cell>
          <cell r="BY147">
            <v>77</v>
          </cell>
        </row>
        <row r="148">
          <cell r="BT148">
            <v>-0.6</v>
          </cell>
          <cell r="BY148">
            <v>0.6</v>
          </cell>
        </row>
        <row r="149">
          <cell r="BT149">
            <v>5100</v>
          </cell>
          <cell r="BY149">
            <v>5100</v>
          </cell>
        </row>
        <row r="150">
          <cell r="BT150">
            <v>1073.5</v>
          </cell>
          <cell r="BY150">
            <v>1073.5</v>
          </cell>
        </row>
        <row r="151">
          <cell r="BT151">
            <v>567.07000000000005</v>
          </cell>
          <cell r="BY151">
            <v>567.07000000000005</v>
          </cell>
        </row>
        <row r="152">
          <cell r="BT152">
            <v>-4598.9399999999996</v>
          </cell>
          <cell r="BY152">
            <v>4598.9399999999996</v>
          </cell>
        </row>
        <row r="153">
          <cell r="BT153">
            <v>4598.9399999999996</v>
          </cell>
          <cell r="BY153">
            <v>4598.9399999999996</v>
          </cell>
        </row>
        <row r="154">
          <cell r="BT154">
            <v>-4598.9399999999996</v>
          </cell>
          <cell r="BY154">
            <v>4598.9399999999996</v>
          </cell>
        </row>
        <row r="155">
          <cell r="BT155">
            <v>4598.9399999999996</v>
          </cell>
          <cell r="BY155">
            <v>4598.9399999999996</v>
          </cell>
        </row>
        <row r="156">
          <cell r="BT156">
            <v>4598.9399999999996</v>
          </cell>
          <cell r="BY156">
            <v>4598.9399999999996</v>
          </cell>
        </row>
        <row r="157">
          <cell r="BT157">
            <v>300</v>
          </cell>
          <cell r="BY157">
            <v>300</v>
          </cell>
        </row>
        <row r="158">
          <cell r="BT158">
            <v>30</v>
          </cell>
          <cell r="BY158">
            <v>30</v>
          </cell>
        </row>
        <row r="159">
          <cell r="BT159">
            <v>200</v>
          </cell>
          <cell r="BY159">
            <v>200</v>
          </cell>
        </row>
        <row r="160">
          <cell r="BT160">
            <v>240</v>
          </cell>
          <cell r="BY160">
            <v>240</v>
          </cell>
        </row>
        <row r="161">
          <cell r="BT161">
            <v>60</v>
          </cell>
          <cell r="BY161">
            <v>60</v>
          </cell>
        </row>
        <row r="162">
          <cell r="BT162">
            <v>50</v>
          </cell>
          <cell r="BY162">
            <v>50</v>
          </cell>
        </row>
        <row r="163">
          <cell r="BT163">
            <v>60</v>
          </cell>
          <cell r="BY163">
            <v>60</v>
          </cell>
        </row>
        <row r="164">
          <cell r="BT164">
            <v>151.5</v>
          </cell>
          <cell r="BY164">
            <v>151.5</v>
          </cell>
        </row>
        <row r="165">
          <cell r="BT165">
            <v>100</v>
          </cell>
          <cell r="BY165">
            <v>100</v>
          </cell>
        </row>
        <row r="166">
          <cell r="BT166">
            <v>21779.81</v>
          </cell>
          <cell r="BY166">
            <v>21779.81</v>
          </cell>
        </row>
        <row r="167">
          <cell r="BT167">
            <v>1234</v>
          </cell>
          <cell r="BY167">
            <v>1234</v>
          </cell>
        </row>
        <row r="168">
          <cell r="BT168">
            <v>228</v>
          </cell>
          <cell r="BY168">
            <v>228</v>
          </cell>
        </row>
        <row r="169">
          <cell r="BT169">
            <v>1971.46</v>
          </cell>
          <cell r="BY169">
            <v>1971.46</v>
          </cell>
        </row>
        <row r="170">
          <cell r="BT170">
            <v>632.89</v>
          </cell>
          <cell r="BY170">
            <v>632.89</v>
          </cell>
        </row>
        <row r="171">
          <cell r="BT171">
            <v>888.22</v>
          </cell>
          <cell r="BY171">
            <v>888.22</v>
          </cell>
        </row>
        <row r="172">
          <cell r="BT172">
            <v>1201.56</v>
          </cell>
          <cell r="BY172">
            <v>1201.56</v>
          </cell>
        </row>
        <row r="173">
          <cell r="BT173">
            <v>532.13</v>
          </cell>
          <cell r="BY173">
            <v>532.13</v>
          </cell>
        </row>
        <row r="174">
          <cell r="BT174">
            <v>17814.14</v>
          </cell>
          <cell r="BY174">
            <v>17814.14</v>
          </cell>
        </row>
        <row r="175">
          <cell r="BT175">
            <v>78.81</v>
          </cell>
          <cell r="BY175">
            <v>78.81</v>
          </cell>
        </row>
        <row r="176">
          <cell r="BT176">
            <v>8527.7800000000007</v>
          </cell>
          <cell r="BY176">
            <v>8527.7800000000007</v>
          </cell>
        </row>
        <row r="177">
          <cell r="BT177">
            <v>282.67</v>
          </cell>
          <cell r="BY177">
            <v>282.67</v>
          </cell>
        </row>
        <row r="178">
          <cell r="BT178">
            <v>96.67</v>
          </cell>
          <cell r="BY178">
            <v>96.67</v>
          </cell>
        </row>
        <row r="179">
          <cell r="BT179">
            <v>399.6</v>
          </cell>
          <cell r="BY179">
            <v>399.6</v>
          </cell>
        </row>
        <row r="180">
          <cell r="BT180">
            <v>3591.71</v>
          </cell>
          <cell r="BY180">
            <v>3591.71</v>
          </cell>
        </row>
        <row r="181">
          <cell r="BT181">
            <v>1758.95</v>
          </cell>
          <cell r="BY181">
            <v>1758.95</v>
          </cell>
        </row>
        <row r="182">
          <cell r="BT182">
            <v>1011.54</v>
          </cell>
          <cell r="BY182">
            <v>1011.54</v>
          </cell>
        </row>
        <row r="183">
          <cell r="BT183">
            <v>223.83</v>
          </cell>
          <cell r="BY183">
            <v>223.83</v>
          </cell>
        </row>
        <row r="184">
          <cell r="BT184">
            <v>235.26</v>
          </cell>
          <cell r="BY184">
            <v>235.26</v>
          </cell>
        </row>
        <row r="185">
          <cell r="BT185">
            <v>4992.53</v>
          </cell>
          <cell r="BY185">
            <v>4992.53</v>
          </cell>
        </row>
        <row r="186">
          <cell r="BT186">
            <v>205.76</v>
          </cell>
          <cell r="BY186">
            <v>205.76</v>
          </cell>
        </row>
        <row r="187">
          <cell r="BT187">
            <v>974.57</v>
          </cell>
          <cell r="BY187">
            <v>974.57</v>
          </cell>
        </row>
        <row r="188">
          <cell r="BT188">
            <v>-974.57</v>
          </cell>
          <cell r="BY188">
            <v>974.57</v>
          </cell>
        </row>
        <row r="189">
          <cell r="BT189">
            <v>629.88</v>
          </cell>
          <cell r="BY189">
            <v>629.88</v>
          </cell>
        </row>
        <row r="190">
          <cell r="BT190">
            <v>6849.66</v>
          </cell>
          <cell r="BY190">
            <v>6849.66</v>
          </cell>
        </row>
        <row r="191">
          <cell r="BT191">
            <v>1941.25</v>
          </cell>
          <cell r="BY191">
            <v>1941.25</v>
          </cell>
        </row>
        <row r="192">
          <cell r="BT192">
            <v>567.22</v>
          </cell>
          <cell r="BY192">
            <v>567.22</v>
          </cell>
        </row>
        <row r="193">
          <cell r="BT193">
            <v>19797.37</v>
          </cell>
          <cell r="BY193">
            <v>19797.37</v>
          </cell>
        </row>
        <row r="194">
          <cell r="BT194">
            <v>3417.34</v>
          </cell>
          <cell r="BY194">
            <v>3417.34</v>
          </cell>
        </row>
        <row r="195">
          <cell r="BT195">
            <v>3710.95</v>
          </cell>
          <cell r="BY195">
            <v>3710.95</v>
          </cell>
        </row>
        <row r="196">
          <cell r="BT196">
            <v>13095.09</v>
          </cell>
          <cell r="BY196">
            <v>13095.09</v>
          </cell>
        </row>
        <row r="197">
          <cell r="BT197">
            <v>81.38</v>
          </cell>
          <cell r="BY197">
            <v>81.38</v>
          </cell>
        </row>
        <row r="198">
          <cell r="BT198">
            <v>78.31</v>
          </cell>
          <cell r="BY198">
            <v>78.31</v>
          </cell>
        </row>
        <row r="199">
          <cell r="BT199">
            <v>75.209999999999994</v>
          </cell>
          <cell r="BY199">
            <v>75.209999999999994</v>
          </cell>
        </row>
        <row r="200">
          <cell r="BT200">
            <v>77.87</v>
          </cell>
          <cell r="BY200">
            <v>77.87</v>
          </cell>
        </row>
        <row r="201">
          <cell r="BT201">
            <v>222.81</v>
          </cell>
          <cell r="BY201">
            <v>222.81</v>
          </cell>
        </row>
        <row r="202">
          <cell r="BT202">
            <v>547.54</v>
          </cell>
          <cell r="BY202">
            <v>547.54</v>
          </cell>
        </row>
        <row r="203">
          <cell r="BT203">
            <v>-4840</v>
          </cell>
          <cell r="BY203">
            <v>4840</v>
          </cell>
        </row>
        <row r="204">
          <cell r="BT204">
            <v>4840</v>
          </cell>
          <cell r="BY204">
            <v>4840</v>
          </cell>
        </row>
        <row r="205">
          <cell r="BT205">
            <v>3427.97</v>
          </cell>
          <cell r="BY205">
            <v>3427.97</v>
          </cell>
        </row>
        <row r="206">
          <cell r="BT206">
            <v>4840</v>
          </cell>
          <cell r="BY206">
            <v>4840</v>
          </cell>
        </row>
        <row r="207">
          <cell r="BT207">
            <v>768</v>
          </cell>
          <cell r="BY207">
            <v>768</v>
          </cell>
        </row>
        <row r="208">
          <cell r="BT208">
            <v>350</v>
          </cell>
          <cell r="BY208">
            <v>350</v>
          </cell>
        </row>
        <row r="209">
          <cell r="BT209">
            <v>2885</v>
          </cell>
          <cell r="BY209">
            <v>2885</v>
          </cell>
        </row>
        <row r="210">
          <cell r="BT210">
            <v>16360</v>
          </cell>
          <cell r="BY210">
            <v>16360</v>
          </cell>
        </row>
        <row r="211">
          <cell r="BT211">
            <v>3500</v>
          </cell>
          <cell r="BY211">
            <v>3500</v>
          </cell>
        </row>
        <row r="212">
          <cell r="BT212">
            <v>1399.5</v>
          </cell>
          <cell r="BY212">
            <v>1399.5</v>
          </cell>
        </row>
        <row r="213">
          <cell r="BT213">
            <v>800</v>
          </cell>
          <cell r="BY213">
            <v>800</v>
          </cell>
        </row>
        <row r="214">
          <cell r="BT214">
            <v>1000</v>
          </cell>
          <cell r="BY214">
            <v>1000</v>
          </cell>
        </row>
        <row r="215">
          <cell r="BT215">
            <v>2739</v>
          </cell>
          <cell r="BY215">
            <v>2739</v>
          </cell>
        </row>
        <row r="216">
          <cell r="BT216">
            <v>448.41</v>
          </cell>
          <cell r="BY216">
            <v>448.41</v>
          </cell>
        </row>
        <row r="217">
          <cell r="BT217">
            <v>13500</v>
          </cell>
          <cell r="BY217">
            <v>13500</v>
          </cell>
        </row>
        <row r="218">
          <cell r="BT218">
            <v>1400</v>
          </cell>
          <cell r="BY218">
            <v>1400</v>
          </cell>
        </row>
        <row r="219">
          <cell r="BT219">
            <v>296.37</v>
          </cell>
          <cell r="BY219">
            <v>296.37</v>
          </cell>
        </row>
        <row r="220">
          <cell r="BT220">
            <v>500</v>
          </cell>
          <cell r="BY220">
            <v>500</v>
          </cell>
        </row>
        <row r="221">
          <cell r="BT221">
            <v>1563.64</v>
          </cell>
          <cell r="BY221">
            <v>1563.64</v>
          </cell>
        </row>
        <row r="222">
          <cell r="BT222">
            <v>2222.9</v>
          </cell>
          <cell r="BY222">
            <v>2222.9</v>
          </cell>
        </row>
        <row r="223">
          <cell r="BT223">
            <v>522.13</v>
          </cell>
          <cell r="BY223">
            <v>523.78</v>
          </cell>
        </row>
        <row r="224">
          <cell r="BT224">
            <v>7023.59</v>
          </cell>
          <cell r="BY224">
            <v>7023.59</v>
          </cell>
        </row>
        <row r="225">
          <cell r="BT225">
            <v>817</v>
          </cell>
          <cell r="BY225">
            <v>817</v>
          </cell>
        </row>
        <row r="226">
          <cell r="BT226">
            <v>6003.67</v>
          </cell>
          <cell r="BY226">
            <v>6003.67</v>
          </cell>
        </row>
        <row r="227">
          <cell r="BT227">
            <v>3.04</v>
          </cell>
          <cell r="BY227">
            <v>3.02</v>
          </cell>
        </row>
        <row r="228">
          <cell r="BT228">
            <v>-13095.09</v>
          </cell>
          <cell r="BY228">
            <v>13095.09</v>
          </cell>
        </row>
        <row r="229">
          <cell r="BT229">
            <v>-228</v>
          </cell>
          <cell r="BY229">
            <v>228</v>
          </cell>
        </row>
        <row r="230">
          <cell r="BT230">
            <v>759.19</v>
          </cell>
          <cell r="BY230">
            <v>759.19</v>
          </cell>
        </row>
        <row r="231">
          <cell r="BT231">
            <v>2290.23</v>
          </cell>
          <cell r="BY231">
            <v>2290.23</v>
          </cell>
        </row>
        <row r="232">
          <cell r="BT232">
            <v>2057.8000000000002</v>
          </cell>
          <cell r="BY232">
            <v>2057.8000000000002</v>
          </cell>
        </row>
        <row r="233">
          <cell r="BT233">
            <v>15952.15</v>
          </cell>
          <cell r="BY233">
            <v>15952.15</v>
          </cell>
        </row>
        <row r="234">
          <cell r="BT234">
            <v>370.46</v>
          </cell>
          <cell r="BY234">
            <v>370.46</v>
          </cell>
        </row>
        <row r="235">
          <cell r="BT235">
            <v>83.82</v>
          </cell>
          <cell r="BY235">
            <v>83.82</v>
          </cell>
        </row>
        <row r="236">
          <cell r="BT236">
            <v>477.76</v>
          </cell>
          <cell r="BY236">
            <v>477.76</v>
          </cell>
        </row>
        <row r="237">
          <cell r="BT237">
            <v>274.08999999999997</v>
          </cell>
          <cell r="BY237">
            <v>274.08999999999997</v>
          </cell>
        </row>
        <row r="238">
          <cell r="BT238">
            <v>29.01</v>
          </cell>
          <cell r="BY238">
            <v>29.01</v>
          </cell>
        </row>
        <row r="239">
          <cell r="BT239">
            <v>1152.99</v>
          </cell>
          <cell r="BY239">
            <v>1152.99</v>
          </cell>
        </row>
        <row r="240">
          <cell r="BT240">
            <v>341.42</v>
          </cell>
          <cell r="BY240">
            <v>341.42</v>
          </cell>
        </row>
        <row r="241">
          <cell r="BT241">
            <v>2006.77</v>
          </cell>
          <cell r="BY241">
            <v>2006.77</v>
          </cell>
        </row>
        <row r="242">
          <cell r="BT242">
            <v>746.93</v>
          </cell>
          <cell r="BY242">
            <v>746.93</v>
          </cell>
        </row>
        <row r="243">
          <cell r="BT243">
            <v>591.83000000000004</v>
          </cell>
          <cell r="BY243">
            <v>591.83000000000004</v>
          </cell>
        </row>
        <row r="244">
          <cell r="BT244">
            <v>48.36</v>
          </cell>
          <cell r="BY244">
            <v>48.36</v>
          </cell>
        </row>
        <row r="245">
          <cell r="BT245">
            <v>507.38</v>
          </cell>
          <cell r="BY245">
            <v>507.38</v>
          </cell>
        </row>
        <row r="246">
          <cell r="BT246">
            <v>-2607.7800000000002</v>
          </cell>
          <cell r="BY246">
            <v>2607.7800000000002</v>
          </cell>
        </row>
        <row r="247">
          <cell r="BT247">
            <v>2607.7800000000002</v>
          </cell>
          <cell r="BY247">
            <v>2607.7800000000002</v>
          </cell>
        </row>
        <row r="248">
          <cell r="BT248">
            <v>59.89</v>
          </cell>
          <cell r="BY248">
            <v>59.89</v>
          </cell>
        </row>
        <row r="249">
          <cell r="BT249">
            <v>23.43</v>
          </cell>
          <cell r="BY249">
            <v>23.43</v>
          </cell>
        </row>
        <row r="250">
          <cell r="BT250">
            <v>6.04</v>
          </cell>
          <cell r="BY250">
            <v>6.04</v>
          </cell>
        </row>
        <row r="251">
          <cell r="BT251">
            <v>5291.01</v>
          </cell>
          <cell r="BY251">
            <v>5291.01</v>
          </cell>
        </row>
        <row r="252">
          <cell r="BT252">
            <v>680.13</v>
          </cell>
          <cell r="BY252">
            <v>680.13</v>
          </cell>
        </row>
        <row r="253">
          <cell r="BT253">
            <v>320.64999999999998</v>
          </cell>
          <cell r="BY253">
            <v>320.64999999999998</v>
          </cell>
        </row>
        <row r="254">
          <cell r="BT254">
            <v>222.44</v>
          </cell>
          <cell r="BY254">
            <v>222.44</v>
          </cell>
        </row>
        <row r="255">
          <cell r="BT255">
            <v>380.73</v>
          </cell>
          <cell r="BY255">
            <v>380.73</v>
          </cell>
        </row>
        <row r="256">
          <cell r="BT256">
            <v>3571.28</v>
          </cell>
          <cell r="BY256">
            <v>3571.28</v>
          </cell>
        </row>
        <row r="257">
          <cell r="BT257">
            <v>9058.5</v>
          </cell>
          <cell r="BY257">
            <v>9058.5</v>
          </cell>
        </row>
        <row r="258">
          <cell r="BT258">
            <v>1040.29</v>
          </cell>
          <cell r="BY258">
            <v>1040.29</v>
          </cell>
        </row>
        <row r="259">
          <cell r="BT259">
            <v>198.82</v>
          </cell>
          <cell r="BY259">
            <v>198.82</v>
          </cell>
        </row>
        <row r="260">
          <cell r="BT260">
            <v>1130.58</v>
          </cell>
          <cell r="BY260">
            <v>1130.58</v>
          </cell>
        </row>
        <row r="261">
          <cell r="BT261">
            <v>918</v>
          </cell>
          <cell r="BY261">
            <v>918</v>
          </cell>
        </row>
        <row r="262">
          <cell r="BT262">
            <v>201.69</v>
          </cell>
          <cell r="BY262">
            <v>201.69</v>
          </cell>
        </row>
        <row r="263">
          <cell r="BT263">
            <v>7489.9</v>
          </cell>
          <cell r="BY263">
            <v>7489.9</v>
          </cell>
        </row>
        <row r="264">
          <cell r="BT264">
            <v>1560</v>
          </cell>
          <cell r="BY264">
            <v>1560</v>
          </cell>
        </row>
        <row r="265">
          <cell r="BT265">
            <v>348.09</v>
          </cell>
          <cell r="BY265">
            <v>348.09</v>
          </cell>
        </row>
        <row r="266">
          <cell r="BT266">
            <v>150.78</v>
          </cell>
          <cell r="BY266">
            <v>150.78</v>
          </cell>
        </row>
        <row r="267">
          <cell r="BT267">
            <v>1982.88</v>
          </cell>
          <cell r="BY267">
            <v>1982.88</v>
          </cell>
        </row>
        <row r="268">
          <cell r="BT268">
            <v>10.039999999999999</v>
          </cell>
          <cell r="BY268">
            <v>10.039999999999999</v>
          </cell>
        </row>
        <row r="269">
          <cell r="BT269">
            <v>149.71</v>
          </cell>
          <cell r="BY269">
            <v>149.71</v>
          </cell>
        </row>
        <row r="270">
          <cell r="BT270">
            <v>232.52</v>
          </cell>
          <cell r="BY270">
            <v>232.52</v>
          </cell>
        </row>
        <row r="271">
          <cell r="BT271">
            <v>-6007.74</v>
          </cell>
          <cell r="BY271">
            <v>6007.74</v>
          </cell>
        </row>
        <row r="272">
          <cell r="BT272">
            <v>-166.83</v>
          </cell>
          <cell r="BY272">
            <v>166.83</v>
          </cell>
        </row>
        <row r="273">
          <cell r="BT273">
            <v>-285.3</v>
          </cell>
          <cell r="BY273">
            <v>285.3</v>
          </cell>
        </row>
        <row r="274">
          <cell r="BT274">
            <v>6007.74</v>
          </cell>
          <cell r="BY274">
            <v>6007.74</v>
          </cell>
        </row>
        <row r="275">
          <cell r="BT275">
            <v>166.83</v>
          </cell>
          <cell r="BY275">
            <v>166.83</v>
          </cell>
        </row>
        <row r="276">
          <cell r="BT276">
            <v>285.3</v>
          </cell>
          <cell r="BY276">
            <v>285.3</v>
          </cell>
        </row>
        <row r="277">
          <cell r="BT277">
            <v>250</v>
          </cell>
          <cell r="BY277">
            <v>250</v>
          </cell>
        </row>
        <row r="278">
          <cell r="BT278">
            <v>5704.8</v>
          </cell>
          <cell r="BY278">
            <v>5704.8</v>
          </cell>
        </row>
        <row r="279">
          <cell r="BT279">
            <v>316.60000000000002</v>
          </cell>
          <cell r="BY279">
            <v>316.60000000000002</v>
          </cell>
        </row>
        <row r="280">
          <cell r="BT280">
            <v>360.02</v>
          </cell>
          <cell r="BY280">
            <v>360.01</v>
          </cell>
        </row>
        <row r="281">
          <cell r="BT281">
            <v>6007.74</v>
          </cell>
          <cell r="BY281">
            <v>6007.74</v>
          </cell>
        </row>
        <row r="282">
          <cell r="BT282">
            <v>166.83</v>
          </cell>
          <cell r="BY282">
            <v>166.83</v>
          </cell>
        </row>
        <row r="283">
          <cell r="BT283">
            <v>285.3</v>
          </cell>
          <cell r="BY283">
            <v>285.3</v>
          </cell>
        </row>
        <row r="284">
          <cell r="BT284">
            <v>158.1</v>
          </cell>
          <cell r="BY284">
            <v>158.1</v>
          </cell>
        </row>
        <row r="285">
          <cell r="BT285">
            <v>40.99</v>
          </cell>
          <cell r="BY285">
            <v>40.99</v>
          </cell>
        </row>
        <row r="286">
          <cell r="BT286">
            <v>4548.57</v>
          </cell>
          <cell r="BY286">
            <v>4548.57</v>
          </cell>
        </row>
        <row r="287">
          <cell r="BT287">
            <v>17265.39</v>
          </cell>
          <cell r="BY287">
            <v>17265.39</v>
          </cell>
        </row>
        <row r="288">
          <cell r="BT288">
            <v>500</v>
          </cell>
          <cell r="BY288">
            <v>500</v>
          </cell>
        </row>
        <row r="289">
          <cell r="BT289">
            <v>774.43</v>
          </cell>
          <cell r="BY289">
            <v>774.44</v>
          </cell>
        </row>
        <row r="290">
          <cell r="BT290">
            <v>2746.2</v>
          </cell>
          <cell r="BY290">
            <v>2746.2</v>
          </cell>
        </row>
        <row r="291">
          <cell r="BT291">
            <v>2746.19</v>
          </cell>
          <cell r="BY291">
            <v>2746.19</v>
          </cell>
        </row>
        <row r="292">
          <cell r="BT292">
            <v>10000</v>
          </cell>
          <cell r="BY292">
            <v>10000</v>
          </cell>
        </row>
        <row r="293">
          <cell r="BT293">
            <v>310.08</v>
          </cell>
          <cell r="BY293">
            <v>310.08</v>
          </cell>
        </row>
        <row r="294">
          <cell r="BT294">
            <v>164</v>
          </cell>
          <cell r="BY294">
            <v>164</v>
          </cell>
        </row>
        <row r="295">
          <cell r="BT295">
            <v>181.82</v>
          </cell>
          <cell r="BY295">
            <v>181.82</v>
          </cell>
        </row>
        <row r="296">
          <cell r="BT296">
            <v>1635.52</v>
          </cell>
          <cell r="BY296">
            <v>1635.52</v>
          </cell>
        </row>
        <row r="297">
          <cell r="BT297">
            <v>1065.3900000000001</v>
          </cell>
          <cell r="BY297">
            <v>1065.3900000000001</v>
          </cell>
        </row>
        <row r="298">
          <cell r="BT298">
            <v>630.26</v>
          </cell>
          <cell r="BY298">
            <v>632.24</v>
          </cell>
        </row>
        <row r="299">
          <cell r="BT299">
            <v>349.12</v>
          </cell>
          <cell r="BY299">
            <v>349.12</v>
          </cell>
        </row>
        <row r="300">
          <cell r="BT300">
            <v>-9058.5</v>
          </cell>
          <cell r="BY300">
            <v>9058.5</v>
          </cell>
        </row>
        <row r="301">
          <cell r="BT301">
            <v>2956.85</v>
          </cell>
          <cell r="BY301">
            <v>2956.85</v>
          </cell>
        </row>
        <row r="302">
          <cell r="BT302">
            <v>2072.31</v>
          </cell>
          <cell r="BY302">
            <v>2072.31</v>
          </cell>
        </row>
        <row r="303">
          <cell r="BT303">
            <v>1467.64</v>
          </cell>
          <cell r="BY303">
            <v>1467.64</v>
          </cell>
        </row>
        <row r="304">
          <cell r="BT304">
            <v>634.97</v>
          </cell>
          <cell r="BY304">
            <v>634.97</v>
          </cell>
        </row>
        <row r="305">
          <cell r="BT305">
            <v>817.92</v>
          </cell>
          <cell r="BY305">
            <v>817.92</v>
          </cell>
        </row>
        <row r="306">
          <cell r="BT306">
            <v>328.3</v>
          </cell>
          <cell r="BY306">
            <v>328.3</v>
          </cell>
        </row>
        <row r="307">
          <cell r="BT307">
            <v>-5662.5</v>
          </cell>
          <cell r="BY307">
            <v>5662.5</v>
          </cell>
        </row>
        <row r="308">
          <cell r="BT308">
            <v>5662.5</v>
          </cell>
          <cell r="BY308">
            <v>5662.5</v>
          </cell>
        </row>
        <row r="309">
          <cell r="BT309">
            <v>-5662.5</v>
          </cell>
          <cell r="BY309">
            <v>5662.5</v>
          </cell>
        </row>
        <row r="310">
          <cell r="BT310">
            <v>5662.5</v>
          </cell>
          <cell r="BY310">
            <v>5662.5</v>
          </cell>
        </row>
        <row r="311">
          <cell r="BT311">
            <v>5662.5</v>
          </cell>
          <cell r="BY311">
            <v>5662.5</v>
          </cell>
        </row>
        <row r="312">
          <cell r="BT312">
            <v>656.76</v>
          </cell>
          <cell r="BY312">
            <v>656.76</v>
          </cell>
        </row>
        <row r="313">
          <cell r="BT313">
            <v>14.32</v>
          </cell>
          <cell r="BY313">
            <v>14.32</v>
          </cell>
        </row>
        <row r="314">
          <cell r="BT314">
            <v>1453.65</v>
          </cell>
          <cell r="BY314">
            <v>1453.65</v>
          </cell>
        </row>
        <row r="315">
          <cell r="BT315">
            <v>3040.91</v>
          </cell>
          <cell r="BY315">
            <v>3040.91</v>
          </cell>
        </row>
        <row r="316">
          <cell r="BT316">
            <v>1834.36</v>
          </cell>
          <cell r="BY316">
            <v>1834.36</v>
          </cell>
        </row>
        <row r="317">
          <cell r="BT317">
            <v>7757.63</v>
          </cell>
          <cell r="BY317">
            <v>7757.63</v>
          </cell>
        </row>
        <row r="318">
          <cell r="BT318">
            <v>128.81</v>
          </cell>
          <cell r="BY318">
            <v>128.81</v>
          </cell>
        </row>
        <row r="319">
          <cell r="BT319">
            <v>474.67</v>
          </cell>
          <cell r="BY319">
            <v>474.67</v>
          </cell>
        </row>
        <row r="320">
          <cell r="BT320">
            <v>30.39</v>
          </cell>
          <cell r="BY320">
            <v>30.39</v>
          </cell>
        </row>
        <row r="321">
          <cell r="BT321">
            <v>321.33</v>
          </cell>
          <cell r="BY321">
            <v>321.33</v>
          </cell>
        </row>
        <row r="322">
          <cell r="BT322">
            <v>31.38</v>
          </cell>
          <cell r="BY322">
            <v>31.38</v>
          </cell>
        </row>
        <row r="323">
          <cell r="BT323">
            <v>64.41</v>
          </cell>
          <cell r="BY323">
            <v>64.41</v>
          </cell>
        </row>
        <row r="324">
          <cell r="BT324">
            <v>-3437.24</v>
          </cell>
          <cell r="BY324">
            <v>3437.24</v>
          </cell>
        </row>
        <row r="325">
          <cell r="BT325">
            <v>3437.24</v>
          </cell>
          <cell r="BY325">
            <v>3437.24</v>
          </cell>
        </row>
        <row r="326">
          <cell r="BT326">
            <v>2997.86</v>
          </cell>
          <cell r="BY326">
            <v>2997.86</v>
          </cell>
        </row>
        <row r="327">
          <cell r="BT327">
            <v>3437.24</v>
          </cell>
          <cell r="BY327">
            <v>3437.24</v>
          </cell>
        </row>
        <row r="328">
          <cell r="BT328">
            <v>250</v>
          </cell>
          <cell r="BY328">
            <v>250</v>
          </cell>
        </row>
        <row r="329">
          <cell r="BT329">
            <v>500</v>
          </cell>
          <cell r="BY329">
            <v>500</v>
          </cell>
        </row>
        <row r="330">
          <cell r="BT330">
            <v>1849.72</v>
          </cell>
          <cell r="BY330">
            <v>1849.72</v>
          </cell>
        </row>
        <row r="331">
          <cell r="BT331">
            <v>300</v>
          </cell>
          <cell r="BY331">
            <v>300</v>
          </cell>
        </row>
        <row r="332">
          <cell r="BT332">
            <v>1007.68</v>
          </cell>
          <cell r="BY332">
            <v>1007.68</v>
          </cell>
        </row>
        <row r="333">
          <cell r="BT333">
            <v>5615.19</v>
          </cell>
          <cell r="BY333">
            <v>5615.19</v>
          </cell>
        </row>
        <row r="334">
          <cell r="BT334">
            <v>768.86</v>
          </cell>
          <cell r="BY334">
            <v>768.86</v>
          </cell>
        </row>
        <row r="335">
          <cell r="BT335">
            <v>25</v>
          </cell>
          <cell r="BY335">
            <v>25</v>
          </cell>
        </row>
        <row r="336">
          <cell r="BT336">
            <v>3870</v>
          </cell>
          <cell r="BY336">
            <v>3870</v>
          </cell>
        </row>
        <row r="337">
          <cell r="BT337">
            <v>1603.05</v>
          </cell>
          <cell r="BY337">
            <v>1603.05</v>
          </cell>
        </row>
        <row r="338">
          <cell r="BT338">
            <v>1300</v>
          </cell>
          <cell r="BY338">
            <v>1300</v>
          </cell>
        </row>
        <row r="339">
          <cell r="BT339">
            <v>213.39</v>
          </cell>
          <cell r="BY339">
            <v>213.4</v>
          </cell>
        </row>
        <row r="340">
          <cell r="BT340">
            <v>181.82</v>
          </cell>
          <cell r="BY340">
            <v>181.82</v>
          </cell>
        </row>
        <row r="341">
          <cell r="BT341">
            <v>593.04999999999995</v>
          </cell>
          <cell r="BY341">
            <v>593.04999999999995</v>
          </cell>
        </row>
        <row r="342">
          <cell r="BT342">
            <v>1651.53</v>
          </cell>
          <cell r="BY342">
            <v>1651.53</v>
          </cell>
        </row>
        <row r="343">
          <cell r="BT343">
            <v>-7757.63</v>
          </cell>
          <cell r="BY343">
            <v>7757.63</v>
          </cell>
        </row>
        <row r="344">
          <cell r="BT344">
            <v>2304.38</v>
          </cell>
          <cell r="BY344">
            <v>2304.38</v>
          </cell>
        </row>
        <row r="345">
          <cell r="BT345">
            <v>1413.7</v>
          </cell>
          <cell r="BY345">
            <v>1413.7</v>
          </cell>
        </row>
        <row r="346">
          <cell r="BT346">
            <v>844</v>
          </cell>
          <cell r="BY346">
            <v>844</v>
          </cell>
        </row>
        <row r="347">
          <cell r="BT347">
            <v>2724.72</v>
          </cell>
          <cell r="BY347">
            <v>2724.72</v>
          </cell>
        </row>
        <row r="348">
          <cell r="BT348">
            <v>238.77</v>
          </cell>
          <cell r="BY348">
            <v>238.77</v>
          </cell>
        </row>
        <row r="349">
          <cell r="BT349">
            <v>-2681.77</v>
          </cell>
          <cell r="BY349">
            <v>2681.77</v>
          </cell>
        </row>
        <row r="350">
          <cell r="BT350">
            <v>2681.77</v>
          </cell>
          <cell r="BY350">
            <v>2681.77</v>
          </cell>
        </row>
        <row r="351">
          <cell r="BT351">
            <v>-2681.77</v>
          </cell>
          <cell r="BY351">
            <v>2681.77</v>
          </cell>
        </row>
        <row r="352">
          <cell r="BT352">
            <v>2681.77</v>
          </cell>
          <cell r="BY352">
            <v>2681.77</v>
          </cell>
        </row>
        <row r="353">
          <cell r="BT353">
            <v>2681.77</v>
          </cell>
          <cell r="BY353">
            <v>2681.77</v>
          </cell>
        </row>
        <row r="354">
          <cell r="BT354">
            <v>360</v>
          </cell>
          <cell r="BY354">
            <v>360</v>
          </cell>
        </row>
        <row r="355">
          <cell r="BT355">
            <v>7353.34</v>
          </cell>
          <cell r="BY355">
            <v>7353.34</v>
          </cell>
        </row>
        <row r="356">
          <cell r="BT356">
            <v>5401.65</v>
          </cell>
          <cell r="BY356">
            <v>5401.65</v>
          </cell>
        </row>
        <row r="357">
          <cell r="BT357">
            <v>3520</v>
          </cell>
          <cell r="BY357">
            <v>3520</v>
          </cell>
        </row>
        <row r="358">
          <cell r="BT358">
            <v>217.77</v>
          </cell>
          <cell r="BY358">
            <v>217.77</v>
          </cell>
        </row>
        <row r="359">
          <cell r="BT359">
            <v>2958.78</v>
          </cell>
          <cell r="BY359">
            <v>2958.78</v>
          </cell>
        </row>
        <row r="360">
          <cell r="BT360">
            <v>125.09</v>
          </cell>
          <cell r="BY360">
            <v>125.09</v>
          </cell>
        </row>
        <row r="361">
          <cell r="BT361">
            <v>635.29</v>
          </cell>
          <cell r="BY361">
            <v>635.29</v>
          </cell>
        </row>
        <row r="362">
          <cell r="BT362">
            <v>974.57</v>
          </cell>
          <cell r="BY362">
            <v>974.57</v>
          </cell>
        </row>
        <row r="363">
          <cell r="BT363">
            <v>3839.02</v>
          </cell>
          <cell r="BY363">
            <v>3839.02</v>
          </cell>
        </row>
        <row r="364">
          <cell r="BT364">
            <v>2550.5300000000002</v>
          </cell>
          <cell r="BY364">
            <v>2550.5300000000002</v>
          </cell>
        </row>
        <row r="365">
          <cell r="BT365">
            <v>402.09</v>
          </cell>
          <cell r="BY365">
            <v>402.09</v>
          </cell>
        </row>
        <row r="366">
          <cell r="BT366">
            <v>80.31</v>
          </cell>
          <cell r="BY366">
            <v>80.31</v>
          </cell>
        </row>
        <row r="367">
          <cell r="BT367">
            <v>190.62</v>
          </cell>
          <cell r="BY367">
            <v>190.62</v>
          </cell>
        </row>
        <row r="368">
          <cell r="BT368">
            <v>132.31</v>
          </cell>
          <cell r="BY368">
            <v>132.31</v>
          </cell>
        </row>
        <row r="369">
          <cell r="BT369">
            <v>4753.34</v>
          </cell>
          <cell r="BY369">
            <v>4753.34</v>
          </cell>
        </row>
        <row r="370">
          <cell r="BT370">
            <v>4318.18</v>
          </cell>
          <cell r="BY370">
            <v>4318.18</v>
          </cell>
        </row>
        <row r="371">
          <cell r="BT371">
            <v>550</v>
          </cell>
          <cell r="BY371">
            <v>550</v>
          </cell>
        </row>
        <row r="372">
          <cell r="BT372">
            <v>3200</v>
          </cell>
          <cell r="BY372">
            <v>3200</v>
          </cell>
        </row>
        <row r="373">
          <cell r="BT373">
            <v>500</v>
          </cell>
          <cell r="BY373">
            <v>500</v>
          </cell>
        </row>
        <row r="374">
          <cell r="BT374">
            <v>3609.09</v>
          </cell>
          <cell r="BY374">
            <v>3609.09</v>
          </cell>
        </row>
        <row r="375">
          <cell r="BT375">
            <v>3500</v>
          </cell>
          <cell r="BY375">
            <v>3500</v>
          </cell>
        </row>
        <row r="376">
          <cell r="BT376">
            <v>1038.83</v>
          </cell>
          <cell r="BY376">
            <v>1038.83</v>
          </cell>
        </row>
        <row r="377">
          <cell r="BT377">
            <v>22030.3</v>
          </cell>
          <cell r="BY377">
            <v>22030.3</v>
          </cell>
        </row>
        <row r="378">
          <cell r="BT378">
            <v>2997.32</v>
          </cell>
          <cell r="BY378">
            <v>2997.32</v>
          </cell>
        </row>
        <row r="379">
          <cell r="BT379">
            <v>445</v>
          </cell>
          <cell r="BY379">
            <v>445</v>
          </cell>
        </row>
        <row r="380">
          <cell r="BT380">
            <v>12500</v>
          </cell>
          <cell r="BY380">
            <v>12500</v>
          </cell>
        </row>
        <row r="381">
          <cell r="BT381">
            <v>219.99</v>
          </cell>
          <cell r="BY381">
            <v>219.99</v>
          </cell>
        </row>
        <row r="382">
          <cell r="BT382">
            <v>500</v>
          </cell>
          <cell r="BY382">
            <v>500</v>
          </cell>
        </row>
        <row r="383">
          <cell r="BT383">
            <v>2002.75</v>
          </cell>
          <cell r="BY383">
            <v>2002.75</v>
          </cell>
        </row>
        <row r="384">
          <cell r="BT384">
            <v>8499.4599999999991</v>
          </cell>
          <cell r="BY384">
            <v>8499.4599999999991</v>
          </cell>
        </row>
        <row r="385">
          <cell r="BT385">
            <v>414.01</v>
          </cell>
          <cell r="BY385">
            <v>415.31</v>
          </cell>
        </row>
        <row r="386">
          <cell r="BT386">
            <v>-3520</v>
          </cell>
          <cell r="BY386">
            <v>3520</v>
          </cell>
        </row>
        <row r="387">
          <cell r="BT387">
            <v>3593.5</v>
          </cell>
          <cell r="BY387">
            <v>3593.5</v>
          </cell>
        </row>
        <row r="388">
          <cell r="BT388">
            <v>6260</v>
          </cell>
          <cell r="BY388">
            <v>6260</v>
          </cell>
        </row>
        <row r="389">
          <cell r="BT389">
            <v>4537.5</v>
          </cell>
          <cell r="BY389">
            <v>4537.5</v>
          </cell>
        </row>
        <row r="390">
          <cell r="BT390">
            <v>4738.37</v>
          </cell>
          <cell r="BY390">
            <v>4738.37</v>
          </cell>
        </row>
        <row r="391">
          <cell r="BT391">
            <v>14431.6</v>
          </cell>
          <cell r="BY391">
            <v>14431.6</v>
          </cell>
        </row>
        <row r="392">
          <cell r="BT392">
            <v>8379.9</v>
          </cell>
          <cell r="BY392">
            <v>8379.9</v>
          </cell>
        </row>
        <row r="393">
          <cell r="BT393">
            <v>5675.02</v>
          </cell>
          <cell r="BY393">
            <v>5675.02</v>
          </cell>
        </row>
        <row r="394">
          <cell r="BT394">
            <v>5383.22</v>
          </cell>
          <cell r="BY394">
            <v>5383.22</v>
          </cell>
        </row>
        <row r="395">
          <cell r="BT395">
            <v>106.03</v>
          </cell>
          <cell r="BY395">
            <v>106.03</v>
          </cell>
        </row>
        <row r="396">
          <cell r="BT396">
            <v>5462.87</v>
          </cell>
          <cell r="BY396">
            <v>5462.87</v>
          </cell>
        </row>
        <row r="397">
          <cell r="BT397">
            <v>90</v>
          </cell>
          <cell r="BY397">
            <v>90</v>
          </cell>
        </row>
        <row r="398">
          <cell r="BT398">
            <v>5729</v>
          </cell>
          <cell r="BY398">
            <v>5729</v>
          </cell>
        </row>
        <row r="399">
          <cell r="BT399">
            <v>-5729</v>
          </cell>
          <cell r="BY399">
            <v>5729</v>
          </cell>
        </row>
        <row r="400">
          <cell r="BT400">
            <v>-34054.54</v>
          </cell>
          <cell r="BY400">
            <v>34054.54</v>
          </cell>
        </row>
        <row r="401">
          <cell r="BT401">
            <v>34054.54</v>
          </cell>
          <cell r="BY401">
            <v>34054.54</v>
          </cell>
        </row>
        <row r="402">
          <cell r="BT402">
            <v>-34054.54</v>
          </cell>
          <cell r="BY402">
            <v>34054.54</v>
          </cell>
        </row>
        <row r="403">
          <cell r="BT403">
            <v>34054.54</v>
          </cell>
          <cell r="BY403">
            <v>34054.54</v>
          </cell>
        </row>
        <row r="404">
          <cell r="BT404">
            <v>34054.54</v>
          </cell>
          <cell r="BY404">
            <v>34054.54</v>
          </cell>
        </row>
        <row r="405">
          <cell r="BT405">
            <v>250</v>
          </cell>
          <cell r="BY405">
            <v>250</v>
          </cell>
        </row>
        <row r="406">
          <cell r="BT406">
            <v>400</v>
          </cell>
          <cell r="BY406">
            <v>400</v>
          </cell>
        </row>
        <row r="407">
          <cell r="BT407">
            <v>40</v>
          </cell>
          <cell r="BY407">
            <v>40</v>
          </cell>
        </row>
        <row r="408">
          <cell r="BT408">
            <v>500</v>
          </cell>
          <cell r="BY408">
            <v>500</v>
          </cell>
        </row>
        <row r="409">
          <cell r="BT409">
            <v>166.05</v>
          </cell>
          <cell r="BY409">
            <v>166.05</v>
          </cell>
        </row>
        <row r="410">
          <cell r="BT410">
            <v>100</v>
          </cell>
          <cell r="BY410">
            <v>100</v>
          </cell>
        </row>
        <row r="411">
          <cell r="BT411">
            <v>36.090000000000003</v>
          </cell>
          <cell r="BY411">
            <v>36.090000000000003</v>
          </cell>
        </row>
        <row r="412">
          <cell r="BT412">
            <v>4000</v>
          </cell>
          <cell r="BY412">
            <v>4000</v>
          </cell>
        </row>
        <row r="413">
          <cell r="BT413">
            <v>1769</v>
          </cell>
          <cell r="BY413">
            <v>1769</v>
          </cell>
        </row>
        <row r="414">
          <cell r="BT414">
            <v>328.3</v>
          </cell>
          <cell r="BY414">
            <v>328.3</v>
          </cell>
        </row>
        <row r="415">
          <cell r="BT415">
            <v>189.18</v>
          </cell>
          <cell r="BY415">
            <v>189.18</v>
          </cell>
        </row>
        <row r="416">
          <cell r="BT416">
            <v>1031.92</v>
          </cell>
          <cell r="BY416">
            <v>1031.92</v>
          </cell>
        </row>
        <row r="417">
          <cell r="BT417">
            <v>108.37</v>
          </cell>
          <cell r="BY417">
            <v>108.37</v>
          </cell>
        </row>
        <row r="418">
          <cell r="BT418">
            <v>0.88</v>
          </cell>
          <cell r="BY418">
            <v>0.88</v>
          </cell>
        </row>
        <row r="419">
          <cell r="BT419">
            <v>250</v>
          </cell>
          <cell r="BY419">
            <v>250</v>
          </cell>
        </row>
        <row r="420">
          <cell r="BT420">
            <v>65</v>
          </cell>
          <cell r="BY420">
            <v>65</v>
          </cell>
        </row>
        <row r="421">
          <cell r="BT421">
            <v>385.54</v>
          </cell>
          <cell r="BY421">
            <v>385.54</v>
          </cell>
        </row>
        <row r="422">
          <cell r="BT422">
            <v>50.67</v>
          </cell>
          <cell r="BY422">
            <v>50.67</v>
          </cell>
        </row>
        <row r="423">
          <cell r="BT423">
            <v>301.04000000000002</v>
          </cell>
          <cell r="BY423">
            <v>301.04000000000002</v>
          </cell>
        </row>
        <row r="424">
          <cell r="BT424">
            <v>763.71</v>
          </cell>
          <cell r="BY424">
            <v>763.71</v>
          </cell>
        </row>
        <row r="425">
          <cell r="BT425">
            <v>514.96</v>
          </cell>
          <cell r="BY425">
            <v>514.96</v>
          </cell>
        </row>
        <row r="426">
          <cell r="BT426">
            <v>1968.5</v>
          </cell>
          <cell r="BY426">
            <v>1968.5</v>
          </cell>
        </row>
        <row r="427">
          <cell r="BT427">
            <v>0.88</v>
          </cell>
          <cell r="BY427">
            <v>0.88</v>
          </cell>
        </row>
        <row r="428">
          <cell r="BT428">
            <v>8.0299999999999994</v>
          </cell>
          <cell r="BY428">
            <v>8.0299999999999994</v>
          </cell>
        </row>
        <row r="429">
          <cell r="BT429">
            <v>16.059999999999999</v>
          </cell>
          <cell r="BY429">
            <v>16.059999999999999</v>
          </cell>
        </row>
        <row r="430">
          <cell r="BT430">
            <v>45.46</v>
          </cell>
          <cell r="BY430">
            <v>45.46</v>
          </cell>
        </row>
        <row r="431">
          <cell r="BT431">
            <v>2349.38</v>
          </cell>
          <cell r="BY431">
            <v>2349.38</v>
          </cell>
        </row>
        <row r="432">
          <cell r="BT432">
            <v>1124.82</v>
          </cell>
          <cell r="BY432">
            <v>1124.82</v>
          </cell>
        </row>
        <row r="433">
          <cell r="BT433">
            <v>1903.01</v>
          </cell>
          <cell r="BY433">
            <v>1903.01</v>
          </cell>
        </row>
        <row r="434">
          <cell r="BT434">
            <v>508.2</v>
          </cell>
          <cell r="BY434">
            <v>508.2</v>
          </cell>
        </row>
        <row r="435">
          <cell r="BT435">
            <v>2797.11</v>
          </cell>
          <cell r="BY435">
            <v>2797.11</v>
          </cell>
        </row>
        <row r="436">
          <cell r="BT436">
            <v>133</v>
          </cell>
          <cell r="BY436">
            <v>133</v>
          </cell>
        </row>
        <row r="437">
          <cell r="BT437">
            <v>127.1</v>
          </cell>
          <cell r="BY437">
            <v>127.1</v>
          </cell>
        </row>
        <row r="438">
          <cell r="BT438">
            <v>66</v>
          </cell>
          <cell r="BY438">
            <v>66</v>
          </cell>
        </row>
        <row r="439">
          <cell r="BT439">
            <v>1.9</v>
          </cell>
          <cell r="BY439">
            <v>1.9</v>
          </cell>
        </row>
        <row r="440">
          <cell r="BT440">
            <v>15</v>
          </cell>
          <cell r="BY440">
            <v>15</v>
          </cell>
        </row>
        <row r="441">
          <cell r="BT441">
            <v>0.3</v>
          </cell>
          <cell r="BY441">
            <v>0.3</v>
          </cell>
        </row>
        <row r="442">
          <cell r="BT442">
            <v>24</v>
          </cell>
          <cell r="BY442">
            <v>24</v>
          </cell>
        </row>
        <row r="443">
          <cell r="BT443">
            <v>207.58</v>
          </cell>
          <cell r="BY443">
            <v>207.58</v>
          </cell>
        </row>
        <row r="444">
          <cell r="BT444">
            <v>2136.6</v>
          </cell>
          <cell r="BY444">
            <v>2136.6</v>
          </cell>
        </row>
        <row r="445">
          <cell r="BT445">
            <v>3630</v>
          </cell>
          <cell r="BY445">
            <v>3630</v>
          </cell>
        </row>
        <row r="446">
          <cell r="BT446">
            <v>405.9</v>
          </cell>
          <cell r="BY446">
            <v>405.9</v>
          </cell>
        </row>
        <row r="447">
          <cell r="BT447">
            <v>2248</v>
          </cell>
          <cell r="BY447">
            <v>2248</v>
          </cell>
        </row>
        <row r="448">
          <cell r="BT448">
            <v>402.93</v>
          </cell>
          <cell r="BY448">
            <v>402.93</v>
          </cell>
        </row>
        <row r="449">
          <cell r="BT449">
            <v>1172</v>
          </cell>
          <cell r="BY449">
            <v>1172</v>
          </cell>
        </row>
        <row r="450">
          <cell r="BT450">
            <v>1714.9</v>
          </cell>
          <cell r="BY450">
            <v>1714.9</v>
          </cell>
        </row>
        <row r="451">
          <cell r="BT451">
            <v>350</v>
          </cell>
          <cell r="BY451">
            <v>350</v>
          </cell>
        </row>
        <row r="452">
          <cell r="BT452">
            <v>2909.35</v>
          </cell>
          <cell r="BY452">
            <v>2909.35</v>
          </cell>
        </row>
        <row r="453">
          <cell r="BT453">
            <v>3000</v>
          </cell>
          <cell r="BY453">
            <v>3000</v>
          </cell>
        </row>
        <row r="454">
          <cell r="BT454">
            <v>1022.61</v>
          </cell>
          <cell r="BY454">
            <v>1022.61</v>
          </cell>
        </row>
        <row r="455">
          <cell r="BT455">
            <v>17654.84</v>
          </cell>
          <cell r="BY455">
            <v>17654.84</v>
          </cell>
        </row>
        <row r="456">
          <cell r="BT456">
            <v>2374.63</v>
          </cell>
          <cell r="BY456">
            <v>2374.63</v>
          </cell>
        </row>
        <row r="457">
          <cell r="BT457">
            <v>566.66999999999996</v>
          </cell>
          <cell r="BY457">
            <v>566.66999999999996</v>
          </cell>
        </row>
        <row r="458">
          <cell r="BT458">
            <v>8000</v>
          </cell>
          <cell r="BY458">
            <v>8000</v>
          </cell>
        </row>
        <row r="459">
          <cell r="BT459">
            <v>2000</v>
          </cell>
          <cell r="BY459">
            <v>2000</v>
          </cell>
        </row>
        <row r="460">
          <cell r="BT460">
            <v>216.55</v>
          </cell>
          <cell r="BY460">
            <v>216.55</v>
          </cell>
        </row>
        <row r="461">
          <cell r="BT461">
            <v>90.91</v>
          </cell>
          <cell r="BY461">
            <v>90.91</v>
          </cell>
        </row>
        <row r="462">
          <cell r="BT462">
            <v>1604.99</v>
          </cell>
          <cell r="BY462">
            <v>1604.99</v>
          </cell>
        </row>
        <row r="463">
          <cell r="BT463">
            <v>5526.59</v>
          </cell>
          <cell r="BY463">
            <v>5526.59</v>
          </cell>
        </row>
        <row r="464">
          <cell r="BT464">
            <v>1117.2</v>
          </cell>
          <cell r="BY464">
            <v>1117.2</v>
          </cell>
        </row>
        <row r="465">
          <cell r="BT465">
            <v>216.25</v>
          </cell>
          <cell r="BY465">
            <v>216.93</v>
          </cell>
        </row>
        <row r="466">
          <cell r="BT466">
            <v>-1968.5</v>
          </cell>
          <cell r="BY466">
            <v>1968.5</v>
          </cell>
        </row>
        <row r="467">
          <cell r="BT467">
            <v>425.5</v>
          </cell>
          <cell r="BY467">
            <v>425.5</v>
          </cell>
        </row>
        <row r="468">
          <cell r="BT468">
            <v>2689.12</v>
          </cell>
          <cell r="BY468">
            <v>2689.12</v>
          </cell>
        </row>
        <row r="469">
          <cell r="BT469">
            <v>1305.7</v>
          </cell>
          <cell r="BY469">
            <v>1305.7</v>
          </cell>
        </row>
        <row r="470">
          <cell r="BT470">
            <v>20106.8</v>
          </cell>
          <cell r="BY470">
            <v>20106.8</v>
          </cell>
        </row>
        <row r="471">
          <cell r="BT471">
            <v>1652.75</v>
          </cell>
          <cell r="BY471">
            <v>1652.75</v>
          </cell>
        </row>
        <row r="472">
          <cell r="BT472">
            <v>6703.99</v>
          </cell>
          <cell r="BY472">
            <v>6703.99</v>
          </cell>
        </row>
        <row r="473">
          <cell r="BT473">
            <v>1289.19</v>
          </cell>
          <cell r="BY473">
            <v>1289.19</v>
          </cell>
        </row>
        <row r="474">
          <cell r="BT474">
            <v>277.74</v>
          </cell>
          <cell r="BY474">
            <v>277.74</v>
          </cell>
        </row>
        <row r="475">
          <cell r="BT475">
            <v>233.41</v>
          </cell>
          <cell r="BY475">
            <v>233.41</v>
          </cell>
        </row>
        <row r="476">
          <cell r="BT476">
            <v>1898.42</v>
          </cell>
          <cell r="BY476">
            <v>1898.42</v>
          </cell>
        </row>
        <row r="477">
          <cell r="BT477">
            <v>175.61</v>
          </cell>
          <cell r="BY477">
            <v>175.61</v>
          </cell>
        </row>
        <row r="478">
          <cell r="BT478">
            <v>881.13</v>
          </cell>
          <cell r="BY478">
            <v>881.13</v>
          </cell>
        </row>
        <row r="479">
          <cell r="BT479">
            <v>349.89</v>
          </cell>
          <cell r="BY479">
            <v>349.89</v>
          </cell>
        </row>
        <row r="480">
          <cell r="BT480">
            <v>1019.36</v>
          </cell>
          <cell r="BY480">
            <v>1019.36</v>
          </cell>
        </row>
        <row r="481">
          <cell r="BT481">
            <v>59.32</v>
          </cell>
          <cell r="BY481">
            <v>59.32</v>
          </cell>
        </row>
        <row r="482">
          <cell r="BT482">
            <v>259.07</v>
          </cell>
          <cell r="BY482">
            <v>259.07</v>
          </cell>
        </row>
        <row r="483">
          <cell r="BT483">
            <v>259.07</v>
          </cell>
          <cell r="BY483">
            <v>259.07</v>
          </cell>
        </row>
        <row r="484">
          <cell r="BT484">
            <v>2305.7600000000002</v>
          </cell>
          <cell r="BY484">
            <v>2305.7600000000002</v>
          </cell>
        </row>
        <row r="485">
          <cell r="BT485">
            <v>33.68</v>
          </cell>
          <cell r="BY485">
            <v>33.68</v>
          </cell>
        </row>
        <row r="486">
          <cell r="BT486">
            <v>544.04</v>
          </cell>
          <cell r="BY486">
            <v>544.04</v>
          </cell>
        </row>
        <row r="487">
          <cell r="BT487">
            <v>-5706.1</v>
          </cell>
          <cell r="BY487">
            <v>5706.1</v>
          </cell>
        </row>
        <row r="488">
          <cell r="BT488">
            <v>5706.1</v>
          </cell>
          <cell r="BY488">
            <v>5706.1</v>
          </cell>
        </row>
        <row r="489">
          <cell r="BT489">
            <v>-5706.1</v>
          </cell>
          <cell r="BY489">
            <v>5706.1</v>
          </cell>
        </row>
        <row r="490">
          <cell r="BT490">
            <v>5706.1</v>
          </cell>
          <cell r="BY490">
            <v>5706.1</v>
          </cell>
        </row>
        <row r="491">
          <cell r="BT491">
            <v>5706.1</v>
          </cell>
          <cell r="BY491">
            <v>5706.1</v>
          </cell>
        </row>
        <row r="492">
          <cell r="BT492">
            <v>56.29</v>
          </cell>
          <cell r="BY492">
            <v>56.29</v>
          </cell>
        </row>
        <row r="493">
          <cell r="BT493">
            <v>2163.36</v>
          </cell>
          <cell r="BY493">
            <v>2163.36</v>
          </cell>
        </row>
        <row r="494">
          <cell r="BT494">
            <v>1702.49</v>
          </cell>
          <cell r="BY494">
            <v>1702.49</v>
          </cell>
        </row>
        <row r="495">
          <cell r="BT495">
            <v>22.86</v>
          </cell>
          <cell r="BY495">
            <v>22.86</v>
          </cell>
        </row>
        <row r="496">
          <cell r="BT496">
            <v>411.92</v>
          </cell>
          <cell r="BY496">
            <v>411.92</v>
          </cell>
        </row>
        <row r="497">
          <cell r="BT497">
            <v>104.92</v>
          </cell>
          <cell r="BY497">
            <v>104.92</v>
          </cell>
        </row>
        <row r="498">
          <cell r="BT498">
            <v>56.99</v>
          </cell>
          <cell r="BY498">
            <v>56.99</v>
          </cell>
        </row>
        <row r="499">
          <cell r="BT499">
            <v>22.01</v>
          </cell>
          <cell r="BY499">
            <v>22.01</v>
          </cell>
        </row>
        <row r="500">
          <cell r="BT500">
            <v>104.92</v>
          </cell>
          <cell r="BY500">
            <v>104.92</v>
          </cell>
        </row>
        <row r="501">
          <cell r="BT501">
            <v>39.78</v>
          </cell>
          <cell r="BY501">
            <v>39.78</v>
          </cell>
        </row>
        <row r="502">
          <cell r="BT502">
            <v>7740.02</v>
          </cell>
          <cell r="BY502">
            <v>7740.02</v>
          </cell>
        </row>
        <row r="503">
          <cell r="BT503">
            <v>-501.98</v>
          </cell>
          <cell r="BY503">
            <v>501.98</v>
          </cell>
        </row>
        <row r="504">
          <cell r="BT504">
            <v>501.98</v>
          </cell>
          <cell r="BY504">
            <v>501.98</v>
          </cell>
        </row>
        <row r="505">
          <cell r="BT505">
            <v>501.98</v>
          </cell>
          <cell r="BY505">
            <v>501.98</v>
          </cell>
        </row>
        <row r="506">
          <cell r="BT506">
            <v>1563.48</v>
          </cell>
          <cell r="BY506">
            <v>1563.48</v>
          </cell>
        </row>
        <row r="507">
          <cell r="BT507">
            <v>123.02</v>
          </cell>
          <cell r="BY507">
            <v>123.02</v>
          </cell>
        </row>
        <row r="508">
          <cell r="BT508">
            <v>3151.24</v>
          </cell>
          <cell r="BY508">
            <v>3151.24</v>
          </cell>
        </row>
        <row r="509">
          <cell r="BT509">
            <v>591.73</v>
          </cell>
          <cell r="BY509">
            <v>591.73</v>
          </cell>
        </row>
        <row r="510">
          <cell r="BT510">
            <v>3558.4</v>
          </cell>
          <cell r="BY510">
            <v>3558.4</v>
          </cell>
        </row>
        <row r="511">
          <cell r="BT511">
            <v>1406.73</v>
          </cell>
          <cell r="BY511">
            <v>1406.73</v>
          </cell>
        </row>
        <row r="512">
          <cell r="BT512">
            <v>138.9</v>
          </cell>
          <cell r="BY512">
            <v>138.9</v>
          </cell>
        </row>
        <row r="513">
          <cell r="BT513">
            <v>176.01</v>
          </cell>
          <cell r="BY513">
            <v>176.01</v>
          </cell>
        </row>
        <row r="514">
          <cell r="BT514">
            <v>1238.8</v>
          </cell>
          <cell r="BY514">
            <v>1238.8</v>
          </cell>
        </row>
        <row r="515">
          <cell r="BT515">
            <v>820.79</v>
          </cell>
          <cell r="BY515">
            <v>820.79</v>
          </cell>
        </row>
        <row r="516">
          <cell r="BT516">
            <v>1058.01</v>
          </cell>
          <cell r="BY516">
            <v>1058.01</v>
          </cell>
        </row>
        <row r="517">
          <cell r="BT517">
            <v>917.07</v>
          </cell>
          <cell r="BY517">
            <v>917.07</v>
          </cell>
        </row>
        <row r="518">
          <cell r="BT518">
            <v>101.97</v>
          </cell>
          <cell r="BY518">
            <v>101.97</v>
          </cell>
        </row>
        <row r="519">
          <cell r="BT519">
            <v>802.05</v>
          </cell>
          <cell r="BY519">
            <v>802.05</v>
          </cell>
        </row>
        <row r="520">
          <cell r="BT520">
            <v>1189.47</v>
          </cell>
          <cell r="BY520">
            <v>1189.47</v>
          </cell>
        </row>
        <row r="521">
          <cell r="BT521">
            <v>273.38</v>
          </cell>
          <cell r="BY521">
            <v>273.38</v>
          </cell>
        </row>
        <row r="522">
          <cell r="BT522">
            <v>10.36</v>
          </cell>
          <cell r="BY522">
            <v>10.36</v>
          </cell>
        </row>
        <row r="523">
          <cell r="BT523">
            <v>379.78</v>
          </cell>
          <cell r="BY523">
            <v>379.78</v>
          </cell>
        </row>
        <row r="524">
          <cell r="BT524">
            <v>275.88</v>
          </cell>
          <cell r="BY524">
            <v>275.88</v>
          </cell>
        </row>
        <row r="525">
          <cell r="BT525">
            <v>65.260000000000005</v>
          </cell>
          <cell r="BY525">
            <v>65.260000000000005</v>
          </cell>
        </row>
        <row r="526">
          <cell r="BT526">
            <v>2660.56</v>
          </cell>
          <cell r="BY526">
            <v>2660.56</v>
          </cell>
        </row>
        <row r="527">
          <cell r="BT527">
            <v>53.98</v>
          </cell>
          <cell r="BY527">
            <v>53.98</v>
          </cell>
        </row>
        <row r="528">
          <cell r="BT528">
            <v>76.989999999999995</v>
          </cell>
          <cell r="BY528">
            <v>76.989999999999995</v>
          </cell>
        </row>
        <row r="529">
          <cell r="BT529">
            <v>33.299999999999997</v>
          </cell>
          <cell r="BY529">
            <v>33.299999999999997</v>
          </cell>
        </row>
        <row r="530">
          <cell r="BT530">
            <v>76.48</v>
          </cell>
          <cell r="BY530">
            <v>76.48</v>
          </cell>
        </row>
        <row r="531">
          <cell r="BT531">
            <v>63.9</v>
          </cell>
          <cell r="BY531">
            <v>63.9</v>
          </cell>
        </row>
        <row r="532">
          <cell r="BT532">
            <v>24.25</v>
          </cell>
          <cell r="BY532">
            <v>24.25</v>
          </cell>
        </row>
        <row r="533">
          <cell r="BT533">
            <v>-290.16000000000003</v>
          </cell>
          <cell r="BY533">
            <v>290.16000000000003</v>
          </cell>
        </row>
        <row r="534">
          <cell r="BT534">
            <v>290.16000000000003</v>
          </cell>
          <cell r="BY534">
            <v>290.16000000000003</v>
          </cell>
        </row>
        <row r="535">
          <cell r="BT535">
            <v>5588.51</v>
          </cell>
          <cell r="BY535">
            <v>5588.51</v>
          </cell>
        </row>
        <row r="536">
          <cell r="BT536">
            <v>354.06</v>
          </cell>
          <cell r="BY536">
            <v>354.06</v>
          </cell>
        </row>
        <row r="537">
          <cell r="BT537">
            <v>174.09</v>
          </cell>
          <cell r="BY537">
            <v>174.09</v>
          </cell>
        </row>
        <row r="538">
          <cell r="BT538">
            <v>290.16000000000003</v>
          </cell>
          <cell r="BY538">
            <v>290.16000000000003</v>
          </cell>
        </row>
        <row r="539">
          <cell r="BT539">
            <v>3417.1</v>
          </cell>
          <cell r="BY539">
            <v>3417.1</v>
          </cell>
        </row>
        <row r="540">
          <cell r="BT540">
            <v>15.54</v>
          </cell>
          <cell r="BY540">
            <v>15.54</v>
          </cell>
        </row>
        <row r="541">
          <cell r="BT541">
            <v>59.59</v>
          </cell>
          <cell r="BY541">
            <v>59.59</v>
          </cell>
        </row>
        <row r="542">
          <cell r="BT542">
            <v>49.35</v>
          </cell>
          <cell r="BY542">
            <v>49.35</v>
          </cell>
        </row>
        <row r="543">
          <cell r="BT543">
            <v>1021.29</v>
          </cell>
          <cell r="BY543">
            <v>1021.29</v>
          </cell>
        </row>
        <row r="544">
          <cell r="BT544">
            <v>350</v>
          </cell>
          <cell r="BY544">
            <v>350</v>
          </cell>
        </row>
        <row r="545">
          <cell r="BT545">
            <v>2995.15</v>
          </cell>
          <cell r="BY545">
            <v>2995.15</v>
          </cell>
        </row>
        <row r="546">
          <cell r="BT546">
            <v>2000</v>
          </cell>
          <cell r="BY546">
            <v>2000</v>
          </cell>
        </row>
        <row r="547">
          <cell r="BT547">
            <v>2000</v>
          </cell>
          <cell r="BY547">
            <v>2000</v>
          </cell>
        </row>
        <row r="548">
          <cell r="BT548">
            <v>820.46</v>
          </cell>
          <cell r="BY548">
            <v>820.46</v>
          </cell>
        </row>
        <row r="549">
          <cell r="BT549">
            <v>17076.55</v>
          </cell>
          <cell r="BY549">
            <v>17076.55</v>
          </cell>
        </row>
        <row r="550">
          <cell r="BT550">
            <v>3412.22</v>
          </cell>
          <cell r="BY550">
            <v>3412.22</v>
          </cell>
        </row>
        <row r="551">
          <cell r="BT551">
            <v>3412.22</v>
          </cell>
          <cell r="BY551">
            <v>3412.22</v>
          </cell>
        </row>
        <row r="552">
          <cell r="BT552">
            <v>9500</v>
          </cell>
          <cell r="BY552">
            <v>9500</v>
          </cell>
        </row>
        <row r="553">
          <cell r="BT553">
            <v>2160.13</v>
          </cell>
          <cell r="BY553">
            <v>2160.13</v>
          </cell>
        </row>
        <row r="554">
          <cell r="BT554">
            <v>1927.36</v>
          </cell>
          <cell r="BY554">
            <v>1927.36</v>
          </cell>
        </row>
        <row r="555">
          <cell r="BT555">
            <v>297.41000000000003</v>
          </cell>
          <cell r="BY555">
            <v>297.41000000000003</v>
          </cell>
        </row>
        <row r="556">
          <cell r="BT556">
            <v>1700</v>
          </cell>
          <cell r="BY556">
            <v>1700</v>
          </cell>
        </row>
        <row r="557">
          <cell r="BT557">
            <v>173.74</v>
          </cell>
          <cell r="BY557">
            <v>173.74</v>
          </cell>
        </row>
        <row r="558">
          <cell r="BT558">
            <v>636.36</v>
          </cell>
          <cell r="BY558">
            <v>636.36</v>
          </cell>
        </row>
        <row r="559">
          <cell r="BT559">
            <v>1552.41</v>
          </cell>
          <cell r="BY559">
            <v>1552.41</v>
          </cell>
        </row>
        <row r="560">
          <cell r="BT560">
            <v>3032.83</v>
          </cell>
          <cell r="BY560">
            <v>3032.83</v>
          </cell>
        </row>
        <row r="561">
          <cell r="BT561">
            <v>39.33</v>
          </cell>
          <cell r="BY561">
            <v>39.33</v>
          </cell>
        </row>
        <row r="562">
          <cell r="BT562">
            <v>291.97000000000003</v>
          </cell>
          <cell r="BY562">
            <v>291.97000000000003</v>
          </cell>
        </row>
        <row r="563">
          <cell r="BT563">
            <v>-7740.02</v>
          </cell>
          <cell r="BY563">
            <v>7740.02</v>
          </cell>
        </row>
        <row r="564">
          <cell r="BT564">
            <v>6590</v>
          </cell>
          <cell r="BY564">
            <v>6590</v>
          </cell>
        </row>
        <row r="565">
          <cell r="BT565">
            <v>-9050.9599999999991</v>
          </cell>
          <cell r="BY565">
            <v>9050.9599999999991</v>
          </cell>
        </row>
        <row r="566">
          <cell r="BT566">
            <v>9050.9599999999991</v>
          </cell>
          <cell r="BY566">
            <v>9050.9599999999991</v>
          </cell>
        </row>
        <row r="567">
          <cell r="BT567">
            <v>-9050.9599999999991</v>
          </cell>
          <cell r="BY567">
            <v>9050.9599999999991</v>
          </cell>
        </row>
        <row r="568">
          <cell r="BT568">
            <v>9050.9599999999991</v>
          </cell>
          <cell r="BY568">
            <v>9050.9599999999991</v>
          </cell>
        </row>
        <row r="569">
          <cell r="BT569">
            <v>9050.9599999999991</v>
          </cell>
          <cell r="BY569">
            <v>9050.9599999999991</v>
          </cell>
        </row>
        <row r="570">
          <cell r="BT570">
            <v>35000</v>
          </cell>
          <cell r="BY570">
            <v>35000</v>
          </cell>
        </row>
        <row r="571">
          <cell r="BT571">
            <v>32.06</v>
          </cell>
          <cell r="BY571">
            <v>32.06</v>
          </cell>
        </row>
        <row r="572">
          <cell r="BT572">
            <v>9602.43</v>
          </cell>
          <cell r="BY572">
            <v>9602.43</v>
          </cell>
        </row>
        <row r="573">
          <cell r="BT573">
            <v>-9602.43</v>
          </cell>
          <cell r="BY573">
            <v>9602.43</v>
          </cell>
        </row>
        <row r="574">
          <cell r="BT574">
            <v>49.14</v>
          </cell>
          <cell r="BY574">
            <v>48.81</v>
          </cell>
        </row>
        <row r="575">
          <cell r="BT575">
            <v>0.47</v>
          </cell>
          <cell r="BY575">
            <v>0.47</v>
          </cell>
        </row>
        <row r="576">
          <cell r="BT576">
            <v>1.5</v>
          </cell>
          <cell r="BY576">
            <v>1.5</v>
          </cell>
        </row>
        <row r="577">
          <cell r="BT577">
            <v>-1.5</v>
          </cell>
          <cell r="BY577">
            <v>1.5</v>
          </cell>
        </row>
        <row r="578">
          <cell r="BT578">
            <v>1.5</v>
          </cell>
          <cell r="BY578">
            <v>1.5</v>
          </cell>
        </row>
        <row r="579">
          <cell r="BT579">
            <v>13.75</v>
          </cell>
          <cell r="BY579">
            <v>13.75</v>
          </cell>
        </row>
        <row r="580">
          <cell r="BT580">
            <v>970.41</v>
          </cell>
          <cell r="BY580">
            <v>970.41</v>
          </cell>
        </row>
        <row r="581">
          <cell r="BT581">
            <v>0</v>
          </cell>
          <cell r="BY581">
            <v>0</v>
          </cell>
        </row>
        <row r="582">
          <cell r="BT582">
            <v>0</v>
          </cell>
          <cell r="BY582">
            <v>0</v>
          </cell>
        </row>
        <row r="583">
          <cell r="BT583">
            <v>0</v>
          </cell>
          <cell r="BY583">
            <v>0</v>
          </cell>
        </row>
        <row r="584">
          <cell r="BT584">
            <v>0</v>
          </cell>
          <cell r="BY584">
            <v>0</v>
          </cell>
        </row>
        <row r="585">
          <cell r="BT585">
            <v>0</v>
          </cell>
          <cell r="BY585">
            <v>0</v>
          </cell>
        </row>
        <row r="586">
          <cell r="BT586">
            <v>0.47</v>
          </cell>
          <cell r="BY586">
            <v>5.52</v>
          </cell>
        </row>
        <row r="587">
          <cell r="BT587">
            <v>54.25</v>
          </cell>
          <cell r="BY587">
            <v>0</v>
          </cell>
        </row>
        <row r="588">
          <cell r="BT588">
            <v>0</v>
          </cell>
          <cell r="BY588">
            <v>0</v>
          </cell>
        </row>
        <row r="589">
          <cell r="BT589">
            <v>0</v>
          </cell>
          <cell r="BY589">
            <v>0</v>
          </cell>
        </row>
        <row r="590">
          <cell r="BT590">
            <v>0</v>
          </cell>
          <cell r="BY590">
            <v>0</v>
          </cell>
        </row>
        <row r="591">
          <cell r="BT591">
            <v>0</v>
          </cell>
          <cell r="BY591">
            <v>0</v>
          </cell>
        </row>
        <row r="592">
          <cell r="BT592">
            <v>0</v>
          </cell>
          <cell r="BY592">
            <v>0</v>
          </cell>
        </row>
        <row r="593">
          <cell r="BT593">
            <v>0</v>
          </cell>
          <cell r="BY593">
            <v>0</v>
          </cell>
        </row>
        <row r="594">
          <cell r="BT594">
            <v>0</v>
          </cell>
          <cell r="BY594">
            <v>0</v>
          </cell>
        </row>
        <row r="595">
          <cell r="BT595">
            <v>0</v>
          </cell>
          <cell r="BY595">
            <v>0</v>
          </cell>
        </row>
        <row r="596">
          <cell r="BT596">
            <v>0</v>
          </cell>
          <cell r="BY596">
            <v>0</v>
          </cell>
        </row>
        <row r="597">
          <cell r="BT597">
            <v>0</v>
          </cell>
          <cell r="BY597">
            <v>0</v>
          </cell>
        </row>
        <row r="598">
          <cell r="BT598">
            <v>0</v>
          </cell>
          <cell r="BY598">
            <v>0</v>
          </cell>
        </row>
        <row r="599">
          <cell r="BT599">
            <v>0</v>
          </cell>
          <cell r="BY599">
            <v>0</v>
          </cell>
        </row>
        <row r="600">
          <cell r="BT600">
            <v>0</v>
          </cell>
          <cell r="BY600">
            <v>0</v>
          </cell>
        </row>
        <row r="601">
          <cell r="BT601">
            <v>0</v>
          </cell>
          <cell r="BY601">
            <v>0</v>
          </cell>
        </row>
        <row r="602">
          <cell r="BT602">
            <v>0</v>
          </cell>
          <cell r="BY602">
            <v>0</v>
          </cell>
        </row>
        <row r="603">
          <cell r="BT603">
            <v>177.98</v>
          </cell>
          <cell r="BY603">
            <v>177.98</v>
          </cell>
        </row>
        <row r="604">
          <cell r="BT604">
            <v>30938.28</v>
          </cell>
          <cell r="BY604">
            <v>30938.28</v>
          </cell>
        </row>
        <row r="605">
          <cell r="BT605">
            <v>-30938.28</v>
          </cell>
          <cell r="BY605">
            <v>30938.28</v>
          </cell>
        </row>
        <row r="606">
          <cell r="BT606">
            <v>32467.08</v>
          </cell>
          <cell r="BY606">
            <v>32467.08</v>
          </cell>
        </row>
        <row r="607">
          <cell r="BT607">
            <v>-4.6500000000000004</v>
          </cell>
          <cell r="BY607">
            <v>4.6500000000000004</v>
          </cell>
        </row>
        <row r="608">
          <cell r="BT608">
            <v>-14.99</v>
          </cell>
          <cell r="BY608">
            <v>14.99</v>
          </cell>
        </row>
        <row r="609">
          <cell r="BT609">
            <v>14.99</v>
          </cell>
          <cell r="BY609">
            <v>14.99</v>
          </cell>
        </row>
        <row r="610">
          <cell r="BT610">
            <v>-14.99</v>
          </cell>
          <cell r="BY610">
            <v>14.99</v>
          </cell>
        </row>
        <row r="611">
          <cell r="BT611">
            <v>-137.47</v>
          </cell>
          <cell r="BY611">
            <v>137.47</v>
          </cell>
        </row>
        <row r="612">
          <cell r="BT612">
            <v>115.09</v>
          </cell>
          <cell r="BY612">
            <v>115.09</v>
          </cell>
        </row>
        <row r="613">
          <cell r="BT613">
            <v>4.6500000000000004</v>
          </cell>
          <cell r="BY613">
            <v>4.6500000000000004</v>
          </cell>
        </row>
        <row r="614">
          <cell r="BT614">
            <v>137.47</v>
          </cell>
          <cell r="BY614">
            <v>137.47</v>
          </cell>
        </row>
        <row r="615">
          <cell r="BT615">
            <v>-115.09</v>
          </cell>
          <cell r="BY615">
            <v>115.09</v>
          </cell>
        </row>
        <row r="616">
          <cell r="BT616">
            <v>-4.6500000000000004</v>
          </cell>
          <cell r="BY616">
            <v>4.6500000000000004</v>
          </cell>
        </row>
        <row r="617">
          <cell r="BT617">
            <v>-137.47</v>
          </cell>
          <cell r="BY617">
            <v>137.47</v>
          </cell>
        </row>
        <row r="618">
          <cell r="BT618">
            <v>0</v>
          </cell>
          <cell r="BY618">
            <v>0</v>
          </cell>
        </row>
        <row r="619">
          <cell r="BT619">
            <v>0</v>
          </cell>
          <cell r="BY619">
            <v>0</v>
          </cell>
        </row>
        <row r="620">
          <cell r="BT620">
            <v>0</v>
          </cell>
          <cell r="BY620">
            <v>0</v>
          </cell>
        </row>
        <row r="621">
          <cell r="BT621">
            <v>0</v>
          </cell>
          <cell r="BY621">
            <v>0</v>
          </cell>
        </row>
        <row r="622">
          <cell r="BT622">
            <v>-1.19</v>
          </cell>
          <cell r="BY622">
            <v>0</v>
          </cell>
        </row>
        <row r="623">
          <cell r="BT623">
            <v>0</v>
          </cell>
          <cell r="BY623">
            <v>0</v>
          </cell>
        </row>
        <row r="624">
          <cell r="BT624">
            <v>-7.23</v>
          </cell>
          <cell r="BY624">
            <v>7.23</v>
          </cell>
        </row>
        <row r="625">
          <cell r="BT625">
            <v>-0.71</v>
          </cell>
          <cell r="BY625">
            <v>0.71</v>
          </cell>
        </row>
        <row r="626">
          <cell r="BT626">
            <v>-0.01</v>
          </cell>
          <cell r="BY626">
            <v>0</v>
          </cell>
        </row>
        <row r="627">
          <cell r="BT627">
            <v>0</v>
          </cell>
          <cell r="BY627">
            <v>0</v>
          </cell>
        </row>
        <row r="628">
          <cell r="BT628">
            <v>0</v>
          </cell>
          <cell r="BY628">
            <v>0</v>
          </cell>
        </row>
        <row r="629">
          <cell r="BT629">
            <v>-1.93</v>
          </cell>
          <cell r="BY629">
            <v>0</v>
          </cell>
        </row>
        <row r="630">
          <cell r="BT630">
            <v>7.23</v>
          </cell>
          <cell r="BY630">
            <v>7.23</v>
          </cell>
        </row>
        <row r="631">
          <cell r="BT631">
            <v>0</v>
          </cell>
          <cell r="BY631">
            <v>0</v>
          </cell>
        </row>
        <row r="632">
          <cell r="BT632">
            <v>0</v>
          </cell>
          <cell r="BY632">
            <v>0</v>
          </cell>
        </row>
        <row r="633">
          <cell r="BT633">
            <v>0</v>
          </cell>
          <cell r="BY633">
            <v>0</v>
          </cell>
        </row>
        <row r="634">
          <cell r="BT634">
            <v>0</v>
          </cell>
          <cell r="BY634">
            <v>0</v>
          </cell>
        </row>
        <row r="635">
          <cell r="BT635">
            <v>-0.19</v>
          </cell>
          <cell r="BY635">
            <v>0</v>
          </cell>
        </row>
        <row r="636">
          <cell r="BT636">
            <v>0</v>
          </cell>
          <cell r="BY636">
            <v>0</v>
          </cell>
        </row>
        <row r="637">
          <cell r="BT637">
            <v>0</v>
          </cell>
          <cell r="BY637">
            <v>0</v>
          </cell>
        </row>
        <row r="638">
          <cell r="BT638">
            <v>0</v>
          </cell>
          <cell r="BY638">
            <v>0</v>
          </cell>
        </row>
        <row r="639">
          <cell r="BT639">
            <v>0.71</v>
          </cell>
          <cell r="BY639">
            <v>0.71</v>
          </cell>
        </row>
        <row r="640">
          <cell r="BT640">
            <v>0</v>
          </cell>
          <cell r="BY640">
            <v>0</v>
          </cell>
        </row>
        <row r="641">
          <cell r="BT641">
            <v>0</v>
          </cell>
          <cell r="BY641">
            <v>0</v>
          </cell>
        </row>
        <row r="642">
          <cell r="BT642">
            <v>-0.02</v>
          </cell>
          <cell r="BY642">
            <v>0</v>
          </cell>
        </row>
        <row r="643">
          <cell r="BT643">
            <v>0</v>
          </cell>
          <cell r="BY643">
            <v>0</v>
          </cell>
        </row>
        <row r="644">
          <cell r="BT644">
            <v>0</v>
          </cell>
          <cell r="BY644">
            <v>0</v>
          </cell>
        </row>
        <row r="645">
          <cell r="BT645">
            <v>0</v>
          </cell>
          <cell r="BY645">
            <v>0</v>
          </cell>
        </row>
        <row r="646">
          <cell r="BT646">
            <v>0</v>
          </cell>
          <cell r="BY646">
            <v>0</v>
          </cell>
        </row>
        <row r="647">
          <cell r="BT647">
            <v>0</v>
          </cell>
          <cell r="BY647">
            <v>0</v>
          </cell>
        </row>
        <row r="648">
          <cell r="BT648">
            <v>-2.7</v>
          </cell>
          <cell r="BY648">
            <v>0</v>
          </cell>
        </row>
        <row r="649">
          <cell r="BT649">
            <v>0</v>
          </cell>
          <cell r="BY649">
            <v>0</v>
          </cell>
        </row>
        <row r="650">
          <cell r="BT650">
            <v>0</v>
          </cell>
          <cell r="BY650">
            <v>0</v>
          </cell>
        </row>
        <row r="651">
          <cell r="BT651">
            <v>-3454.36</v>
          </cell>
          <cell r="BY651">
            <v>3454.36</v>
          </cell>
        </row>
        <row r="652">
          <cell r="BT652">
            <v>-276.69</v>
          </cell>
          <cell r="BY652">
            <v>276.69</v>
          </cell>
        </row>
        <row r="653">
          <cell r="BT653">
            <v>-85.23</v>
          </cell>
          <cell r="BY653">
            <v>85.23</v>
          </cell>
        </row>
        <row r="654">
          <cell r="BT654">
            <v>124.74</v>
          </cell>
          <cell r="BY654">
            <v>123.9</v>
          </cell>
        </row>
        <row r="655">
          <cell r="BT655">
            <v>293.79000000000002</v>
          </cell>
          <cell r="BY655">
            <v>293.79000000000002</v>
          </cell>
        </row>
        <row r="656">
          <cell r="BT656">
            <v>259.26</v>
          </cell>
          <cell r="BY656">
            <v>259.26</v>
          </cell>
        </row>
        <row r="657">
          <cell r="BT657">
            <v>-259.26</v>
          </cell>
          <cell r="BY657">
            <v>259.26</v>
          </cell>
        </row>
        <row r="658">
          <cell r="BT658">
            <v>15000</v>
          </cell>
          <cell r="BY658">
            <v>15000</v>
          </cell>
        </row>
        <row r="659">
          <cell r="BT659">
            <v>833.33</v>
          </cell>
          <cell r="BY659">
            <v>833.33</v>
          </cell>
        </row>
        <row r="660">
          <cell r="BT660">
            <v>833.33</v>
          </cell>
          <cell r="BY660">
            <v>833.33</v>
          </cell>
        </row>
        <row r="661">
          <cell r="BT661">
            <v>3075</v>
          </cell>
          <cell r="BY661">
            <v>3075</v>
          </cell>
        </row>
        <row r="662">
          <cell r="BT662">
            <v>2272.73</v>
          </cell>
          <cell r="BY662">
            <v>2272.73</v>
          </cell>
        </row>
        <row r="663">
          <cell r="BT663">
            <v>303.14</v>
          </cell>
          <cell r="BY663">
            <v>303.14</v>
          </cell>
        </row>
        <row r="664">
          <cell r="BT664">
            <v>143.69</v>
          </cell>
          <cell r="BY664">
            <v>144.15</v>
          </cell>
        </row>
        <row r="665">
          <cell r="BT665">
            <v>2632.69</v>
          </cell>
          <cell r="BY665">
            <v>2632.69</v>
          </cell>
        </row>
        <row r="666">
          <cell r="BT666">
            <v>-2632.69</v>
          </cell>
          <cell r="BY666">
            <v>2632.69</v>
          </cell>
        </row>
        <row r="667">
          <cell r="BT667">
            <v>2272.73</v>
          </cell>
          <cell r="BY667">
            <v>2272.73</v>
          </cell>
        </row>
        <row r="668">
          <cell r="BT668">
            <v>3238.66</v>
          </cell>
          <cell r="BY668">
            <v>3238.66</v>
          </cell>
        </row>
        <row r="669">
          <cell r="BT669">
            <v>458.61</v>
          </cell>
          <cell r="BY669">
            <v>455.91</v>
          </cell>
        </row>
        <row r="670">
          <cell r="BT670">
            <v>150000</v>
          </cell>
          <cell r="BY670">
            <v>150000</v>
          </cell>
        </row>
        <row r="671">
          <cell r="BT671">
            <v>280</v>
          </cell>
          <cell r="BY671">
            <v>280</v>
          </cell>
        </row>
        <row r="672">
          <cell r="BT672">
            <v>5000</v>
          </cell>
          <cell r="BY672">
            <v>5000</v>
          </cell>
        </row>
        <row r="673">
          <cell r="BT673">
            <v>832.44</v>
          </cell>
          <cell r="BY673">
            <v>832.44</v>
          </cell>
        </row>
        <row r="674">
          <cell r="BT674">
            <v>5015.01</v>
          </cell>
          <cell r="BY674">
            <v>5015.01</v>
          </cell>
        </row>
        <row r="675">
          <cell r="BT675">
            <v>821.78</v>
          </cell>
          <cell r="BY675">
            <v>821.78</v>
          </cell>
        </row>
        <row r="676">
          <cell r="BT676">
            <v>130.26</v>
          </cell>
          <cell r="BY676">
            <v>130.26</v>
          </cell>
        </row>
        <row r="677">
          <cell r="BT677">
            <v>1616.67</v>
          </cell>
          <cell r="BY677">
            <v>1616.67</v>
          </cell>
        </row>
        <row r="678">
          <cell r="BT678">
            <v>-53.11</v>
          </cell>
          <cell r="BY678">
            <v>53.11</v>
          </cell>
        </row>
        <row r="679">
          <cell r="BT679">
            <v>-1046.3</v>
          </cell>
          <cell r="BY679">
            <v>1046.3</v>
          </cell>
        </row>
        <row r="680">
          <cell r="BT680">
            <v>53.11</v>
          </cell>
          <cell r="BY680">
            <v>53.11</v>
          </cell>
        </row>
        <row r="681">
          <cell r="BT681">
            <v>2607.7800000000002</v>
          </cell>
          <cell r="BY681">
            <v>2607.7800000000002</v>
          </cell>
        </row>
        <row r="682">
          <cell r="BT682">
            <v>1046.3</v>
          </cell>
          <cell r="BY682">
            <v>1046.3</v>
          </cell>
        </row>
        <row r="683">
          <cell r="BT683">
            <v>-53.11</v>
          </cell>
          <cell r="BY683">
            <v>53.11</v>
          </cell>
        </row>
        <row r="684">
          <cell r="BT684">
            <v>-2607.7800000000002</v>
          </cell>
          <cell r="BY684">
            <v>2607.7800000000002</v>
          </cell>
        </row>
        <row r="685">
          <cell r="BT685">
            <v>-1046.3</v>
          </cell>
          <cell r="BY685">
            <v>1046.3</v>
          </cell>
        </row>
        <row r="686">
          <cell r="BT686">
            <v>53.11</v>
          </cell>
          <cell r="BY686">
            <v>53.11</v>
          </cell>
        </row>
        <row r="687">
          <cell r="BT687">
            <v>2607.7800000000002</v>
          </cell>
          <cell r="BY687">
            <v>2607.7800000000002</v>
          </cell>
        </row>
        <row r="688">
          <cell r="BT688">
            <v>1046.3</v>
          </cell>
          <cell r="BY688">
            <v>1046.3</v>
          </cell>
        </row>
        <row r="689">
          <cell r="BT689">
            <v>53.11</v>
          </cell>
          <cell r="BY689">
            <v>53.11</v>
          </cell>
        </row>
        <row r="690">
          <cell r="BT690">
            <v>1046.3</v>
          </cell>
          <cell r="BY690">
            <v>1046.3</v>
          </cell>
        </row>
        <row r="691">
          <cell r="BT691">
            <v>90</v>
          </cell>
          <cell r="BY691">
            <v>90</v>
          </cell>
        </row>
        <row r="692">
          <cell r="BT692">
            <v>101.84</v>
          </cell>
          <cell r="BY692">
            <v>101.84</v>
          </cell>
        </row>
        <row r="693">
          <cell r="BT693">
            <v>-4000</v>
          </cell>
          <cell r="BY693">
            <v>4000</v>
          </cell>
        </row>
        <row r="694">
          <cell r="BT694">
            <v>4000</v>
          </cell>
          <cell r="BY694">
            <v>4000</v>
          </cell>
        </row>
        <row r="695">
          <cell r="BT695">
            <v>322.11</v>
          </cell>
          <cell r="BY695">
            <v>322.11</v>
          </cell>
        </row>
        <row r="696">
          <cell r="BT696">
            <v>234.47</v>
          </cell>
          <cell r="BY696">
            <v>234.47</v>
          </cell>
        </row>
        <row r="697">
          <cell r="BT697">
            <v>920.72</v>
          </cell>
          <cell r="BY697">
            <v>920.72</v>
          </cell>
        </row>
        <row r="698">
          <cell r="BT698">
            <v>4000</v>
          </cell>
          <cell r="BY698">
            <v>4000</v>
          </cell>
        </row>
        <row r="699">
          <cell r="BT699">
            <v>290.14</v>
          </cell>
          <cell r="BY699">
            <v>290.14</v>
          </cell>
        </row>
        <row r="700">
          <cell r="BT700">
            <v>231.21</v>
          </cell>
          <cell r="BY700">
            <v>231.21</v>
          </cell>
        </row>
        <row r="701">
          <cell r="BT701">
            <v>725.34</v>
          </cell>
          <cell r="BY701">
            <v>725.34</v>
          </cell>
        </row>
        <row r="702">
          <cell r="BT702">
            <v>908.34</v>
          </cell>
          <cell r="BY702">
            <v>908.34</v>
          </cell>
        </row>
        <row r="703">
          <cell r="BT703">
            <v>440.96</v>
          </cell>
          <cell r="BY703">
            <v>440.96</v>
          </cell>
        </row>
        <row r="704">
          <cell r="BT704">
            <v>2214.42</v>
          </cell>
          <cell r="BY704">
            <v>2214.42</v>
          </cell>
        </row>
        <row r="705">
          <cell r="BT705">
            <v>426.17</v>
          </cell>
          <cell r="BY705">
            <v>426.17</v>
          </cell>
        </row>
        <row r="706">
          <cell r="BT706">
            <v>408.53</v>
          </cell>
          <cell r="BY706">
            <v>408.53</v>
          </cell>
        </row>
        <row r="707">
          <cell r="BT707">
            <v>42.5</v>
          </cell>
          <cell r="BY707">
            <v>42.5</v>
          </cell>
        </row>
        <row r="708">
          <cell r="BT708">
            <v>264.24</v>
          </cell>
          <cell r="BY708">
            <v>264.24</v>
          </cell>
        </row>
        <row r="709">
          <cell r="BT709">
            <v>400</v>
          </cell>
          <cell r="BY709">
            <v>400</v>
          </cell>
        </row>
        <row r="710">
          <cell r="BT710">
            <v>400</v>
          </cell>
          <cell r="BY710">
            <v>400</v>
          </cell>
        </row>
        <row r="711">
          <cell r="BT711">
            <v>325</v>
          </cell>
          <cell r="BY711">
            <v>325</v>
          </cell>
        </row>
        <row r="712">
          <cell r="BT712">
            <v>1111</v>
          </cell>
          <cell r="BY712">
            <v>1111</v>
          </cell>
        </row>
        <row r="713">
          <cell r="BT713">
            <v>900</v>
          </cell>
          <cell r="BY713">
            <v>900</v>
          </cell>
        </row>
        <row r="714">
          <cell r="BT714">
            <v>43.17</v>
          </cell>
          <cell r="BY714">
            <v>43.17</v>
          </cell>
        </row>
        <row r="715">
          <cell r="BT715">
            <v>521.04</v>
          </cell>
          <cell r="BY715">
            <v>521.04</v>
          </cell>
        </row>
        <row r="716">
          <cell r="BT716">
            <v>41.89</v>
          </cell>
          <cell r="BY716">
            <v>41.89</v>
          </cell>
        </row>
        <row r="717">
          <cell r="BT717">
            <v>608.66</v>
          </cell>
          <cell r="BY717">
            <v>608.66</v>
          </cell>
        </row>
        <row r="718">
          <cell r="BT718">
            <v>327.58</v>
          </cell>
          <cell r="BY718">
            <v>325.64999999999998</v>
          </cell>
        </row>
        <row r="719">
          <cell r="BT719">
            <v>564.01</v>
          </cell>
          <cell r="BY719">
            <v>564.01</v>
          </cell>
        </row>
        <row r="720">
          <cell r="BT720">
            <v>-319210.12</v>
          </cell>
          <cell r="BY720">
            <v>319210.12</v>
          </cell>
        </row>
        <row r="721">
          <cell r="BT721">
            <v>81735</v>
          </cell>
          <cell r="BY721">
            <v>81735</v>
          </cell>
        </row>
        <row r="722">
          <cell r="BT722">
            <v>11385</v>
          </cell>
          <cell r="BY722">
            <v>11385</v>
          </cell>
        </row>
        <row r="723">
          <cell r="BT723">
            <v>12153.68</v>
          </cell>
          <cell r="BY723">
            <v>12153.68</v>
          </cell>
        </row>
        <row r="724">
          <cell r="BT724">
            <v>2661.12</v>
          </cell>
          <cell r="BY724">
            <v>2661.12</v>
          </cell>
        </row>
        <row r="725">
          <cell r="BT725">
            <v>38245.699999999997</v>
          </cell>
          <cell r="BY725">
            <v>38245.699999999997</v>
          </cell>
        </row>
        <row r="726">
          <cell r="BT726">
            <v>12147.52</v>
          </cell>
          <cell r="BY726">
            <v>12147.52</v>
          </cell>
        </row>
        <row r="727">
          <cell r="BT727">
            <v>12159.84</v>
          </cell>
          <cell r="BY727">
            <v>12159.84</v>
          </cell>
        </row>
        <row r="728">
          <cell r="BT728">
            <v>5190.57</v>
          </cell>
          <cell r="BY728">
            <v>5190.57</v>
          </cell>
        </row>
        <row r="729">
          <cell r="BT729">
            <v>8110.62</v>
          </cell>
          <cell r="BY729">
            <v>8110.62</v>
          </cell>
        </row>
        <row r="730">
          <cell r="BT730">
            <v>12019.56</v>
          </cell>
          <cell r="BY730">
            <v>12019.56</v>
          </cell>
        </row>
        <row r="731">
          <cell r="BT731">
            <v>12085.92</v>
          </cell>
          <cell r="BY731">
            <v>12085.92</v>
          </cell>
        </row>
        <row r="732">
          <cell r="BT732">
            <v>6252.5</v>
          </cell>
          <cell r="BY732">
            <v>6252.5</v>
          </cell>
        </row>
        <row r="733">
          <cell r="BT733">
            <v>3653.12</v>
          </cell>
          <cell r="BY733">
            <v>3653.12</v>
          </cell>
        </row>
        <row r="734">
          <cell r="BT734">
            <v>2860</v>
          </cell>
          <cell r="BY734">
            <v>2860</v>
          </cell>
        </row>
        <row r="735">
          <cell r="BT735">
            <v>40057.29</v>
          </cell>
          <cell r="BY735">
            <v>40057.29</v>
          </cell>
        </row>
        <row r="736">
          <cell r="BT736">
            <v>1141</v>
          </cell>
          <cell r="BY736">
            <v>0</v>
          </cell>
        </row>
        <row r="737">
          <cell r="BT737">
            <v>1771</v>
          </cell>
          <cell r="BY737">
            <v>0</v>
          </cell>
        </row>
        <row r="738">
          <cell r="BT738">
            <v>744.75</v>
          </cell>
          <cell r="BY738">
            <v>0</v>
          </cell>
        </row>
        <row r="739">
          <cell r="BT739">
            <v>17465</v>
          </cell>
          <cell r="BY739">
            <v>20802.23</v>
          </cell>
        </row>
        <row r="740">
          <cell r="BT740">
            <v>19071.5</v>
          </cell>
          <cell r="BY740">
            <v>0</v>
          </cell>
        </row>
        <row r="741">
          <cell r="BT741">
            <v>10419.5</v>
          </cell>
          <cell r="BY741">
            <v>0</v>
          </cell>
        </row>
        <row r="742">
          <cell r="BT742">
            <v>-38245.699999999997</v>
          </cell>
          <cell r="BY742">
            <v>38245.699999999997</v>
          </cell>
        </row>
        <row r="743">
          <cell r="BT743">
            <v>37234.769999999997</v>
          </cell>
          <cell r="BY743">
            <v>37234.769999999997</v>
          </cell>
        </row>
        <row r="744">
          <cell r="BT744">
            <v>-40057.29</v>
          </cell>
          <cell r="BY744">
            <v>40057.29</v>
          </cell>
        </row>
        <row r="745">
          <cell r="BT745">
            <v>40057.29</v>
          </cell>
          <cell r="BY745">
            <v>40057.29</v>
          </cell>
        </row>
        <row r="746">
          <cell r="BT746">
            <v>1980</v>
          </cell>
          <cell r="BY746">
            <v>1980</v>
          </cell>
        </row>
        <row r="747">
          <cell r="BT747">
            <v>1530</v>
          </cell>
          <cell r="BY747">
            <v>1530</v>
          </cell>
        </row>
        <row r="748">
          <cell r="BT748">
            <v>1096.5</v>
          </cell>
          <cell r="BY748">
            <v>0</v>
          </cell>
        </row>
        <row r="749">
          <cell r="BT749">
            <v>6772.5</v>
          </cell>
          <cell r="BY749">
            <v>0</v>
          </cell>
        </row>
        <row r="750">
          <cell r="BT750">
            <v>56.25</v>
          </cell>
          <cell r="BY750">
            <v>0</v>
          </cell>
        </row>
        <row r="751">
          <cell r="BT751">
            <v>750</v>
          </cell>
          <cell r="BY751">
            <v>0</v>
          </cell>
        </row>
        <row r="752">
          <cell r="BT752">
            <v>3750</v>
          </cell>
          <cell r="BY752">
            <v>4484.46</v>
          </cell>
        </row>
        <row r="753">
          <cell r="BT753">
            <v>16635</v>
          </cell>
          <cell r="BY753">
            <v>0</v>
          </cell>
        </row>
        <row r="754">
          <cell r="BT754">
            <v>1275</v>
          </cell>
          <cell r="BY754">
            <v>0</v>
          </cell>
        </row>
        <row r="755">
          <cell r="BT755">
            <v>375</v>
          </cell>
          <cell r="BY755">
            <v>0</v>
          </cell>
        </row>
        <row r="756">
          <cell r="BT756">
            <v>7500</v>
          </cell>
          <cell r="BY756">
            <v>0</v>
          </cell>
        </row>
        <row r="757">
          <cell r="BT757">
            <v>3750</v>
          </cell>
          <cell r="BY757">
            <v>0</v>
          </cell>
        </row>
        <row r="758">
          <cell r="BT758">
            <v>346.54</v>
          </cell>
          <cell r="BY758">
            <v>346.54</v>
          </cell>
        </row>
        <row r="759">
          <cell r="BT759">
            <v>80</v>
          </cell>
          <cell r="BY759">
            <v>80</v>
          </cell>
        </row>
        <row r="760">
          <cell r="BT760">
            <v>80</v>
          </cell>
          <cell r="BY760">
            <v>80</v>
          </cell>
        </row>
        <row r="761">
          <cell r="BT761">
            <v>108.22</v>
          </cell>
          <cell r="BY761">
            <v>108.22</v>
          </cell>
        </row>
        <row r="762">
          <cell r="BT762">
            <v>97.99</v>
          </cell>
          <cell r="BY762">
            <v>97.99</v>
          </cell>
        </row>
        <row r="763">
          <cell r="BT763">
            <v>116.83</v>
          </cell>
          <cell r="BY763">
            <v>116.83</v>
          </cell>
        </row>
        <row r="764">
          <cell r="BT764">
            <v>-97.99</v>
          </cell>
          <cell r="BY764">
            <v>97.99</v>
          </cell>
        </row>
        <row r="765">
          <cell r="BT765">
            <v>-116.83</v>
          </cell>
          <cell r="BY765">
            <v>116.83</v>
          </cell>
        </row>
        <row r="766">
          <cell r="BT766">
            <v>97.99</v>
          </cell>
          <cell r="BY766">
            <v>97.99</v>
          </cell>
        </row>
        <row r="767">
          <cell r="BT767">
            <v>116.83</v>
          </cell>
          <cell r="BY767">
            <v>116.83</v>
          </cell>
        </row>
        <row r="768">
          <cell r="BT768">
            <v>1675.8</v>
          </cell>
          <cell r="BY768">
            <v>1675.8</v>
          </cell>
        </row>
        <row r="769">
          <cell r="BT769">
            <v>209.44</v>
          </cell>
          <cell r="BY769">
            <v>209.44</v>
          </cell>
        </row>
        <row r="770">
          <cell r="BT770">
            <v>217.28</v>
          </cell>
          <cell r="BY770">
            <v>217.28</v>
          </cell>
        </row>
        <row r="771">
          <cell r="BT771">
            <v>2439.02</v>
          </cell>
          <cell r="BY771">
            <v>2439.02</v>
          </cell>
        </row>
        <row r="772">
          <cell r="BT772">
            <v>209.44</v>
          </cell>
          <cell r="BY772">
            <v>209.44</v>
          </cell>
        </row>
        <row r="773">
          <cell r="BT773">
            <v>209.44</v>
          </cell>
          <cell r="BY773">
            <v>209.44</v>
          </cell>
        </row>
        <row r="774">
          <cell r="BT774">
            <v>209.44</v>
          </cell>
          <cell r="BY774">
            <v>209.44</v>
          </cell>
        </row>
        <row r="775">
          <cell r="BT775">
            <v>235.03</v>
          </cell>
          <cell r="BY775">
            <v>235.03</v>
          </cell>
        </row>
        <row r="776">
          <cell r="BT776">
            <v>181.61</v>
          </cell>
          <cell r="BY776">
            <v>181.61</v>
          </cell>
        </row>
        <row r="777">
          <cell r="BT777">
            <v>209.44</v>
          </cell>
          <cell r="BY777">
            <v>209.44</v>
          </cell>
        </row>
        <row r="778">
          <cell r="BT778">
            <v>207.2</v>
          </cell>
          <cell r="BY778">
            <v>207.2</v>
          </cell>
        </row>
        <row r="779">
          <cell r="BT779">
            <v>209.44</v>
          </cell>
          <cell r="BY779">
            <v>209.44</v>
          </cell>
        </row>
        <row r="780">
          <cell r="BT780">
            <v>207.2</v>
          </cell>
          <cell r="BY780">
            <v>207.2</v>
          </cell>
        </row>
        <row r="781">
          <cell r="BT781">
            <v>207.2</v>
          </cell>
          <cell r="BY781">
            <v>207.2</v>
          </cell>
        </row>
        <row r="782">
          <cell r="BT782">
            <v>206.08</v>
          </cell>
          <cell r="BY782">
            <v>206.08</v>
          </cell>
        </row>
        <row r="783">
          <cell r="BT783">
            <v>2084.96</v>
          </cell>
          <cell r="BY783">
            <v>2084.96</v>
          </cell>
        </row>
        <row r="784">
          <cell r="BT784">
            <v>-2439.02</v>
          </cell>
          <cell r="BY784">
            <v>2439.02</v>
          </cell>
        </row>
        <row r="785">
          <cell r="BT785">
            <v>2374.5500000000002</v>
          </cell>
          <cell r="BY785">
            <v>2374.5500000000002</v>
          </cell>
        </row>
        <row r="786">
          <cell r="BT786">
            <v>-2084.96</v>
          </cell>
          <cell r="BY786">
            <v>2084.96</v>
          </cell>
        </row>
        <row r="787">
          <cell r="BT787">
            <v>2084.96</v>
          </cell>
          <cell r="BY787">
            <v>2084.96</v>
          </cell>
        </row>
        <row r="788">
          <cell r="BT788">
            <v>911.93</v>
          </cell>
          <cell r="BY788">
            <v>911.93</v>
          </cell>
        </row>
        <row r="789">
          <cell r="BT789">
            <v>87.18</v>
          </cell>
          <cell r="BY789">
            <v>87.18</v>
          </cell>
        </row>
        <row r="790">
          <cell r="BT790">
            <v>34</v>
          </cell>
          <cell r="BY790">
            <v>34</v>
          </cell>
        </row>
        <row r="791">
          <cell r="BT791">
            <v>32</v>
          </cell>
          <cell r="BY791">
            <v>32</v>
          </cell>
        </row>
        <row r="792">
          <cell r="BT792">
            <v>80</v>
          </cell>
          <cell r="BY792">
            <v>80</v>
          </cell>
        </row>
        <row r="793">
          <cell r="BT793">
            <v>10</v>
          </cell>
          <cell r="BY793">
            <v>10</v>
          </cell>
        </row>
        <row r="794">
          <cell r="BT794">
            <v>80</v>
          </cell>
          <cell r="BY794">
            <v>80</v>
          </cell>
        </row>
        <row r="795">
          <cell r="BT795">
            <v>181.34</v>
          </cell>
          <cell r="BY795">
            <v>181.34</v>
          </cell>
        </row>
        <row r="796">
          <cell r="BT796">
            <v>32</v>
          </cell>
          <cell r="BY796">
            <v>32</v>
          </cell>
        </row>
        <row r="797">
          <cell r="BT797">
            <v>80</v>
          </cell>
          <cell r="BY797">
            <v>80</v>
          </cell>
        </row>
        <row r="798">
          <cell r="BT798">
            <v>32</v>
          </cell>
          <cell r="BY798">
            <v>32</v>
          </cell>
        </row>
        <row r="799">
          <cell r="BT799">
            <v>14</v>
          </cell>
          <cell r="BY799">
            <v>14</v>
          </cell>
        </row>
        <row r="800">
          <cell r="BT800">
            <v>80</v>
          </cell>
          <cell r="BY800">
            <v>80</v>
          </cell>
        </row>
        <row r="801">
          <cell r="BT801">
            <v>6.21</v>
          </cell>
          <cell r="BY801">
            <v>6.21</v>
          </cell>
        </row>
        <row r="802">
          <cell r="BT802">
            <v>80</v>
          </cell>
          <cell r="BY802">
            <v>80</v>
          </cell>
        </row>
        <row r="803">
          <cell r="BT803">
            <v>4.79</v>
          </cell>
          <cell r="BY803">
            <v>4.79</v>
          </cell>
        </row>
        <row r="804">
          <cell r="BT804">
            <v>22</v>
          </cell>
          <cell r="BY804">
            <v>22</v>
          </cell>
        </row>
        <row r="805">
          <cell r="BT805">
            <v>80</v>
          </cell>
          <cell r="BY805">
            <v>80</v>
          </cell>
        </row>
        <row r="806">
          <cell r="BT806">
            <v>32</v>
          </cell>
          <cell r="BY806">
            <v>32</v>
          </cell>
        </row>
        <row r="807">
          <cell r="BT807">
            <v>30</v>
          </cell>
          <cell r="BY807">
            <v>30</v>
          </cell>
        </row>
        <row r="808">
          <cell r="BT808">
            <v>80</v>
          </cell>
          <cell r="BY808">
            <v>80</v>
          </cell>
        </row>
        <row r="809">
          <cell r="BT809">
            <v>38</v>
          </cell>
          <cell r="BY809">
            <v>38</v>
          </cell>
        </row>
        <row r="810">
          <cell r="BT810">
            <v>80</v>
          </cell>
          <cell r="BY810">
            <v>80</v>
          </cell>
        </row>
        <row r="811">
          <cell r="BT811">
            <v>80</v>
          </cell>
          <cell r="BY811">
            <v>80</v>
          </cell>
        </row>
        <row r="812">
          <cell r="BT812">
            <v>10</v>
          </cell>
          <cell r="BY812">
            <v>10</v>
          </cell>
        </row>
        <row r="813">
          <cell r="BT813">
            <v>10</v>
          </cell>
          <cell r="BY813">
            <v>10</v>
          </cell>
        </row>
        <row r="814">
          <cell r="BT814">
            <v>126.11</v>
          </cell>
          <cell r="BY814">
            <v>126.11</v>
          </cell>
        </row>
        <row r="815">
          <cell r="BT815">
            <v>-181.34</v>
          </cell>
          <cell r="BY815">
            <v>181.34</v>
          </cell>
        </row>
        <row r="816">
          <cell r="BT816">
            <v>176.55</v>
          </cell>
          <cell r="BY816">
            <v>176.55</v>
          </cell>
        </row>
        <row r="817">
          <cell r="BT817">
            <v>-126.11</v>
          </cell>
          <cell r="BY817">
            <v>126.11</v>
          </cell>
        </row>
        <row r="818">
          <cell r="BT818">
            <v>126.11</v>
          </cell>
          <cell r="BY818">
            <v>126.11</v>
          </cell>
        </row>
        <row r="819">
          <cell r="BT819">
            <v>-82734.11</v>
          </cell>
          <cell r="BY819">
            <v>82734.11</v>
          </cell>
        </row>
        <row r="820">
          <cell r="BT820">
            <v>7745.2</v>
          </cell>
          <cell r="BY820">
            <v>7745.2</v>
          </cell>
        </row>
        <row r="821">
          <cell r="BT821">
            <v>7777.44</v>
          </cell>
          <cell r="BY821">
            <v>7777.44</v>
          </cell>
        </row>
        <row r="822">
          <cell r="BT822">
            <v>12410.47</v>
          </cell>
          <cell r="BY822">
            <v>12410.47</v>
          </cell>
        </row>
        <row r="823">
          <cell r="BT823">
            <v>20802.23</v>
          </cell>
          <cell r="BY823">
            <v>20802.23</v>
          </cell>
        </row>
        <row r="824">
          <cell r="BT824">
            <v>82734.11</v>
          </cell>
          <cell r="BY824">
            <v>82734.11</v>
          </cell>
        </row>
        <row r="825">
          <cell r="BT825">
            <v>2050.81</v>
          </cell>
          <cell r="BY825">
            <v>2050.81</v>
          </cell>
        </row>
        <row r="826">
          <cell r="BT826">
            <v>3486.38</v>
          </cell>
          <cell r="BY826">
            <v>3486.38</v>
          </cell>
        </row>
        <row r="827">
          <cell r="BT827">
            <v>1025.4100000000001</v>
          </cell>
          <cell r="BY827">
            <v>1025.4100000000001</v>
          </cell>
        </row>
        <row r="828">
          <cell r="BT828">
            <v>-13441.34</v>
          </cell>
          <cell r="BY828">
            <v>13441.34</v>
          </cell>
        </row>
        <row r="829">
          <cell r="BT829">
            <v>-12475.12</v>
          </cell>
          <cell r="BY829">
            <v>12475.12</v>
          </cell>
        </row>
        <row r="830">
          <cell r="BT830">
            <v>-2968.4</v>
          </cell>
          <cell r="BY830">
            <v>2968.4</v>
          </cell>
        </row>
        <row r="831">
          <cell r="BT831">
            <v>-40866.06</v>
          </cell>
          <cell r="BY831">
            <v>40866.06</v>
          </cell>
        </row>
        <row r="832">
          <cell r="BT832">
            <v>-12468.96</v>
          </cell>
          <cell r="BY832">
            <v>12468.96</v>
          </cell>
        </row>
        <row r="833">
          <cell r="BT833">
            <v>-12481.28</v>
          </cell>
          <cell r="BY833">
            <v>12481.28</v>
          </cell>
        </row>
        <row r="834">
          <cell r="BT834">
            <v>-5494.01</v>
          </cell>
          <cell r="BY834">
            <v>5494.01</v>
          </cell>
        </row>
        <row r="835">
          <cell r="BT835">
            <v>-8422.06</v>
          </cell>
          <cell r="BY835">
            <v>8422.06</v>
          </cell>
        </row>
        <row r="836">
          <cell r="BT836">
            <v>-12338.76</v>
          </cell>
          <cell r="BY836">
            <v>12338.76</v>
          </cell>
        </row>
        <row r="837">
          <cell r="BT837">
            <v>-12405.36</v>
          </cell>
          <cell r="BY837">
            <v>12405.36</v>
          </cell>
        </row>
        <row r="838">
          <cell r="BT838">
            <v>-6577.7</v>
          </cell>
          <cell r="BY838">
            <v>6577.7</v>
          </cell>
        </row>
        <row r="839">
          <cell r="BT839">
            <v>-3978.54</v>
          </cell>
          <cell r="BY839">
            <v>3978.54</v>
          </cell>
        </row>
        <row r="840">
          <cell r="BT840">
            <v>-3156.08</v>
          </cell>
          <cell r="BY840">
            <v>3156.08</v>
          </cell>
        </row>
        <row r="841">
          <cell r="BT841">
            <v>16465.7</v>
          </cell>
          <cell r="BY841">
            <v>16465.7</v>
          </cell>
        </row>
        <row r="842">
          <cell r="BT842">
            <v>-42483.18</v>
          </cell>
          <cell r="BY842">
            <v>42483.18</v>
          </cell>
        </row>
        <row r="843">
          <cell r="BT843">
            <v>-2683</v>
          </cell>
          <cell r="BY843">
            <v>0</v>
          </cell>
        </row>
        <row r="844">
          <cell r="BT844">
            <v>1542</v>
          </cell>
          <cell r="BY844">
            <v>1542</v>
          </cell>
        </row>
        <row r="845">
          <cell r="BT845">
            <v>25327.23</v>
          </cell>
          <cell r="BY845">
            <v>25327.23</v>
          </cell>
        </row>
        <row r="846">
          <cell r="BT846">
            <v>-9516.2000000000007</v>
          </cell>
          <cell r="BY846">
            <v>0</v>
          </cell>
        </row>
        <row r="847">
          <cell r="BT847">
            <v>-8522.19</v>
          </cell>
          <cell r="BY847">
            <v>0</v>
          </cell>
        </row>
        <row r="848">
          <cell r="BT848">
            <v>-50677.7</v>
          </cell>
          <cell r="BY848">
            <v>20802.23</v>
          </cell>
        </row>
        <row r="849">
          <cell r="BT849">
            <v>-101805.61</v>
          </cell>
          <cell r="BY849">
            <v>0</v>
          </cell>
        </row>
        <row r="850">
          <cell r="BT850">
            <v>-10419.5</v>
          </cell>
          <cell r="BY850">
            <v>0</v>
          </cell>
        </row>
        <row r="851">
          <cell r="BT851">
            <v>167.88</v>
          </cell>
          <cell r="BY851">
            <v>167.88</v>
          </cell>
        </row>
        <row r="852">
          <cell r="BT852">
            <v>40866.06</v>
          </cell>
          <cell r="BY852">
            <v>40866.06</v>
          </cell>
        </row>
        <row r="853">
          <cell r="BT853">
            <v>-39785.870000000003</v>
          </cell>
          <cell r="BY853">
            <v>39785.879999999997</v>
          </cell>
        </row>
        <row r="854">
          <cell r="BT854">
            <v>42483.18</v>
          </cell>
          <cell r="BY854">
            <v>42483.18</v>
          </cell>
        </row>
        <row r="855">
          <cell r="BT855">
            <v>-42483.18</v>
          </cell>
          <cell r="BY855">
            <v>42483.18</v>
          </cell>
        </row>
        <row r="856">
          <cell r="BT856">
            <v>4673.17</v>
          </cell>
          <cell r="BY856">
            <v>4673.17</v>
          </cell>
        </row>
        <row r="857">
          <cell r="BT857">
            <v>4484.46</v>
          </cell>
          <cell r="BY857">
            <v>4484.46</v>
          </cell>
        </row>
        <row r="858">
          <cell r="BT858">
            <v>9346.33</v>
          </cell>
          <cell r="BY858">
            <v>9346.33</v>
          </cell>
        </row>
        <row r="859">
          <cell r="BT859">
            <v>4629</v>
          </cell>
          <cell r="BY859">
            <v>4629</v>
          </cell>
        </row>
        <row r="860">
          <cell r="BT860">
            <v>-2301.2399999999998</v>
          </cell>
          <cell r="BY860">
            <v>2301.2399999999998</v>
          </cell>
        </row>
        <row r="861">
          <cell r="BT861">
            <v>-1716.4</v>
          </cell>
          <cell r="BY861">
            <v>1716.4</v>
          </cell>
        </row>
        <row r="862">
          <cell r="BT862">
            <v>-17562.2</v>
          </cell>
          <cell r="BY862">
            <v>0</v>
          </cell>
        </row>
        <row r="863">
          <cell r="BT863">
            <v>-32099.73</v>
          </cell>
          <cell r="BY863">
            <v>0</v>
          </cell>
        </row>
        <row r="864">
          <cell r="BT864">
            <v>-224.13</v>
          </cell>
          <cell r="BY864">
            <v>0</v>
          </cell>
        </row>
        <row r="865">
          <cell r="BT865">
            <v>-2800.81</v>
          </cell>
          <cell r="BY865">
            <v>0</v>
          </cell>
        </row>
        <row r="866">
          <cell r="BT866">
            <v>-8423.17</v>
          </cell>
          <cell r="BY866">
            <v>4484.46</v>
          </cell>
        </row>
        <row r="867">
          <cell r="BT867">
            <v>-21119.46</v>
          </cell>
          <cell r="BY867">
            <v>0</v>
          </cell>
        </row>
        <row r="868">
          <cell r="BT868">
            <v>-4761.38</v>
          </cell>
          <cell r="BY868">
            <v>0</v>
          </cell>
        </row>
        <row r="869">
          <cell r="BT869">
            <v>-1400.41</v>
          </cell>
          <cell r="BY869">
            <v>0</v>
          </cell>
        </row>
        <row r="870">
          <cell r="BT870">
            <v>-16846.330000000002</v>
          </cell>
          <cell r="BY870">
            <v>0</v>
          </cell>
        </row>
        <row r="871">
          <cell r="BT871">
            <v>-8379</v>
          </cell>
          <cell r="BY871">
            <v>0</v>
          </cell>
        </row>
        <row r="872">
          <cell r="BT872">
            <v>7.6</v>
          </cell>
          <cell r="BY872">
            <v>0</v>
          </cell>
        </row>
        <row r="873">
          <cell r="BT873">
            <v>22.8</v>
          </cell>
          <cell r="BY873">
            <v>0</v>
          </cell>
        </row>
        <row r="874">
          <cell r="BT874">
            <v>13.68</v>
          </cell>
          <cell r="BY874">
            <v>0</v>
          </cell>
        </row>
        <row r="875">
          <cell r="BT875">
            <v>30.4</v>
          </cell>
          <cell r="BY875">
            <v>0</v>
          </cell>
        </row>
        <row r="876">
          <cell r="BT876">
            <v>22.8</v>
          </cell>
          <cell r="BY876">
            <v>0</v>
          </cell>
        </row>
        <row r="877">
          <cell r="BT877">
            <v>7.6</v>
          </cell>
          <cell r="BY877">
            <v>0</v>
          </cell>
        </row>
        <row r="878">
          <cell r="BT878">
            <v>23.1</v>
          </cell>
          <cell r="BY878">
            <v>0</v>
          </cell>
        </row>
        <row r="879">
          <cell r="BT879">
            <v>-1737</v>
          </cell>
          <cell r="BY879">
            <v>1737</v>
          </cell>
        </row>
        <row r="880">
          <cell r="BT880">
            <v>-2472</v>
          </cell>
          <cell r="BY880">
            <v>2472</v>
          </cell>
        </row>
        <row r="881">
          <cell r="BT881">
            <v>-2400</v>
          </cell>
          <cell r="BY881">
            <v>2400</v>
          </cell>
        </row>
        <row r="882">
          <cell r="BT882">
            <v>-5850</v>
          </cell>
          <cell r="BY882">
            <v>5850</v>
          </cell>
        </row>
        <row r="883">
          <cell r="BT883">
            <v>-1242.5</v>
          </cell>
          <cell r="BY883">
            <v>1242.5</v>
          </cell>
        </row>
        <row r="884">
          <cell r="BT884">
            <v>-3676</v>
          </cell>
          <cell r="BY884">
            <v>3676</v>
          </cell>
        </row>
        <row r="885">
          <cell r="BT885">
            <v>-8550</v>
          </cell>
          <cell r="BY885">
            <v>8550</v>
          </cell>
        </row>
        <row r="886">
          <cell r="BT886">
            <v>-756</v>
          </cell>
          <cell r="BY886">
            <v>756</v>
          </cell>
        </row>
        <row r="887">
          <cell r="BT887">
            <v>-1710</v>
          </cell>
          <cell r="BY887">
            <v>1710</v>
          </cell>
        </row>
        <row r="888">
          <cell r="BT888">
            <v>-163.5</v>
          </cell>
          <cell r="BY888">
            <v>163.5</v>
          </cell>
        </row>
        <row r="889">
          <cell r="BT889">
            <v>-591</v>
          </cell>
          <cell r="BY889">
            <v>591</v>
          </cell>
        </row>
        <row r="890">
          <cell r="BT890">
            <v>-36000</v>
          </cell>
          <cell r="BY890">
            <v>36000</v>
          </cell>
        </row>
        <row r="891">
          <cell r="BT891">
            <v>-2400</v>
          </cell>
          <cell r="BY891">
            <v>2400</v>
          </cell>
        </row>
        <row r="892">
          <cell r="BT892">
            <v>-4380</v>
          </cell>
          <cell r="BY892">
            <v>4380</v>
          </cell>
        </row>
        <row r="893">
          <cell r="BT893">
            <v>-4.8600000000000003</v>
          </cell>
          <cell r="BY893">
            <v>4.8600000000000003</v>
          </cell>
        </row>
        <row r="894">
          <cell r="BT894">
            <v>-75.36</v>
          </cell>
          <cell r="BY894">
            <v>75.36</v>
          </cell>
        </row>
        <row r="895">
          <cell r="BT895">
            <v>1737</v>
          </cell>
          <cell r="BY895">
            <v>1737</v>
          </cell>
        </row>
        <row r="896">
          <cell r="BT896">
            <v>2472</v>
          </cell>
          <cell r="BY896">
            <v>2472</v>
          </cell>
        </row>
        <row r="897">
          <cell r="BT897">
            <v>2400</v>
          </cell>
          <cell r="BY897">
            <v>2400</v>
          </cell>
        </row>
        <row r="898">
          <cell r="BT898">
            <v>5850</v>
          </cell>
          <cell r="BY898">
            <v>5850</v>
          </cell>
        </row>
        <row r="899">
          <cell r="BT899">
            <v>1242.5</v>
          </cell>
          <cell r="BY899">
            <v>1242.5</v>
          </cell>
        </row>
        <row r="900">
          <cell r="BT900">
            <v>3676</v>
          </cell>
          <cell r="BY900">
            <v>3676</v>
          </cell>
        </row>
        <row r="901">
          <cell r="BT901">
            <v>8550</v>
          </cell>
          <cell r="BY901">
            <v>8550</v>
          </cell>
        </row>
        <row r="902">
          <cell r="BT902">
            <v>756</v>
          </cell>
          <cell r="BY902">
            <v>756</v>
          </cell>
        </row>
        <row r="903">
          <cell r="BT903">
            <v>1710</v>
          </cell>
          <cell r="BY903">
            <v>1710</v>
          </cell>
        </row>
        <row r="904">
          <cell r="BT904">
            <v>163.5</v>
          </cell>
          <cell r="BY904">
            <v>163.5</v>
          </cell>
        </row>
        <row r="905">
          <cell r="BT905">
            <v>591</v>
          </cell>
          <cell r="BY905">
            <v>591</v>
          </cell>
        </row>
        <row r="906">
          <cell r="BT906">
            <v>36000</v>
          </cell>
          <cell r="BY906">
            <v>36000</v>
          </cell>
        </row>
        <row r="907">
          <cell r="BT907">
            <v>2400</v>
          </cell>
          <cell r="BY907">
            <v>2400</v>
          </cell>
        </row>
        <row r="908">
          <cell r="BT908">
            <v>4380</v>
          </cell>
          <cell r="BY908">
            <v>4380</v>
          </cell>
        </row>
        <row r="909">
          <cell r="BT909">
            <v>1737</v>
          </cell>
          <cell r="BY909">
            <v>1737</v>
          </cell>
        </row>
        <row r="910">
          <cell r="BT910">
            <v>2472</v>
          </cell>
          <cell r="BY910">
            <v>2472</v>
          </cell>
        </row>
        <row r="911">
          <cell r="BT911">
            <v>2400</v>
          </cell>
          <cell r="BY911">
            <v>2400</v>
          </cell>
        </row>
        <row r="912">
          <cell r="BT912">
            <v>5850</v>
          </cell>
          <cell r="BY912">
            <v>5850</v>
          </cell>
        </row>
        <row r="913">
          <cell r="BT913">
            <v>1242.5</v>
          </cell>
          <cell r="BY913">
            <v>1242.5</v>
          </cell>
        </row>
        <row r="914">
          <cell r="BT914">
            <v>3676</v>
          </cell>
          <cell r="BY914">
            <v>3676</v>
          </cell>
        </row>
        <row r="915">
          <cell r="BT915">
            <v>8550</v>
          </cell>
          <cell r="BY915">
            <v>8550</v>
          </cell>
        </row>
        <row r="916">
          <cell r="BT916">
            <v>756</v>
          </cell>
          <cell r="BY916">
            <v>756</v>
          </cell>
        </row>
        <row r="917">
          <cell r="BT917">
            <v>1710</v>
          </cell>
          <cell r="BY917">
            <v>1710</v>
          </cell>
        </row>
        <row r="918">
          <cell r="BT918">
            <v>163.5</v>
          </cell>
          <cell r="BY918">
            <v>163.5</v>
          </cell>
        </row>
        <row r="919">
          <cell r="BT919">
            <v>3475</v>
          </cell>
          <cell r="BY919">
            <v>3475</v>
          </cell>
        </row>
        <row r="920">
          <cell r="BT920">
            <v>7380</v>
          </cell>
          <cell r="BY920">
            <v>7380</v>
          </cell>
        </row>
        <row r="921">
          <cell r="BT921">
            <v>591</v>
          </cell>
          <cell r="BY921">
            <v>591</v>
          </cell>
        </row>
        <row r="922">
          <cell r="BT922">
            <v>36000</v>
          </cell>
          <cell r="BY922">
            <v>36000</v>
          </cell>
        </row>
        <row r="923">
          <cell r="BT923">
            <v>2400</v>
          </cell>
          <cell r="BY923">
            <v>2400</v>
          </cell>
        </row>
        <row r="924">
          <cell r="BT924">
            <v>4380</v>
          </cell>
          <cell r="BY924">
            <v>4380</v>
          </cell>
        </row>
        <row r="925">
          <cell r="BT925">
            <v>-1737</v>
          </cell>
          <cell r="BY925">
            <v>1737</v>
          </cell>
        </row>
        <row r="926">
          <cell r="BT926">
            <v>-2472</v>
          </cell>
          <cell r="BY926">
            <v>2472</v>
          </cell>
        </row>
        <row r="927">
          <cell r="BT927">
            <v>-2400</v>
          </cell>
          <cell r="BY927">
            <v>2400</v>
          </cell>
        </row>
        <row r="928">
          <cell r="BT928">
            <v>-5850</v>
          </cell>
          <cell r="BY928">
            <v>5850</v>
          </cell>
        </row>
        <row r="929">
          <cell r="BT929">
            <v>-1242.5</v>
          </cell>
          <cell r="BY929">
            <v>1242.5</v>
          </cell>
        </row>
        <row r="930">
          <cell r="BT930">
            <v>-3676</v>
          </cell>
          <cell r="BY930">
            <v>3676</v>
          </cell>
        </row>
        <row r="931">
          <cell r="BT931">
            <v>-8550</v>
          </cell>
          <cell r="BY931">
            <v>8550</v>
          </cell>
        </row>
        <row r="932">
          <cell r="BT932">
            <v>1134</v>
          </cell>
          <cell r="BY932">
            <v>1134</v>
          </cell>
        </row>
        <row r="933">
          <cell r="BT933">
            <v>5028</v>
          </cell>
          <cell r="BY933">
            <v>5028</v>
          </cell>
        </row>
        <row r="934">
          <cell r="BT934">
            <v>-756</v>
          </cell>
          <cell r="BY934">
            <v>756</v>
          </cell>
        </row>
        <row r="935">
          <cell r="BT935">
            <v>-1710</v>
          </cell>
          <cell r="BY935">
            <v>1710</v>
          </cell>
        </row>
        <row r="936">
          <cell r="BT936">
            <v>-163.5</v>
          </cell>
          <cell r="BY936">
            <v>163.5</v>
          </cell>
        </row>
        <row r="937">
          <cell r="BT937">
            <v>-591</v>
          </cell>
          <cell r="BY937">
            <v>591</v>
          </cell>
        </row>
        <row r="938">
          <cell r="BT938">
            <v>-36000</v>
          </cell>
          <cell r="BY938">
            <v>36000</v>
          </cell>
        </row>
        <row r="939">
          <cell r="BT939">
            <v>-2400</v>
          </cell>
          <cell r="BY939">
            <v>2400</v>
          </cell>
        </row>
        <row r="940">
          <cell r="BT940">
            <v>-4380</v>
          </cell>
          <cell r="BY940">
            <v>4380</v>
          </cell>
        </row>
        <row r="941">
          <cell r="BT941">
            <v>-27560</v>
          </cell>
          <cell r="BY941">
            <v>27560</v>
          </cell>
        </row>
        <row r="942">
          <cell r="BT942">
            <v>-6048</v>
          </cell>
          <cell r="BY942">
            <v>6048</v>
          </cell>
        </row>
        <row r="943">
          <cell r="BT943">
            <v>-4560</v>
          </cell>
          <cell r="BY943">
            <v>4560</v>
          </cell>
        </row>
        <row r="944">
          <cell r="BT944">
            <v>-5028</v>
          </cell>
          <cell r="BY944">
            <v>5028</v>
          </cell>
        </row>
        <row r="945">
          <cell r="BT945">
            <v>20850</v>
          </cell>
          <cell r="BY945">
            <v>20850</v>
          </cell>
        </row>
        <row r="946">
          <cell r="BT946">
            <v>8856</v>
          </cell>
          <cell r="BY946">
            <v>8856</v>
          </cell>
        </row>
        <row r="947">
          <cell r="BT947">
            <v>28440</v>
          </cell>
          <cell r="BY947">
            <v>28440</v>
          </cell>
        </row>
        <row r="948">
          <cell r="BT948">
            <v>15000</v>
          </cell>
          <cell r="BY948">
            <v>15000</v>
          </cell>
        </row>
        <row r="949">
          <cell r="BT949">
            <v>6048</v>
          </cell>
          <cell r="BY949">
            <v>6048</v>
          </cell>
        </row>
        <row r="950">
          <cell r="BT950">
            <v>4560</v>
          </cell>
          <cell r="BY950">
            <v>4560</v>
          </cell>
        </row>
        <row r="951">
          <cell r="BT951">
            <v>5028</v>
          </cell>
          <cell r="BY951">
            <v>5028</v>
          </cell>
        </row>
        <row r="952">
          <cell r="BT952">
            <v>4.8600000000000003</v>
          </cell>
          <cell r="BY952">
            <v>4.8600000000000003</v>
          </cell>
        </row>
        <row r="953">
          <cell r="BT953">
            <v>75.36</v>
          </cell>
          <cell r="BY953">
            <v>75.36</v>
          </cell>
        </row>
        <row r="954">
          <cell r="BT954">
            <v>-1158</v>
          </cell>
          <cell r="BY954">
            <v>1158</v>
          </cell>
        </row>
        <row r="955">
          <cell r="BT955">
            <v>-1186.56</v>
          </cell>
          <cell r="BY955">
            <v>1186.56</v>
          </cell>
        </row>
        <row r="956">
          <cell r="BT956">
            <v>-1890</v>
          </cell>
          <cell r="BY956">
            <v>1890</v>
          </cell>
        </row>
        <row r="957">
          <cell r="BT957">
            <v>-994</v>
          </cell>
          <cell r="BY957">
            <v>994</v>
          </cell>
        </row>
        <row r="958">
          <cell r="BT958">
            <v>-5514</v>
          </cell>
          <cell r="BY958">
            <v>5514</v>
          </cell>
        </row>
        <row r="959">
          <cell r="BT959">
            <v>-1200</v>
          </cell>
          <cell r="BY959">
            <v>1200</v>
          </cell>
        </row>
        <row r="960">
          <cell r="BT960">
            <v>-8550</v>
          </cell>
          <cell r="BY960">
            <v>8550</v>
          </cell>
        </row>
        <row r="961">
          <cell r="BT961">
            <v>-397.2</v>
          </cell>
          <cell r="BY961">
            <v>397.2</v>
          </cell>
        </row>
        <row r="962">
          <cell r="BT962">
            <v>-10800</v>
          </cell>
          <cell r="BY962">
            <v>10800</v>
          </cell>
        </row>
        <row r="963">
          <cell r="BT963">
            <v>1158</v>
          </cell>
          <cell r="BY963">
            <v>1158</v>
          </cell>
        </row>
        <row r="964">
          <cell r="BT964">
            <v>1186.56</v>
          </cell>
          <cell r="BY964">
            <v>1186.56</v>
          </cell>
        </row>
        <row r="965">
          <cell r="BT965">
            <v>1890</v>
          </cell>
          <cell r="BY965">
            <v>1890</v>
          </cell>
        </row>
        <row r="966">
          <cell r="BT966">
            <v>994</v>
          </cell>
          <cell r="BY966">
            <v>994</v>
          </cell>
        </row>
        <row r="967">
          <cell r="BT967">
            <v>5514</v>
          </cell>
          <cell r="BY967">
            <v>5514</v>
          </cell>
        </row>
        <row r="968">
          <cell r="BT968">
            <v>1200</v>
          </cell>
          <cell r="BY968">
            <v>1200</v>
          </cell>
        </row>
        <row r="969">
          <cell r="BT969">
            <v>8550</v>
          </cell>
          <cell r="BY969">
            <v>8550</v>
          </cell>
        </row>
        <row r="970">
          <cell r="BT970">
            <v>397.2</v>
          </cell>
          <cell r="BY970">
            <v>397.2</v>
          </cell>
        </row>
        <row r="971">
          <cell r="BT971">
            <v>10800</v>
          </cell>
          <cell r="BY971">
            <v>10800</v>
          </cell>
        </row>
        <row r="972">
          <cell r="BT972">
            <v>-1158</v>
          </cell>
          <cell r="BY972">
            <v>1158</v>
          </cell>
        </row>
        <row r="973">
          <cell r="BT973">
            <v>-1186.56</v>
          </cell>
          <cell r="BY973">
            <v>1186.56</v>
          </cell>
        </row>
        <row r="974">
          <cell r="BT974">
            <v>-1890</v>
          </cell>
          <cell r="BY974">
            <v>1890</v>
          </cell>
        </row>
        <row r="975">
          <cell r="BT975">
            <v>-994</v>
          </cell>
          <cell r="BY975">
            <v>994</v>
          </cell>
        </row>
        <row r="976">
          <cell r="BT976">
            <v>-5514</v>
          </cell>
          <cell r="BY976">
            <v>5514</v>
          </cell>
        </row>
        <row r="977">
          <cell r="BT977">
            <v>-1200</v>
          </cell>
          <cell r="BY977">
            <v>1200</v>
          </cell>
        </row>
        <row r="978">
          <cell r="BT978">
            <v>-8550</v>
          </cell>
          <cell r="BY978">
            <v>8550</v>
          </cell>
        </row>
        <row r="979">
          <cell r="BT979">
            <v>-397.2</v>
          </cell>
          <cell r="BY979">
            <v>397.2</v>
          </cell>
        </row>
        <row r="980">
          <cell r="BT980">
            <v>-10800</v>
          </cell>
          <cell r="BY980">
            <v>10800</v>
          </cell>
        </row>
        <row r="981">
          <cell r="BT981">
            <v>1158</v>
          </cell>
          <cell r="BY981">
            <v>1158</v>
          </cell>
        </row>
        <row r="982">
          <cell r="BT982">
            <v>1186.56</v>
          </cell>
          <cell r="BY982">
            <v>1186.56</v>
          </cell>
        </row>
        <row r="983">
          <cell r="BT983">
            <v>1890</v>
          </cell>
          <cell r="BY983">
            <v>1890</v>
          </cell>
        </row>
        <row r="984">
          <cell r="BT984">
            <v>994</v>
          </cell>
          <cell r="BY984">
            <v>994</v>
          </cell>
        </row>
        <row r="985">
          <cell r="BT985">
            <v>5514</v>
          </cell>
          <cell r="BY985">
            <v>5514</v>
          </cell>
        </row>
        <row r="986">
          <cell r="BT986">
            <v>1200</v>
          </cell>
          <cell r="BY986">
            <v>1200</v>
          </cell>
        </row>
        <row r="987">
          <cell r="BT987">
            <v>8550</v>
          </cell>
          <cell r="BY987">
            <v>8550</v>
          </cell>
        </row>
        <row r="988">
          <cell r="BT988">
            <v>397.2</v>
          </cell>
          <cell r="BY988">
            <v>397.2</v>
          </cell>
        </row>
        <row r="989">
          <cell r="BT989">
            <v>10800</v>
          </cell>
          <cell r="BY989">
            <v>10800</v>
          </cell>
        </row>
        <row r="990">
          <cell r="BT990">
            <v>-20850</v>
          </cell>
          <cell r="BY990">
            <v>20850</v>
          </cell>
        </row>
        <row r="991">
          <cell r="BT991">
            <v>-8856</v>
          </cell>
          <cell r="BY991">
            <v>8856</v>
          </cell>
        </row>
        <row r="992">
          <cell r="BT992">
            <v>-28440</v>
          </cell>
          <cell r="BY992">
            <v>28440</v>
          </cell>
        </row>
        <row r="993">
          <cell r="BT993">
            <v>-15000</v>
          </cell>
          <cell r="BY993">
            <v>15000</v>
          </cell>
        </row>
        <row r="994">
          <cell r="BT994">
            <v>-3475</v>
          </cell>
          <cell r="BY994">
            <v>3475</v>
          </cell>
        </row>
        <row r="995">
          <cell r="BT995">
            <v>-7380</v>
          </cell>
          <cell r="BY995">
            <v>7380</v>
          </cell>
        </row>
        <row r="996">
          <cell r="BT996">
            <v>-1134</v>
          </cell>
          <cell r="BY996">
            <v>1134</v>
          </cell>
        </row>
        <row r="997">
          <cell r="BT997">
            <v>-5028</v>
          </cell>
          <cell r="BY997">
            <v>5028</v>
          </cell>
        </row>
        <row r="998">
          <cell r="BT998">
            <v>-1737</v>
          </cell>
          <cell r="BY998">
            <v>1737</v>
          </cell>
        </row>
        <row r="999">
          <cell r="BT999">
            <v>-2472</v>
          </cell>
          <cell r="BY999">
            <v>2472</v>
          </cell>
        </row>
        <row r="1000">
          <cell r="BT1000">
            <v>-2400</v>
          </cell>
          <cell r="BY1000">
            <v>2400</v>
          </cell>
        </row>
        <row r="1001">
          <cell r="BT1001">
            <v>-5850</v>
          </cell>
          <cell r="BY1001">
            <v>5850</v>
          </cell>
        </row>
        <row r="1002">
          <cell r="BT1002">
            <v>-1242.5</v>
          </cell>
          <cell r="BY1002">
            <v>1242.5</v>
          </cell>
        </row>
        <row r="1003">
          <cell r="BT1003">
            <v>-3676</v>
          </cell>
          <cell r="BY1003">
            <v>3676</v>
          </cell>
        </row>
        <row r="1004">
          <cell r="BT1004">
            <v>-8550</v>
          </cell>
          <cell r="BY1004">
            <v>8550</v>
          </cell>
        </row>
        <row r="1005">
          <cell r="BT1005">
            <v>-756</v>
          </cell>
          <cell r="BY1005">
            <v>756</v>
          </cell>
        </row>
        <row r="1006">
          <cell r="BT1006">
            <v>-1710</v>
          </cell>
          <cell r="BY1006">
            <v>1710</v>
          </cell>
        </row>
        <row r="1007">
          <cell r="BT1007">
            <v>-163.5</v>
          </cell>
          <cell r="BY1007">
            <v>163.5</v>
          </cell>
        </row>
        <row r="1008">
          <cell r="BT1008">
            <v>-591</v>
          </cell>
          <cell r="BY1008">
            <v>591</v>
          </cell>
        </row>
        <row r="1009">
          <cell r="BT1009">
            <v>-36000</v>
          </cell>
          <cell r="BY1009">
            <v>36000</v>
          </cell>
        </row>
        <row r="1010">
          <cell r="BT1010">
            <v>-2400</v>
          </cell>
          <cell r="BY1010">
            <v>2400</v>
          </cell>
        </row>
        <row r="1011">
          <cell r="BT1011">
            <v>-4380</v>
          </cell>
          <cell r="BY1011">
            <v>4380</v>
          </cell>
        </row>
        <row r="1012">
          <cell r="BT1012">
            <v>-20850</v>
          </cell>
          <cell r="BY1012">
            <v>20850</v>
          </cell>
        </row>
        <row r="1013">
          <cell r="BT1013">
            <v>-8856</v>
          </cell>
          <cell r="BY1013">
            <v>8856</v>
          </cell>
        </row>
        <row r="1014">
          <cell r="BT1014">
            <v>-28440</v>
          </cell>
          <cell r="BY1014">
            <v>28440</v>
          </cell>
        </row>
        <row r="1015">
          <cell r="BT1015">
            <v>-15000</v>
          </cell>
          <cell r="BY1015">
            <v>15000</v>
          </cell>
        </row>
        <row r="1016">
          <cell r="BT1016">
            <v>-6048</v>
          </cell>
          <cell r="BY1016">
            <v>6048</v>
          </cell>
        </row>
        <row r="1017">
          <cell r="BT1017">
            <v>-4560</v>
          </cell>
          <cell r="BY1017">
            <v>4560</v>
          </cell>
        </row>
        <row r="1018">
          <cell r="BT1018">
            <v>-5028</v>
          </cell>
          <cell r="BY1018">
            <v>5028</v>
          </cell>
        </row>
        <row r="1019">
          <cell r="BT1019">
            <v>-1158</v>
          </cell>
          <cell r="BY1019">
            <v>1158</v>
          </cell>
        </row>
        <row r="1020">
          <cell r="BT1020">
            <v>-1186.56</v>
          </cell>
          <cell r="BY1020">
            <v>1186.56</v>
          </cell>
        </row>
        <row r="1021">
          <cell r="BT1021">
            <v>-1890</v>
          </cell>
          <cell r="BY1021">
            <v>1890</v>
          </cell>
        </row>
        <row r="1022">
          <cell r="BT1022">
            <v>-994</v>
          </cell>
          <cell r="BY1022">
            <v>994</v>
          </cell>
        </row>
        <row r="1023">
          <cell r="BT1023">
            <v>-5514</v>
          </cell>
          <cell r="BY1023">
            <v>5514</v>
          </cell>
        </row>
        <row r="1024">
          <cell r="BT1024">
            <v>-1200</v>
          </cell>
          <cell r="BY1024">
            <v>1200</v>
          </cell>
        </row>
        <row r="1025">
          <cell r="BT1025">
            <v>-8550</v>
          </cell>
          <cell r="BY1025">
            <v>8550</v>
          </cell>
        </row>
        <row r="1026">
          <cell r="BT1026">
            <v>-397.2</v>
          </cell>
          <cell r="BY1026">
            <v>397.2</v>
          </cell>
        </row>
        <row r="1027">
          <cell r="BT1027">
            <v>-10800</v>
          </cell>
          <cell r="BY1027">
            <v>10800</v>
          </cell>
        </row>
        <row r="1028">
          <cell r="BT1028">
            <v>-14330</v>
          </cell>
          <cell r="BY1028">
            <v>14330</v>
          </cell>
        </row>
        <row r="1029">
          <cell r="BT1029">
            <v>-3475</v>
          </cell>
          <cell r="BY1029">
            <v>3475</v>
          </cell>
        </row>
        <row r="1030">
          <cell r="BT1030">
            <v>-7380</v>
          </cell>
          <cell r="BY1030">
            <v>7380</v>
          </cell>
        </row>
        <row r="1031">
          <cell r="BT1031">
            <v>-1134</v>
          </cell>
          <cell r="BY1031">
            <v>1134</v>
          </cell>
        </row>
        <row r="1032">
          <cell r="BT1032">
            <v>-5028</v>
          </cell>
          <cell r="BY1032">
            <v>5028</v>
          </cell>
        </row>
        <row r="1033">
          <cell r="BT1033">
            <v>-475.03</v>
          </cell>
          <cell r="BY1033">
            <v>475.03</v>
          </cell>
        </row>
        <row r="1034">
          <cell r="BT1034">
            <v>47.5</v>
          </cell>
          <cell r="BY1034">
            <v>47.5</v>
          </cell>
        </row>
        <row r="1035">
          <cell r="BT1035">
            <v>-1050.03</v>
          </cell>
          <cell r="BY1035">
            <v>1050.03</v>
          </cell>
        </row>
        <row r="1036">
          <cell r="BT1036">
            <v>105</v>
          </cell>
          <cell r="BY1036">
            <v>105</v>
          </cell>
        </row>
        <row r="1037">
          <cell r="BT1037">
            <v>-6143.84</v>
          </cell>
          <cell r="BY1037">
            <v>6143.84</v>
          </cell>
        </row>
        <row r="1038">
          <cell r="BT1038">
            <v>614.38</v>
          </cell>
          <cell r="BY1038">
            <v>614.38</v>
          </cell>
        </row>
        <row r="1039">
          <cell r="BT1039">
            <v>-848.51</v>
          </cell>
          <cell r="BY1039">
            <v>848.51</v>
          </cell>
        </row>
        <row r="1040">
          <cell r="BT1040">
            <v>84.85</v>
          </cell>
          <cell r="BY1040">
            <v>84.85</v>
          </cell>
        </row>
        <row r="1041">
          <cell r="BT1041">
            <v>-1129.55</v>
          </cell>
          <cell r="BY1041">
            <v>1129.55</v>
          </cell>
        </row>
        <row r="1042">
          <cell r="BT1042">
            <v>112.95</v>
          </cell>
          <cell r="BY1042">
            <v>112.95</v>
          </cell>
        </row>
        <row r="1043">
          <cell r="BT1043">
            <v>-3600.13</v>
          </cell>
          <cell r="BY1043">
            <v>3600.13</v>
          </cell>
        </row>
        <row r="1044">
          <cell r="BT1044">
            <v>-838.5</v>
          </cell>
          <cell r="BY1044">
            <v>838.5</v>
          </cell>
        </row>
        <row r="1045">
          <cell r="BT1045">
            <v>-7264</v>
          </cell>
          <cell r="BY1045">
            <v>7264</v>
          </cell>
        </row>
        <row r="1046">
          <cell r="BT1046">
            <v>-4428</v>
          </cell>
          <cell r="BY1046">
            <v>4428</v>
          </cell>
        </row>
        <row r="1047">
          <cell r="BT1047">
            <v>-5292</v>
          </cell>
          <cell r="BY1047">
            <v>5292</v>
          </cell>
        </row>
        <row r="1048">
          <cell r="BT1048">
            <v>-2720</v>
          </cell>
          <cell r="BY1048">
            <v>2720</v>
          </cell>
        </row>
        <row r="1049">
          <cell r="BT1049">
            <v>-3656</v>
          </cell>
          <cell r="BY1049">
            <v>3656</v>
          </cell>
        </row>
        <row r="1050">
          <cell r="BT1050">
            <v>-3656</v>
          </cell>
          <cell r="BY1050">
            <v>3656</v>
          </cell>
        </row>
        <row r="1051">
          <cell r="BT1051">
            <v>3656</v>
          </cell>
          <cell r="BY1051">
            <v>3656</v>
          </cell>
        </row>
        <row r="1052">
          <cell r="BT1052">
            <v>-6600</v>
          </cell>
          <cell r="BY1052">
            <v>6600</v>
          </cell>
        </row>
        <row r="1053">
          <cell r="BT1053">
            <v>-6600</v>
          </cell>
          <cell r="BY1053">
            <v>6600</v>
          </cell>
        </row>
        <row r="1054">
          <cell r="BT1054">
            <v>6600</v>
          </cell>
          <cell r="BY1054">
            <v>6600</v>
          </cell>
        </row>
        <row r="1055">
          <cell r="BT1055">
            <v>360.01</v>
          </cell>
          <cell r="BY1055">
            <v>360.01</v>
          </cell>
        </row>
        <row r="1056">
          <cell r="BT1056">
            <v>-11520.19</v>
          </cell>
          <cell r="BY1056">
            <v>11520.19</v>
          </cell>
        </row>
        <row r="1057">
          <cell r="BT1057">
            <v>1152.02</v>
          </cell>
          <cell r="BY1057">
            <v>1152.02</v>
          </cell>
        </row>
        <row r="1058">
          <cell r="BT1058">
            <v>-608.97</v>
          </cell>
          <cell r="BY1058">
            <v>608.97</v>
          </cell>
        </row>
        <row r="1059">
          <cell r="BT1059">
            <v>60.9</v>
          </cell>
          <cell r="BY1059">
            <v>60.9</v>
          </cell>
        </row>
        <row r="1060">
          <cell r="BT1060">
            <v>-730.86</v>
          </cell>
          <cell r="BY1060">
            <v>730.86</v>
          </cell>
        </row>
        <row r="1061">
          <cell r="BT1061">
            <v>-69.569999999999993</v>
          </cell>
          <cell r="BY1061">
            <v>69.569999999999993</v>
          </cell>
        </row>
        <row r="1062">
          <cell r="BT1062">
            <v>-39000</v>
          </cell>
          <cell r="BY1062">
            <v>39000</v>
          </cell>
        </row>
        <row r="1063">
          <cell r="BT1063">
            <v>258</v>
          </cell>
          <cell r="BY1063">
            <v>258</v>
          </cell>
        </row>
        <row r="1064">
          <cell r="BT1064">
            <v>225</v>
          </cell>
          <cell r="BY1064">
            <v>225</v>
          </cell>
        </row>
        <row r="1065">
          <cell r="BT1065">
            <v>700</v>
          </cell>
          <cell r="BY1065">
            <v>700</v>
          </cell>
        </row>
        <row r="1066">
          <cell r="BT1066">
            <v>712.5</v>
          </cell>
          <cell r="BY1066">
            <v>712.5</v>
          </cell>
        </row>
        <row r="1067">
          <cell r="BT1067">
            <v>3550</v>
          </cell>
          <cell r="BY1067">
            <v>3550</v>
          </cell>
        </row>
        <row r="1068">
          <cell r="BT1068">
            <v>2331</v>
          </cell>
          <cell r="BY1068">
            <v>2331</v>
          </cell>
        </row>
        <row r="1069">
          <cell r="BT1069">
            <v>2331</v>
          </cell>
          <cell r="BY1069">
            <v>2331</v>
          </cell>
        </row>
        <row r="1070">
          <cell r="BT1070">
            <v>-2331</v>
          </cell>
          <cell r="BY1070">
            <v>2331</v>
          </cell>
        </row>
        <row r="1071">
          <cell r="BT1071">
            <v>552.5</v>
          </cell>
          <cell r="BY1071">
            <v>552.5</v>
          </cell>
        </row>
        <row r="1072">
          <cell r="BT1072">
            <v>412.5</v>
          </cell>
          <cell r="BY1072">
            <v>412.5</v>
          </cell>
        </row>
        <row r="1073">
          <cell r="BT1073">
            <v>2000</v>
          </cell>
          <cell r="BY1073">
            <v>2000</v>
          </cell>
        </row>
        <row r="1074">
          <cell r="BT1074">
            <v>2000</v>
          </cell>
          <cell r="BY1074">
            <v>2000</v>
          </cell>
        </row>
        <row r="1075">
          <cell r="BT1075">
            <v>-70</v>
          </cell>
          <cell r="BY1075">
            <v>70</v>
          </cell>
        </row>
        <row r="1076">
          <cell r="BT1076">
            <v>-57</v>
          </cell>
          <cell r="BY1076">
            <v>57</v>
          </cell>
        </row>
        <row r="1077">
          <cell r="BT1077">
            <v>-82.5</v>
          </cell>
          <cell r="BY1077">
            <v>82.5</v>
          </cell>
        </row>
        <row r="1078">
          <cell r="BT1078">
            <v>-1200</v>
          </cell>
          <cell r="BY1078">
            <v>1200</v>
          </cell>
        </row>
        <row r="1079">
          <cell r="BT1079">
            <v>-400</v>
          </cell>
          <cell r="BY1079">
            <v>400</v>
          </cell>
        </row>
        <row r="1080">
          <cell r="BT1080">
            <v>-2720</v>
          </cell>
          <cell r="BY1080">
            <v>2720</v>
          </cell>
        </row>
        <row r="1081">
          <cell r="BT1081">
            <v>-136.5</v>
          </cell>
          <cell r="BY1081">
            <v>136.5</v>
          </cell>
        </row>
        <row r="1082">
          <cell r="BT1082">
            <v>-12.9</v>
          </cell>
          <cell r="BY1082">
            <v>12.9</v>
          </cell>
        </row>
        <row r="1083">
          <cell r="BT1083">
            <v>600</v>
          </cell>
          <cell r="BY1083">
            <v>600</v>
          </cell>
        </row>
        <row r="1084">
          <cell r="BT1084">
            <v>-30</v>
          </cell>
          <cell r="BY1084">
            <v>30</v>
          </cell>
        </row>
        <row r="1085">
          <cell r="BT1085">
            <v>2400</v>
          </cell>
          <cell r="BY1085">
            <v>2400</v>
          </cell>
        </row>
        <row r="1086">
          <cell r="BT1086">
            <v>-120</v>
          </cell>
          <cell r="BY1086">
            <v>120</v>
          </cell>
        </row>
        <row r="1087">
          <cell r="BT1087">
            <v>1200</v>
          </cell>
          <cell r="BY1087">
            <v>1200</v>
          </cell>
        </row>
        <row r="1088">
          <cell r="BT1088">
            <v>-60</v>
          </cell>
          <cell r="BY1088">
            <v>60</v>
          </cell>
        </row>
        <row r="1089">
          <cell r="BT1089">
            <v>860</v>
          </cell>
          <cell r="BY1089">
            <v>860</v>
          </cell>
        </row>
        <row r="1090">
          <cell r="BT1090">
            <v>-43</v>
          </cell>
          <cell r="BY1090">
            <v>43</v>
          </cell>
        </row>
        <row r="1091">
          <cell r="BT1091">
            <v>9750</v>
          </cell>
          <cell r="BY1091">
            <v>9750</v>
          </cell>
        </row>
        <row r="1092">
          <cell r="BT1092">
            <v>-487.5</v>
          </cell>
          <cell r="BY1092">
            <v>487.5</v>
          </cell>
        </row>
        <row r="1093">
          <cell r="BT1093">
            <v>12800</v>
          </cell>
          <cell r="BY1093">
            <v>12800</v>
          </cell>
        </row>
        <row r="1094">
          <cell r="BT1094">
            <v>137</v>
          </cell>
          <cell r="BY1094">
            <v>137</v>
          </cell>
        </row>
        <row r="1095">
          <cell r="BT1095">
            <v>1890</v>
          </cell>
          <cell r="BY1095">
            <v>1890</v>
          </cell>
        </row>
        <row r="1096">
          <cell r="BT1096">
            <v>5340</v>
          </cell>
          <cell r="BY1096">
            <v>5340</v>
          </cell>
        </row>
        <row r="1097">
          <cell r="BT1097">
            <v>980</v>
          </cell>
          <cell r="BY1097">
            <v>980</v>
          </cell>
        </row>
        <row r="1098">
          <cell r="BT1098">
            <v>960</v>
          </cell>
          <cell r="BY1098">
            <v>960</v>
          </cell>
        </row>
        <row r="1099">
          <cell r="BT1099">
            <v>500</v>
          </cell>
          <cell r="BY1099">
            <v>500</v>
          </cell>
        </row>
        <row r="1100">
          <cell r="BT1100">
            <v>3580</v>
          </cell>
          <cell r="BY1100">
            <v>3580</v>
          </cell>
        </row>
        <row r="1101">
          <cell r="BT1101">
            <v>3680</v>
          </cell>
          <cell r="BY1101">
            <v>3680</v>
          </cell>
        </row>
        <row r="1102">
          <cell r="BT1102">
            <v>665</v>
          </cell>
          <cell r="BY1102">
            <v>665</v>
          </cell>
        </row>
        <row r="1103">
          <cell r="BT1103">
            <v>4600</v>
          </cell>
          <cell r="BY1103">
            <v>4600</v>
          </cell>
        </row>
        <row r="1104">
          <cell r="BT1104">
            <v>-129</v>
          </cell>
          <cell r="BY1104">
            <v>129</v>
          </cell>
        </row>
        <row r="1105">
          <cell r="BT1105">
            <v>5.16</v>
          </cell>
          <cell r="BY1105">
            <v>5.16</v>
          </cell>
        </row>
        <row r="1106">
          <cell r="BT1106">
            <v>-720</v>
          </cell>
          <cell r="BY1106">
            <v>720</v>
          </cell>
        </row>
        <row r="1107">
          <cell r="BT1107">
            <v>28.8</v>
          </cell>
          <cell r="BY1107">
            <v>28.8</v>
          </cell>
        </row>
        <row r="1108">
          <cell r="BT1108">
            <v>-425</v>
          </cell>
          <cell r="BY1108">
            <v>425</v>
          </cell>
        </row>
        <row r="1109">
          <cell r="BT1109">
            <v>17</v>
          </cell>
          <cell r="BY1109">
            <v>17</v>
          </cell>
        </row>
        <row r="1110">
          <cell r="BT1110">
            <v>-2201.6</v>
          </cell>
          <cell r="BY1110">
            <v>2201.6</v>
          </cell>
        </row>
        <row r="1111">
          <cell r="BT1111">
            <v>88.06</v>
          </cell>
          <cell r="BY1111">
            <v>88.06</v>
          </cell>
        </row>
        <row r="1112">
          <cell r="BT1112">
            <v>-360</v>
          </cell>
          <cell r="BY1112">
            <v>360</v>
          </cell>
        </row>
        <row r="1113">
          <cell r="BT1113">
            <v>-805</v>
          </cell>
          <cell r="BY1113">
            <v>805</v>
          </cell>
        </row>
        <row r="1114">
          <cell r="BT1114">
            <v>-108</v>
          </cell>
          <cell r="BY1114">
            <v>108</v>
          </cell>
        </row>
        <row r="1115">
          <cell r="BT1115">
            <v>-4600</v>
          </cell>
          <cell r="BY1115">
            <v>4600</v>
          </cell>
        </row>
        <row r="1116">
          <cell r="BT1116">
            <v>-115</v>
          </cell>
          <cell r="BY1116">
            <v>115</v>
          </cell>
        </row>
        <row r="1117">
          <cell r="BT1117">
            <v>-154.5</v>
          </cell>
          <cell r="BY1117">
            <v>154.5</v>
          </cell>
        </row>
        <row r="1118">
          <cell r="BT1118">
            <v>-70</v>
          </cell>
          <cell r="BY1118">
            <v>70</v>
          </cell>
        </row>
        <row r="1119">
          <cell r="BT1119">
            <v>-57</v>
          </cell>
          <cell r="BY1119">
            <v>57</v>
          </cell>
        </row>
        <row r="1120">
          <cell r="BT1120">
            <v>-82.5</v>
          </cell>
          <cell r="BY1120">
            <v>82.5</v>
          </cell>
        </row>
        <row r="1121">
          <cell r="BT1121">
            <v>-1200</v>
          </cell>
          <cell r="BY1121">
            <v>1200</v>
          </cell>
        </row>
        <row r="1122">
          <cell r="BT1122">
            <v>10000</v>
          </cell>
          <cell r="BY1122">
            <v>10000</v>
          </cell>
        </row>
        <row r="1123">
          <cell r="BT1123">
            <v>-500</v>
          </cell>
          <cell r="BY1123">
            <v>500</v>
          </cell>
        </row>
        <row r="1124">
          <cell r="BT1124">
            <v>1100</v>
          </cell>
          <cell r="BY1124">
            <v>1100</v>
          </cell>
        </row>
        <row r="1125">
          <cell r="BT1125">
            <v>-55</v>
          </cell>
          <cell r="BY1125">
            <v>55</v>
          </cell>
        </row>
        <row r="1126">
          <cell r="BT1126">
            <v>6800</v>
          </cell>
          <cell r="BY1126">
            <v>6800</v>
          </cell>
        </row>
        <row r="1127">
          <cell r="BT1127">
            <v>-340</v>
          </cell>
          <cell r="BY1127">
            <v>340</v>
          </cell>
        </row>
        <row r="1128">
          <cell r="BT1128">
            <v>2170</v>
          </cell>
          <cell r="BY1128">
            <v>2170</v>
          </cell>
        </row>
        <row r="1129">
          <cell r="BT1129">
            <v>-108.5</v>
          </cell>
          <cell r="BY1129">
            <v>108.5</v>
          </cell>
        </row>
        <row r="1130">
          <cell r="BT1130">
            <v>11240</v>
          </cell>
          <cell r="BY1130">
            <v>11240</v>
          </cell>
        </row>
        <row r="1131">
          <cell r="BT1131">
            <v>-562</v>
          </cell>
          <cell r="BY1131">
            <v>562</v>
          </cell>
        </row>
        <row r="1132">
          <cell r="BT1132">
            <v>1092</v>
          </cell>
          <cell r="BY1132">
            <v>1092</v>
          </cell>
        </row>
        <row r="1133">
          <cell r="BT1133">
            <v>15000</v>
          </cell>
          <cell r="BY1133">
            <v>15000</v>
          </cell>
        </row>
        <row r="1134">
          <cell r="BT1134">
            <v>617.5</v>
          </cell>
          <cell r="BY1134">
            <v>617.5</v>
          </cell>
        </row>
        <row r="1135">
          <cell r="BT1135">
            <v>257.5</v>
          </cell>
          <cell r="BY1135">
            <v>257.5</v>
          </cell>
        </row>
        <row r="1136">
          <cell r="BT1136">
            <v>4600</v>
          </cell>
          <cell r="BY1136">
            <v>4600</v>
          </cell>
        </row>
        <row r="1137">
          <cell r="BT1137">
            <v>-5070</v>
          </cell>
          <cell r="BY1137">
            <v>5070</v>
          </cell>
        </row>
        <row r="1138">
          <cell r="BT1138">
            <v>202.8</v>
          </cell>
          <cell r="BY1138">
            <v>202.8</v>
          </cell>
        </row>
        <row r="1139">
          <cell r="BT1139">
            <v>-750</v>
          </cell>
          <cell r="BY1139">
            <v>750</v>
          </cell>
        </row>
        <row r="1140">
          <cell r="BT1140">
            <v>30</v>
          </cell>
          <cell r="BY1140">
            <v>30</v>
          </cell>
        </row>
        <row r="1141">
          <cell r="BT1141">
            <v>-540</v>
          </cell>
          <cell r="BY1141">
            <v>540</v>
          </cell>
        </row>
        <row r="1142">
          <cell r="BT1142">
            <v>21.6</v>
          </cell>
          <cell r="BY1142">
            <v>21.6</v>
          </cell>
        </row>
        <row r="1143">
          <cell r="BT1143">
            <v>-510</v>
          </cell>
          <cell r="BY1143">
            <v>510</v>
          </cell>
        </row>
        <row r="1144">
          <cell r="BT1144">
            <v>20.399999999999999</v>
          </cell>
          <cell r="BY1144">
            <v>20.399999999999999</v>
          </cell>
        </row>
        <row r="1145">
          <cell r="BT1145">
            <v>-1860</v>
          </cell>
          <cell r="BY1145">
            <v>1860</v>
          </cell>
        </row>
        <row r="1146">
          <cell r="BT1146">
            <v>74.400000000000006</v>
          </cell>
          <cell r="BY1146">
            <v>74.400000000000006</v>
          </cell>
        </row>
        <row r="1147">
          <cell r="BT1147">
            <v>-2584</v>
          </cell>
          <cell r="BY1147">
            <v>2584</v>
          </cell>
        </row>
        <row r="1148">
          <cell r="BT1148">
            <v>-400</v>
          </cell>
          <cell r="BY1148">
            <v>400</v>
          </cell>
        </row>
        <row r="1149">
          <cell r="BT1149">
            <v>-2720</v>
          </cell>
          <cell r="BY1149">
            <v>2720</v>
          </cell>
        </row>
        <row r="1150">
          <cell r="BT1150">
            <v>-136.5</v>
          </cell>
          <cell r="BY1150">
            <v>136.5</v>
          </cell>
        </row>
        <row r="1151">
          <cell r="BT1151">
            <v>-360</v>
          </cell>
          <cell r="BY1151">
            <v>360</v>
          </cell>
        </row>
        <row r="1152">
          <cell r="BT1152">
            <v>-805</v>
          </cell>
          <cell r="BY1152">
            <v>805</v>
          </cell>
        </row>
        <row r="1153">
          <cell r="BT1153">
            <v>-108</v>
          </cell>
          <cell r="BY1153">
            <v>108</v>
          </cell>
        </row>
        <row r="1154">
          <cell r="BT1154">
            <v>-4600</v>
          </cell>
          <cell r="BY1154">
            <v>4600</v>
          </cell>
        </row>
        <row r="1155">
          <cell r="BT1155">
            <v>-115</v>
          </cell>
          <cell r="BY1155">
            <v>115</v>
          </cell>
        </row>
        <row r="1156">
          <cell r="BT1156">
            <v>-154.5</v>
          </cell>
          <cell r="BY1156">
            <v>154.5</v>
          </cell>
        </row>
        <row r="1157">
          <cell r="BT1157">
            <v>-70</v>
          </cell>
          <cell r="BY1157">
            <v>70</v>
          </cell>
        </row>
        <row r="1158">
          <cell r="BT1158">
            <v>-57</v>
          </cell>
          <cell r="BY1158">
            <v>57</v>
          </cell>
        </row>
        <row r="1159">
          <cell r="BT1159">
            <v>-30.6</v>
          </cell>
          <cell r="BY1159">
            <v>30.6</v>
          </cell>
        </row>
        <row r="1160">
          <cell r="BT1160">
            <v>1.53</v>
          </cell>
          <cell r="BY1160">
            <v>1.53</v>
          </cell>
        </row>
        <row r="1161">
          <cell r="BT1161">
            <v>-1001.3</v>
          </cell>
          <cell r="BY1161">
            <v>1001.3</v>
          </cell>
        </row>
        <row r="1162">
          <cell r="BT1162">
            <v>-54.6</v>
          </cell>
          <cell r="BY1162">
            <v>54.6</v>
          </cell>
        </row>
        <row r="1163">
          <cell r="BT1163">
            <v>2130</v>
          </cell>
          <cell r="BY1163">
            <v>2130</v>
          </cell>
        </row>
        <row r="1164">
          <cell r="BT1164">
            <v>-106.5</v>
          </cell>
          <cell r="BY1164">
            <v>106.5</v>
          </cell>
        </row>
        <row r="1165">
          <cell r="BT1165">
            <v>103.36</v>
          </cell>
          <cell r="BY1165">
            <v>103.36</v>
          </cell>
        </row>
        <row r="1166">
          <cell r="BT1166">
            <v>-220</v>
          </cell>
          <cell r="BY1166">
            <v>220</v>
          </cell>
        </row>
        <row r="1167">
          <cell r="BT1167">
            <v>8.8000000000000007</v>
          </cell>
          <cell r="BY1167">
            <v>8.8000000000000007</v>
          </cell>
        </row>
        <row r="1168">
          <cell r="BT1168">
            <v>-415</v>
          </cell>
          <cell r="BY1168">
            <v>415</v>
          </cell>
        </row>
        <row r="1169">
          <cell r="BT1169">
            <v>16.600000000000001</v>
          </cell>
          <cell r="BY1169">
            <v>16.600000000000001</v>
          </cell>
        </row>
        <row r="1170">
          <cell r="BT1170">
            <v>-11127.6</v>
          </cell>
          <cell r="BY1170">
            <v>11127.6</v>
          </cell>
        </row>
        <row r="1171">
          <cell r="BT1171">
            <v>445.1</v>
          </cell>
          <cell r="BY1171">
            <v>445.1</v>
          </cell>
        </row>
        <row r="1172">
          <cell r="BT1172">
            <v>-257</v>
          </cell>
          <cell r="BY1172">
            <v>257</v>
          </cell>
        </row>
        <row r="1173">
          <cell r="BT1173">
            <v>10.28</v>
          </cell>
          <cell r="BY1173">
            <v>10.28</v>
          </cell>
        </row>
        <row r="1174">
          <cell r="BT1174">
            <v>-409.5</v>
          </cell>
          <cell r="BY1174">
            <v>409.5</v>
          </cell>
        </row>
        <row r="1175">
          <cell r="BT1175">
            <v>16.38</v>
          </cell>
          <cell r="BY1175">
            <v>16.38</v>
          </cell>
        </row>
        <row r="1176">
          <cell r="BT1176">
            <v>-82.5</v>
          </cell>
          <cell r="BY1176">
            <v>82.5</v>
          </cell>
        </row>
        <row r="1177">
          <cell r="BT1177">
            <v>-1200</v>
          </cell>
          <cell r="BY1177">
            <v>1200</v>
          </cell>
        </row>
        <row r="1178">
          <cell r="BT1178">
            <v>-400</v>
          </cell>
          <cell r="BY1178">
            <v>400</v>
          </cell>
        </row>
        <row r="1179">
          <cell r="BT1179">
            <v>-2720</v>
          </cell>
          <cell r="BY1179">
            <v>2720</v>
          </cell>
        </row>
        <row r="1180">
          <cell r="BT1180">
            <v>-136.5</v>
          </cell>
          <cell r="BY1180">
            <v>136.5</v>
          </cell>
        </row>
        <row r="1181">
          <cell r="BT1181">
            <v>-360</v>
          </cell>
          <cell r="BY1181">
            <v>360</v>
          </cell>
        </row>
        <row r="1182">
          <cell r="BT1182">
            <v>-805</v>
          </cell>
          <cell r="BY1182">
            <v>805</v>
          </cell>
        </row>
        <row r="1183">
          <cell r="BT1183">
            <v>-108</v>
          </cell>
          <cell r="BY1183">
            <v>108</v>
          </cell>
        </row>
        <row r="1184">
          <cell r="BT1184">
            <v>-4600</v>
          </cell>
          <cell r="BY1184">
            <v>4600</v>
          </cell>
        </row>
        <row r="1185">
          <cell r="BT1185">
            <v>-115</v>
          </cell>
          <cell r="BY1185">
            <v>115</v>
          </cell>
        </row>
        <row r="1186">
          <cell r="BT1186">
            <v>-154.5</v>
          </cell>
          <cell r="BY1186">
            <v>154.5</v>
          </cell>
        </row>
        <row r="1187">
          <cell r="BT1187">
            <v>50.07</v>
          </cell>
          <cell r="BY1187">
            <v>50.07</v>
          </cell>
        </row>
        <row r="1188">
          <cell r="BT1188">
            <v>-708.75</v>
          </cell>
          <cell r="BY1188">
            <v>708.75</v>
          </cell>
        </row>
        <row r="1189">
          <cell r="BT1189">
            <v>35.44</v>
          </cell>
          <cell r="BY1189">
            <v>35.44</v>
          </cell>
        </row>
        <row r="1190">
          <cell r="BT1190">
            <v>-537.5</v>
          </cell>
          <cell r="BY1190">
            <v>537.5</v>
          </cell>
        </row>
        <row r="1191">
          <cell r="BT1191">
            <v>26.88</v>
          </cell>
          <cell r="BY1191">
            <v>26.88</v>
          </cell>
        </row>
        <row r="1192">
          <cell r="BT1192">
            <v>-512.5</v>
          </cell>
          <cell r="BY1192">
            <v>512.5</v>
          </cell>
        </row>
        <row r="1193">
          <cell r="BT1193">
            <v>25.63</v>
          </cell>
          <cell r="BY1193">
            <v>25.63</v>
          </cell>
        </row>
        <row r="1194">
          <cell r="BT1194">
            <v>-357</v>
          </cell>
          <cell r="BY1194">
            <v>357</v>
          </cell>
        </row>
        <row r="1195">
          <cell r="BT1195">
            <v>17.850000000000001</v>
          </cell>
          <cell r="BY1195">
            <v>17.850000000000001</v>
          </cell>
        </row>
        <row r="1196">
          <cell r="BT1196">
            <v>-1386</v>
          </cell>
          <cell r="BY1196">
            <v>1386</v>
          </cell>
        </row>
        <row r="1197">
          <cell r="BT1197">
            <v>69.3</v>
          </cell>
          <cell r="BY1197">
            <v>69.3</v>
          </cell>
        </row>
        <row r="1198">
          <cell r="BT1198">
            <v>-342</v>
          </cell>
          <cell r="BY1198">
            <v>342</v>
          </cell>
        </row>
        <row r="1199">
          <cell r="BT1199">
            <v>-53.2</v>
          </cell>
          <cell r="BY1199">
            <v>53.2</v>
          </cell>
        </row>
        <row r="1200">
          <cell r="BT1200">
            <v>2.13</v>
          </cell>
          <cell r="BY1200">
            <v>2.13</v>
          </cell>
        </row>
        <row r="1201">
          <cell r="BT1201">
            <v>-36.5</v>
          </cell>
          <cell r="BY1201">
            <v>36.5</v>
          </cell>
        </row>
        <row r="1202">
          <cell r="BT1202">
            <v>1.46</v>
          </cell>
          <cell r="BY1202">
            <v>1.46</v>
          </cell>
        </row>
        <row r="1203">
          <cell r="BT1203">
            <v>-85.2</v>
          </cell>
          <cell r="BY1203">
            <v>85.2</v>
          </cell>
        </row>
        <row r="1204">
          <cell r="BT1204">
            <v>3.41</v>
          </cell>
          <cell r="BY1204">
            <v>3.41</v>
          </cell>
        </row>
        <row r="1205">
          <cell r="BT1205">
            <v>-677.5</v>
          </cell>
          <cell r="BY1205">
            <v>677.5</v>
          </cell>
        </row>
        <row r="1206">
          <cell r="BT1206">
            <v>-2475</v>
          </cell>
          <cell r="BY1206">
            <v>2475</v>
          </cell>
        </row>
        <row r="1207">
          <cell r="BT1207">
            <v>-2475</v>
          </cell>
          <cell r="BY1207">
            <v>2475</v>
          </cell>
        </row>
        <row r="1208">
          <cell r="BT1208">
            <v>2475</v>
          </cell>
          <cell r="BY1208">
            <v>2475</v>
          </cell>
        </row>
        <row r="1209">
          <cell r="BT1209">
            <v>-639</v>
          </cell>
          <cell r="BY1209">
            <v>639</v>
          </cell>
        </row>
        <row r="1210">
          <cell r="BT1210">
            <v>-1828</v>
          </cell>
          <cell r="BY1210">
            <v>1828</v>
          </cell>
        </row>
        <row r="1211">
          <cell r="BT1211">
            <v>-1828</v>
          </cell>
          <cell r="BY1211">
            <v>1828</v>
          </cell>
        </row>
        <row r="1212">
          <cell r="BT1212">
            <v>1828</v>
          </cell>
          <cell r="BY1212">
            <v>1828</v>
          </cell>
        </row>
        <row r="1213">
          <cell r="BT1213">
            <v>-20425</v>
          </cell>
          <cell r="BY1213">
            <v>20425</v>
          </cell>
        </row>
        <row r="1214">
          <cell r="BT1214">
            <v>1021.22</v>
          </cell>
          <cell r="BY1214">
            <v>1021.22</v>
          </cell>
        </row>
        <row r="1215">
          <cell r="BT1215">
            <v>-550</v>
          </cell>
          <cell r="BY1215">
            <v>550</v>
          </cell>
        </row>
        <row r="1216">
          <cell r="BT1216">
            <v>27.5</v>
          </cell>
          <cell r="BY1216">
            <v>27.5</v>
          </cell>
        </row>
        <row r="1217">
          <cell r="BT1217">
            <v>-240.75</v>
          </cell>
          <cell r="BY1217">
            <v>240.75</v>
          </cell>
        </row>
        <row r="1218">
          <cell r="BT1218">
            <v>12.04</v>
          </cell>
          <cell r="BY1218">
            <v>12.04</v>
          </cell>
        </row>
        <row r="1219">
          <cell r="BT1219">
            <v>-1230</v>
          </cell>
          <cell r="BY1219">
            <v>1230</v>
          </cell>
        </row>
        <row r="1220">
          <cell r="BT1220">
            <v>61.5</v>
          </cell>
          <cell r="BY1220">
            <v>61.5</v>
          </cell>
        </row>
        <row r="1221">
          <cell r="BT1221">
            <v>-505.3</v>
          </cell>
          <cell r="BY1221">
            <v>505.3</v>
          </cell>
        </row>
        <row r="1222">
          <cell r="BT1222">
            <v>25.27</v>
          </cell>
          <cell r="BY1222">
            <v>25.27</v>
          </cell>
        </row>
        <row r="1223">
          <cell r="BT1223">
            <v>-4762.5</v>
          </cell>
          <cell r="BY1223">
            <v>4762.5</v>
          </cell>
        </row>
        <row r="1224">
          <cell r="BT1224">
            <v>-852</v>
          </cell>
          <cell r="BY1224">
            <v>852</v>
          </cell>
        </row>
        <row r="1225">
          <cell r="BT1225">
            <v>-412.5</v>
          </cell>
          <cell r="BY1225">
            <v>412.5</v>
          </cell>
        </row>
        <row r="1226">
          <cell r="BT1226">
            <v>-1096</v>
          </cell>
          <cell r="BY1226">
            <v>1096</v>
          </cell>
        </row>
        <row r="1227">
          <cell r="BT1227">
            <v>-945</v>
          </cell>
          <cell r="BY1227">
            <v>945</v>
          </cell>
        </row>
        <row r="1228">
          <cell r="BT1228">
            <v>-490</v>
          </cell>
          <cell r="BY1228">
            <v>490</v>
          </cell>
        </row>
        <row r="1229">
          <cell r="BT1229">
            <v>-1104</v>
          </cell>
          <cell r="BY1229">
            <v>1104</v>
          </cell>
        </row>
        <row r="1230">
          <cell r="BT1230">
            <v>-447.5</v>
          </cell>
          <cell r="BY1230">
            <v>447.5</v>
          </cell>
        </row>
        <row r="1231">
          <cell r="BT1231">
            <v>-1380</v>
          </cell>
          <cell r="BY1231">
            <v>1380</v>
          </cell>
        </row>
        <row r="1232">
          <cell r="BT1232">
            <v>-672</v>
          </cell>
          <cell r="BY1232">
            <v>672</v>
          </cell>
        </row>
        <row r="1233">
          <cell r="BT1233">
            <v>-1200</v>
          </cell>
          <cell r="BY1233">
            <v>1200</v>
          </cell>
        </row>
        <row r="1234">
          <cell r="BT1234">
            <v>-375</v>
          </cell>
          <cell r="BY1234">
            <v>375</v>
          </cell>
        </row>
        <row r="1235">
          <cell r="BT1235">
            <v>-33880</v>
          </cell>
          <cell r="BY1235">
            <v>33880</v>
          </cell>
        </row>
        <row r="1236">
          <cell r="BT1236">
            <v>-1884</v>
          </cell>
          <cell r="BY1236">
            <v>1884</v>
          </cell>
        </row>
        <row r="1237">
          <cell r="BT1237">
            <v>-4914</v>
          </cell>
          <cell r="BY1237">
            <v>4914</v>
          </cell>
        </row>
        <row r="1238">
          <cell r="BT1238">
            <v>-4540</v>
          </cell>
          <cell r="BY1238">
            <v>4540</v>
          </cell>
        </row>
        <row r="1239">
          <cell r="BT1239">
            <v>-5502</v>
          </cell>
          <cell r="BY1239">
            <v>5502</v>
          </cell>
        </row>
        <row r="1240">
          <cell r="BT1240">
            <v>-5292</v>
          </cell>
          <cell r="BY1240">
            <v>5292</v>
          </cell>
        </row>
        <row r="1241">
          <cell r="BT1241">
            <v>-4516</v>
          </cell>
          <cell r="BY1241">
            <v>4516</v>
          </cell>
        </row>
        <row r="1242">
          <cell r="BT1242">
            <v>-31620</v>
          </cell>
          <cell r="BY1242">
            <v>31620</v>
          </cell>
        </row>
        <row r="1243">
          <cell r="BT1243">
            <v>-990</v>
          </cell>
          <cell r="BY1243">
            <v>990</v>
          </cell>
        </row>
        <row r="1244">
          <cell r="BT1244">
            <v>-3808</v>
          </cell>
          <cell r="BY1244">
            <v>3808</v>
          </cell>
        </row>
        <row r="1245">
          <cell r="BT1245">
            <v>-796</v>
          </cell>
          <cell r="BY1245">
            <v>796</v>
          </cell>
        </row>
        <row r="1246">
          <cell r="BT1246">
            <v>45000</v>
          </cell>
          <cell r="BY1246">
            <v>45000</v>
          </cell>
        </row>
        <row r="1247">
          <cell r="BT1247">
            <v>300</v>
          </cell>
          <cell r="BY1247">
            <v>300</v>
          </cell>
        </row>
        <row r="1248">
          <cell r="BT1248">
            <v>-300</v>
          </cell>
          <cell r="BY1248">
            <v>300</v>
          </cell>
        </row>
        <row r="1249">
          <cell r="BT1249">
            <v>-45000</v>
          </cell>
          <cell r="BY1249">
            <v>45000</v>
          </cell>
        </row>
        <row r="1250">
          <cell r="BT1250">
            <v>-300</v>
          </cell>
          <cell r="BY1250">
            <v>300</v>
          </cell>
        </row>
        <row r="1251">
          <cell r="BT1251">
            <v>300</v>
          </cell>
          <cell r="BY1251">
            <v>300</v>
          </cell>
        </row>
        <row r="1252">
          <cell r="BT1252">
            <v>238.13</v>
          </cell>
          <cell r="BY1252">
            <v>238.13</v>
          </cell>
        </row>
        <row r="1253">
          <cell r="BT1253">
            <v>-401.25</v>
          </cell>
          <cell r="BY1253">
            <v>401.25</v>
          </cell>
        </row>
        <row r="1254">
          <cell r="BT1254">
            <v>20.059999999999999</v>
          </cell>
          <cell r="BY1254">
            <v>20.059999999999999</v>
          </cell>
        </row>
        <row r="1255">
          <cell r="BT1255">
            <v>-6440</v>
          </cell>
          <cell r="BY1255">
            <v>6440</v>
          </cell>
        </row>
        <row r="1256">
          <cell r="BT1256">
            <v>322</v>
          </cell>
          <cell r="BY1256">
            <v>322</v>
          </cell>
        </row>
        <row r="1257">
          <cell r="BT1257">
            <v>-300</v>
          </cell>
          <cell r="BY1257">
            <v>300</v>
          </cell>
        </row>
        <row r="1258">
          <cell r="BT1258">
            <v>15</v>
          </cell>
          <cell r="BY1258">
            <v>15</v>
          </cell>
        </row>
        <row r="1259">
          <cell r="BT1259">
            <v>-1906.5</v>
          </cell>
          <cell r="BY1259">
            <v>1906.5</v>
          </cell>
        </row>
        <row r="1260">
          <cell r="BT1260">
            <v>95.33</v>
          </cell>
          <cell r="BY1260">
            <v>95.33</v>
          </cell>
        </row>
        <row r="1261">
          <cell r="BT1261">
            <v>-12690</v>
          </cell>
          <cell r="BY1261">
            <v>12690</v>
          </cell>
        </row>
        <row r="1262">
          <cell r="BT1262">
            <v>634.5</v>
          </cell>
          <cell r="BY1262">
            <v>634.5</v>
          </cell>
        </row>
        <row r="1263">
          <cell r="BT1263">
            <v>-552.5</v>
          </cell>
          <cell r="BY1263">
            <v>552.5</v>
          </cell>
        </row>
        <row r="1264">
          <cell r="BT1264">
            <v>-1875</v>
          </cell>
          <cell r="BY1264">
            <v>1875</v>
          </cell>
        </row>
        <row r="1265">
          <cell r="BT1265">
            <v>-926</v>
          </cell>
          <cell r="BY1265">
            <v>926</v>
          </cell>
        </row>
        <row r="1266">
          <cell r="BT1266">
            <v>-7318</v>
          </cell>
          <cell r="BY1266">
            <v>7318</v>
          </cell>
        </row>
        <row r="1267">
          <cell r="BT1267">
            <v>-2508.1999999999998</v>
          </cell>
          <cell r="BY1267">
            <v>2508.1999999999998</v>
          </cell>
        </row>
        <row r="1268">
          <cell r="BT1268">
            <v>-256.85000000000002</v>
          </cell>
          <cell r="BY1268">
            <v>256.85000000000002</v>
          </cell>
        </row>
        <row r="1269">
          <cell r="BT1269">
            <v>-105</v>
          </cell>
          <cell r="BY1269">
            <v>105</v>
          </cell>
        </row>
        <row r="1270">
          <cell r="BT1270">
            <v>105</v>
          </cell>
          <cell r="BY1270">
            <v>105</v>
          </cell>
        </row>
        <row r="1271">
          <cell r="BT1271">
            <v>-23250</v>
          </cell>
          <cell r="BY1271">
            <v>23250</v>
          </cell>
        </row>
        <row r="1272">
          <cell r="BT1272">
            <v>-1612.31</v>
          </cell>
          <cell r="BY1272">
            <v>1612.31</v>
          </cell>
        </row>
        <row r="1273">
          <cell r="BT1273">
            <v>-52.62</v>
          </cell>
          <cell r="BY1273">
            <v>52.62</v>
          </cell>
        </row>
        <row r="1274">
          <cell r="BT1274">
            <v>23250</v>
          </cell>
          <cell r="BY1274">
            <v>23250</v>
          </cell>
        </row>
        <row r="1275">
          <cell r="BT1275">
            <v>-299.95</v>
          </cell>
          <cell r="BY1275">
            <v>299.95</v>
          </cell>
        </row>
        <row r="1276">
          <cell r="BT1276">
            <v>-1314</v>
          </cell>
          <cell r="BY1276">
            <v>1314</v>
          </cell>
        </row>
        <row r="1277">
          <cell r="BT1277">
            <v>-2376</v>
          </cell>
          <cell r="BY1277">
            <v>2376</v>
          </cell>
        </row>
        <row r="1278">
          <cell r="BT1278">
            <v>-1720</v>
          </cell>
          <cell r="BY1278">
            <v>1720</v>
          </cell>
        </row>
        <row r="1279">
          <cell r="BT1279">
            <v>-988.8</v>
          </cell>
          <cell r="BY1279">
            <v>988.8</v>
          </cell>
        </row>
        <row r="1280">
          <cell r="BT1280">
            <v>-3652</v>
          </cell>
          <cell r="BY1280">
            <v>3652</v>
          </cell>
        </row>
        <row r="1281">
          <cell r="BT1281">
            <v>-308.39999999999998</v>
          </cell>
          <cell r="BY1281">
            <v>308.39999999999998</v>
          </cell>
        </row>
        <row r="1282">
          <cell r="BT1282">
            <v>-1647</v>
          </cell>
          <cell r="BY1282">
            <v>1647</v>
          </cell>
        </row>
        <row r="1283">
          <cell r="BT1283">
            <v>-3465</v>
          </cell>
          <cell r="BY1283">
            <v>3465</v>
          </cell>
        </row>
        <row r="1284">
          <cell r="BT1284">
            <v>-1213</v>
          </cell>
          <cell r="BY1284">
            <v>1213</v>
          </cell>
        </row>
        <row r="1285">
          <cell r="BT1285">
            <v>60.65</v>
          </cell>
          <cell r="BY1285">
            <v>60.65</v>
          </cell>
        </row>
        <row r="1286">
          <cell r="BT1286">
            <v>-449</v>
          </cell>
          <cell r="BY1286">
            <v>449</v>
          </cell>
        </row>
        <row r="1287">
          <cell r="BT1287">
            <v>22.45</v>
          </cell>
          <cell r="BY1287">
            <v>22.45</v>
          </cell>
        </row>
        <row r="1288">
          <cell r="BT1288">
            <v>-971.75</v>
          </cell>
          <cell r="BY1288">
            <v>971.75</v>
          </cell>
        </row>
        <row r="1289">
          <cell r="BT1289">
            <v>48.59</v>
          </cell>
          <cell r="BY1289">
            <v>48.59</v>
          </cell>
        </row>
        <row r="1290">
          <cell r="BT1290">
            <v>-2100</v>
          </cell>
          <cell r="BY1290">
            <v>2100</v>
          </cell>
        </row>
        <row r="1291">
          <cell r="BT1291">
            <v>105</v>
          </cell>
          <cell r="BY1291">
            <v>105</v>
          </cell>
        </row>
        <row r="1292">
          <cell r="BT1292">
            <v>-370</v>
          </cell>
          <cell r="BY1292">
            <v>370</v>
          </cell>
        </row>
        <row r="1293">
          <cell r="BT1293">
            <v>18.5</v>
          </cell>
          <cell r="BY1293">
            <v>18.5</v>
          </cell>
        </row>
        <row r="1294">
          <cell r="BT1294">
            <v>-1020</v>
          </cell>
          <cell r="BY1294">
            <v>1020</v>
          </cell>
        </row>
        <row r="1295">
          <cell r="BT1295">
            <v>-38674</v>
          </cell>
          <cell r="BY1295">
            <v>38674</v>
          </cell>
        </row>
        <row r="1296">
          <cell r="BT1296">
            <v>-396.5</v>
          </cell>
          <cell r="BY1296">
            <v>396.5</v>
          </cell>
        </row>
        <row r="1297">
          <cell r="BT1297">
            <v>396.5</v>
          </cell>
          <cell r="BY1297">
            <v>396.5</v>
          </cell>
        </row>
        <row r="1298">
          <cell r="BT1298">
            <v>-38674</v>
          </cell>
          <cell r="BY1298">
            <v>38674</v>
          </cell>
        </row>
        <row r="1299">
          <cell r="BT1299">
            <v>-396.5</v>
          </cell>
          <cell r="BY1299">
            <v>396.5</v>
          </cell>
        </row>
        <row r="1300">
          <cell r="BT1300">
            <v>396.5</v>
          </cell>
          <cell r="BY1300">
            <v>396.5</v>
          </cell>
        </row>
        <row r="1301">
          <cell r="BT1301">
            <v>-38674</v>
          </cell>
          <cell r="BY1301">
            <v>38674</v>
          </cell>
        </row>
        <row r="1302">
          <cell r="BT1302">
            <v>-396.5</v>
          </cell>
          <cell r="BY1302">
            <v>396.5</v>
          </cell>
        </row>
        <row r="1303">
          <cell r="BT1303">
            <v>396.5</v>
          </cell>
          <cell r="BY1303">
            <v>396.5</v>
          </cell>
        </row>
        <row r="1304">
          <cell r="BT1304">
            <v>-5000</v>
          </cell>
          <cell r="BY1304">
            <v>5000</v>
          </cell>
        </row>
        <row r="1305">
          <cell r="BT1305">
            <v>-600</v>
          </cell>
          <cell r="BY1305">
            <v>600</v>
          </cell>
        </row>
        <row r="1306">
          <cell r="BT1306">
            <v>-350</v>
          </cell>
          <cell r="BY1306">
            <v>350</v>
          </cell>
        </row>
        <row r="1307">
          <cell r="BT1307">
            <v>-145</v>
          </cell>
          <cell r="BY1307">
            <v>145</v>
          </cell>
        </row>
        <row r="1308">
          <cell r="BT1308">
            <v>-420</v>
          </cell>
          <cell r="BY1308">
            <v>420</v>
          </cell>
        </row>
        <row r="1309">
          <cell r="BT1309">
            <v>-375</v>
          </cell>
          <cell r="BY1309">
            <v>375</v>
          </cell>
        </row>
        <row r="1310">
          <cell r="BT1310">
            <v>-500</v>
          </cell>
          <cell r="BY1310">
            <v>500</v>
          </cell>
        </row>
        <row r="1311">
          <cell r="BT1311">
            <v>-2400</v>
          </cell>
          <cell r="BY1311">
            <v>2400</v>
          </cell>
        </row>
        <row r="1312">
          <cell r="BT1312">
            <v>-1350</v>
          </cell>
          <cell r="BY1312">
            <v>1350</v>
          </cell>
        </row>
        <row r="1313">
          <cell r="BT1313">
            <v>-200</v>
          </cell>
          <cell r="BY1313">
            <v>200</v>
          </cell>
        </row>
        <row r="1314">
          <cell r="BT1314">
            <v>-300</v>
          </cell>
          <cell r="BY1314">
            <v>300</v>
          </cell>
        </row>
        <row r="1315">
          <cell r="BT1315">
            <v>1612.31</v>
          </cell>
          <cell r="BY1315">
            <v>1612.31</v>
          </cell>
        </row>
        <row r="1316">
          <cell r="BT1316">
            <v>52.62</v>
          </cell>
          <cell r="BY1316">
            <v>52.62</v>
          </cell>
        </row>
        <row r="1317">
          <cell r="BT1317">
            <v>-23250</v>
          </cell>
          <cell r="BY1317">
            <v>23250</v>
          </cell>
        </row>
        <row r="1318">
          <cell r="BT1318">
            <v>-1612.31</v>
          </cell>
          <cell r="BY1318">
            <v>1612.31</v>
          </cell>
        </row>
        <row r="1319">
          <cell r="BT1319">
            <v>-52.62</v>
          </cell>
          <cell r="BY1319">
            <v>52.62</v>
          </cell>
        </row>
        <row r="1320">
          <cell r="BT1320">
            <v>7825.36</v>
          </cell>
          <cell r="BY1320">
            <v>7825.36</v>
          </cell>
        </row>
        <row r="1321">
          <cell r="BT1321">
            <v>-204.75</v>
          </cell>
          <cell r="BY1321">
            <v>204.75</v>
          </cell>
        </row>
        <row r="1322">
          <cell r="BT1322">
            <v>-47316</v>
          </cell>
          <cell r="BY1322">
            <v>47316</v>
          </cell>
        </row>
        <row r="1323">
          <cell r="BT1323">
            <v>-1740</v>
          </cell>
          <cell r="BY1323">
            <v>1740</v>
          </cell>
        </row>
        <row r="1324">
          <cell r="BT1324">
            <v>-565.20000000000005</v>
          </cell>
          <cell r="BY1324">
            <v>565.20000000000005</v>
          </cell>
        </row>
        <row r="1325">
          <cell r="BT1325">
            <v>-24128</v>
          </cell>
          <cell r="BY1325">
            <v>24128</v>
          </cell>
        </row>
        <row r="1326">
          <cell r="BT1326">
            <v>-2068.4</v>
          </cell>
          <cell r="BY1326">
            <v>2068.4</v>
          </cell>
        </row>
        <row r="1327">
          <cell r="BT1327">
            <v>-299.95</v>
          </cell>
          <cell r="BY1327">
            <v>299.95</v>
          </cell>
        </row>
        <row r="1328">
          <cell r="BT1328">
            <v>-1314</v>
          </cell>
          <cell r="BY1328">
            <v>1314</v>
          </cell>
        </row>
        <row r="1329">
          <cell r="BT1329">
            <v>-2376</v>
          </cell>
          <cell r="BY1329">
            <v>2376</v>
          </cell>
        </row>
        <row r="1330">
          <cell r="BT1330">
            <v>-1720</v>
          </cell>
          <cell r="BY1330">
            <v>1720</v>
          </cell>
        </row>
        <row r="1331">
          <cell r="BT1331">
            <v>-988.8</v>
          </cell>
          <cell r="BY1331">
            <v>988.8</v>
          </cell>
        </row>
        <row r="1332">
          <cell r="BT1332">
            <v>-468</v>
          </cell>
          <cell r="BY1332">
            <v>468</v>
          </cell>
        </row>
        <row r="1333">
          <cell r="BT1333">
            <v>-1638</v>
          </cell>
          <cell r="BY1333">
            <v>1638</v>
          </cell>
        </row>
        <row r="1334">
          <cell r="BT1334">
            <v>-1617</v>
          </cell>
          <cell r="BY1334">
            <v>1617</v>
          </cell>
        </row>
        <row r="1335">
          <cell r="BT1335">
            <v>-3150</v>
          </cell>
          <cell r="BY1335">
            <v>3150</v>
          </cell>
        </row>
        <row r="1336">
          <cell r="BT1336">
            <v>-370.8</v>
          </cell>
          <cell r="BY1336">
            <v>370.8</v>
          </cell>
        </row>
        <row r="1337">
          <cell r="BT1337">
            <v>-3544</v>
          </cell>
          <cell r="BY1337">
            <v>3544</v>
          </cell>
        </row>
        <row r="1338">
          <cell r="BT1338">
            <v>-210</v>
          </cell>
          <cell r="BY1338">
            <v>210</v>
          </cell>
        </row>
        <row r="1339">
          <cell r="BT1339">
            <v>-499</v>
          </cell>
          <cell r="BY1339">
            <v>499</v>
          </cell>
        </row>
        <row r="1340">
          <cell r="BT1340">
            <v>-756</v>
          </cell>
          <cell r="BY1340">
            <v>756</v>
          </cell>
        </row>
        <row r="1341">
          <cell r="BT1341">
            <v>-2200</v>
          </cell>
          <cell r="BY1341">
            <v>2200</v>
          </cell>
        </row>
        <row r="1342">
          <cell r="BT1342">
            <v>-1254.5999999999999</v>
          </cell>
          <cell r="BY1342">
            <v>1254.5999999999999</v>
          </cell>
        </row>
        <row r="1343">
          <cell r="BT1343">
            <v>-1200</v>
          </cell>
          <cell r="BY1343">
            <v>1200</v>
          </cell>
        </row>
        <row r="1344">
          <cell r="BT1344">
            <v>-2400</v>
          </cell>
          <cell r="BY1344">
            <v>2400</v>
          </cell>
        </row>
        <row r="1345">
          <cell r="BT1345">
            <v>-475</v>
          </cell>
          <cell r="BY1345">
            <v>475</v>
          </cell>
        </row>
        <row r="1346">
          <cell r="BT1346">
            <v>-150</v>
          </cell>
          <cell r="BY1346">
            <v>150</v>
          </cell>
        </row>
        <row r="1347">
          <cell r="BT1347">
            <v>-480</v>
          </cell>
          <cell r="BY1347">
            <v>480</v>
          </cell>
        </row>
        <row r="1348">
          <cell r="BT1348">
            <v>-500</v>
          </cell>
          <cell r="BY1348">
            <v>500</v>
          </cell>
        </row>
        <row r="1349">
          <cell r="BT1349">
            <v>-2400</v>
          </cell>
          <cell r="BY1349">
            <v>2400</v>
          </cell>
        </row>
        <row r="1350">
          <cell r="BT1350">
            <v>859.52</v>
          </cell>
          <cell r="BY1350">
            <v>859.52</v>
          </cell>
        </row>
        <row r="1351">
          <cell r="BT1351">
            <v>20740</v>
          </cell>
          <cell r="BY1351">
            <v>20740</v>
          </cell>
        </row>
        <row r="1352">
          <cell r="BT1352">
            <v>17864.509999999998</v>
          </cell>
          <cell r="BY1352">
            <v>17864.509999999998</v>
          </cell>
        </row>
        <row r="1353">
          <cell r="BT1353">
            <v>15650.74</v>
          </cell>
          <cell r="BY1353">
            <v>15650.74</v>
          </cell>
        </row>
        <row r="1354">
          <cell r="BT1354">
            <v>2604.16</v>
          </cell>
          <cell r="BY1354">
            <v>2604.16</v>
          </cell>
        </row>
        <row r="1355">
          <cell r="BT1355">
            <v>3930.07</v>
          </cell>
          <cell r="BY1355">
            <v>3930.07</v>
          </cell>
        </row>
        <row r="1356">
          <cell r="BT1356">
            <v>-782.54</v>
          </cell>
          <cell r="BY1356">
            <v>782.54</v>
          </cell>
        </row>
        <row r="1357">
          <cell r="BT1357">
            <v>1429.99</v>
          </cell>
          <cell r="BY1357">
            <v>1429.99</v>
          </cell>
        </row>
        <row r="1358">
          <cell r="BT1358">
            <v>-143</v>
          </cell>
          <cell r="BY1358">
            <v>143</v>
          </cell>
        </row>
        <row r="1359">
          <cell r="BT1359">
            <v>1760.07</v>
          </cell>
          <cell r="BY1359">
            <v>1760.07</v>
          </cell>
        </row>
        <row r="1360">
          <cell r="BT1360">
            <v>-176.01</v>
          </cell>
          <cell r="BY1360">
            <v>176.01</v>
          </cell>
        </row>
        <row r="1361">
          <cell r="BT1361">
            <v>1837.97</v>
          </cell>
          <cell r="BY1361">
            <v>1837.97</v>
          </cell>
        </row>
        <row r="1362">
          <cell r="BT1362">
            <v>-183.8</v>
          </cell>
          <cell r="BY1362">
            <v>183.8</v>
          </cell>
        </row>
        <row r="1363">
          <cell r="BT1363">
            <v>475.03</v>
          </cell>
          <cell r="BY1363">
            <v>475.03</v>
          </cell>
        </row>
        <row r="1364">
          <cell r="BT1364">
            <v>-47.5</v>
          </cell>
          <cell r="BY1364">
            <v>47.5</v>
          </cell>
        </row>
        <row r="1365">
          <cell r="BT1365">
            <v>1050.03</v>
          </cell>
          <cell r="BY1365">
            <v>1050.03</v>
          </cell>
        </row>
        <row r="1366">
          <cell r="BT1366">
            <v>-105</v>
          </cell>
          <cell r="BY1366">
            <v>105</v>
          </cell>
        </row>
        <row r="1367">
          <cell r="BT1367">
            <v>-3652</v>
          </cell>
          <cell r="BY1367">
            <v>3652</v>
          </cell>
        </row>
        <row r="1368">
          <cell r="BT1368">
            <v>-308.39999999999998</v>
          </cell>
          <cell r="BY1368">
            <v>308.39999999999998</v>
          </cell>
        </row>
        <row r="1369">
          <cell r="BT1369">
            <v>-1647</v>
          </cell>
          <cell r="BY1369">
            <v>1647</v>
          </cell>
        </row>
        <row r="1370">
          <cell r="BT1370">
            <v>-3465</v>
          </cell>
          <cell r="BY1370">
            <v>3465</v>
          </cell>
        </row>
        <row r="1371">
          <cell r="BT1371">
            <v>-204.75</v>
          </cell>
          <cell r="BY1371">
            <v>204.75</v>
          </cell>
        </row>
        <row r="1372">
          <cell r="BT1372">
            <v>-47316</v>
          </cell>
          <cell r="BY1372">
            <v>47316</v>
          </cell>
        </row>
        <row r="1373">
          <cell r="BT1373">
            <v>-1740</v>
          </cell>
          <cell r="BY1373">
            <v>1740</v>
          </cell>
        </row>
        <row r="1374">
          <cell r="BT1374">
            <v>-565.20000000000005</v>
          </cell>
          <cell r="BY1374">
            <v>565.20000000000005</v>
          </cell>
        </row>
        <row r="1375">
          <cell r="BT1375">
            <v>-24128</v>
          </cell>
          <cell r="BY1375">
            <v>24128</v>
          </cell>
        </row>
        <row r="1376">
          <cell r="BT1376">
            <v>-2068.4</v>
          </cell>
          <cell r="BY1376">
            <v>2068.4</v>
          </cell>
        </row>
        <row r="1377">
          <cell r="BT1377">
            <v>-299.95</v>
          </cell>
          <cell r="BY1377">
            <v>299.95</v>
          </cell>
        </row>
        <row r="1378">
          <cell r="BT1378">
            <v>-409.5</v>
          </cell>
          <cell r="BY1378">
            <v>409.5</v>
          </cell>
        </row>
        <row r="1379">
          <cell r="BT1379">
            <v>-3195</v>
          </cell>
          <cell r="BY1379">
            <v>3195</v>
          </cell>
        </row>
        <row r="1380">
          <cell r="BT1380">
            <v>-2030</v>
          </cell>
          <cell r="BY1380">
            <v>2030</v>
          </cell>
        </row>
        <row r="1381">
          <cell r="BT1381">
            <v>-915</v>
          </cell>
          <cell r="BY1381">
            <v>915</v>
          </cell>
        </row>
        <row r="1382">
          <cell r="BT1382">
            <v>-14478.8</v>
          </cell>
          <cell r="BY1382">
            <v>14478.8</v>
          </cell>
        </row>
        <row r="1383">
          <cell r="BT1383">
            <v>-275</v>
          </cell>
          <cell r="BY1383">
            <v>275</v>
          </cell>
        </row>
        <row r="1384">
          <cell r="BT1384">
            <v>-1200</v>
          </cell>
          <cell r="BY1384">
            <v>1200</v>
          </cell>
        </row>
        <row r="1385">
          <cell r="BT1385">
            <v>-5500</v>
          </cell>
          <cell r="BY1385">
            <v>5500</v>
          </cell>
        </row>
        <row r="1386">
          <cell r="BT1386">
            <v>-2400</v>
          </cell>
          <cell r="BY1386">
            <v>2400</v>
          </cell>
        </row>
        <row r="1387">
          <cell r="BT1387">
            <v>768.53</v>
          </cell>
          <cell r="BY1387">
            <v>768.53</v>
          </cell>
        </row>
        <row r="1388">
          <cell r="BT1388">
            <v>3000.15</v>
          </cell>
          <cell r="BY1388">
            <v>3000.15</v>
          </cell>
        </row>
        <row r="1389">
          <cell r="BT1389">
            <v>17600.73</v>
          </cell>
          <cell r="BY1389">
            <v>17600.73</v>
          </cell>
        </row>
        <row r="1390">
          <cell r="BT1390">
            <v>918.98</v>
          </cell>
          <cell r="BY1390">
            <v>918.98</v>
          </cell>
        </row>
        <row r="1391">
          <cell r="BT1391">
            <v>950.05</v>
          </cell>
          <cell r="BY1391">
            <v>950.05</v>
          </cell>
        </row>
        <row r="1392">
          <cell r="BT1392">
            <v>5250.13</v>
          </cell>
          <cell r="BY1392">
            <v>5250.13</v>
          </cell>
        </row>
        <row r="1393">
          <cell r="BT1393">
            <v>20792.62</v>
          </cell>
          <cell r="BY1393">
            <v>20792.62</v>
          </cell>
        </row>
        <row r="1394">
          <cell r="BT1394">
            <v>6564.32</v>
          </cell>
          <cell r="BY1394">
            <v>6564.32</v>
          </cell>
        </row>
        <row r="1395">
          <cell r="BT1395">
            <v>15359.61</v>
          </cell>
          <cell r="BY1395">
            <v>15359.61</v>
          </cell>
        </row>
        <row r="1396">
          <cell r="BT1396">
            <v>9548.7099999999991</v>
          </cell>
          <cell r="BY1396">
            <v>9548.7099999999991</v>
          </cell>
        </row>
        <row r="1397">
          <cell r="BT1397">
            <v>8485.14</v>
          </cell>
          <cell r="BY1397">
            <v>8485.14</v>
          </cell>
        </row>
        <row r="1398">
          <cell r="BT1398">
            <v>6143.84</v>
          </cell>
          <cell r="BY1398">
            <v>6143.84</v>
          </cell>
        </row>
        <row r="1399">
          <cell r="BT1399">
            <v>-614.38</v>
          </cell>
          <cell r="BY1399">
            <v>614.38</v>
          </cell>
        </row>
        <row r="1400">
          <cell r="BT1400">
            <v>848.51</v>
          </cell>
          <cell r="BY1400">
            <v>848.51</v>
          </cell>
        </row>
        <row r="1401">
          <cell r="BT1401">
            <v>-84.85</v>
          </cell>
          <cell r="BY1401">
            <v>84.85</v>
          </cell>
        </row>
        <row r="1402">
          <cell r="BT1402">
            <v>1129.55</v>
          </cell>
          <cell r="BY1402">
            <v>1129.55</v>
          </cell>
        </row>
        <row r="1403">
          <cell r="BT1403">
            <v>-112.95</v>
          </cell>
          <cell r="BY1403">
            <v>112.95</v>
          </cell>
        </row>
        <row r="1404">
          <cell r="BT1404">
            <v>3600.13</v>
          </cell>
          <cell r="BY1404">
            <v>3600.13</v>
          </cell>
        </row>
        <row r="1405">
          <cell r="BT1405">
            <v>-360.01</v>
          </cell>
          <cell r="BY1405">
            <v>360.01</v>
          </cell>
        </row>
        <row r="1406">
          <cell r="BT1406">
            <v>11520.19</v>
          </cell>
          <cell r="BY1406">
            <v>11520.19</v>
          </cell>
        </row>
        <row r="1407">
          <cell r="BT1407">
            <v>-1152.02</v>
          </cell>
          <cell r="BY1407">
            <v>1152.02</v>
          </cell>
        </row>
        <row r="1408">
          <cell r="BT1408">
            <v>608.97</v>
          </cell>
          <cell r="BY1408">
            <v>608.97</v>
          </cell>
        </row>
        <row r="1409">
          <cell r="BT1409">
            <v>-1314</v>
          </cell>
          <cell r="BY1409">
            <v>1314</v>
          </cell>
        </row>
        <row r="1410">
          <cell r="BT1410">
            <v>-2376</v>
          </cell>
          <cell r="BY1410">
            <v>2376</v>
          </cell>
        </row>
        <row r="1411">
          <cell r="BT1411">
            <v>-1720</v>
          </cell>
          <cell r="BY1411">
            <v>1720</v>
          </cell>
        </row>
        <row r="1412">
          <cell r="BT1412">
            <v>-988.8</v>
          </cell>
          <cell r="BY1412">
            <v>988.8</v>
          </cell>
        </row>
        <row r="1413">
          <cell r="BT1413">
            <v>-3652</v>
          </cell>
          <cell r="BY1413">
            <v>3652</v>
          </cell>
        </row>
        <row r="1414">
          <cell r="BT1414">
            <v>-308.39999999999998</v>
          </cell>
          <cell r="BY1414">
            <v>308.39999999999998</v>
          </cell>
        </row>
        <row r="1415">
          <cell r="BT1415">
            <v>-1647</v>
          </cell>
          <cell r="BY1415">
            <v>1647</v>
          </cell>
        </row>
        <row r="1416">
          <cell r="BT1416">
            <v>-3465</v>
          </cell>
          <cell r="BY1416">
            <v>3465</v>
          </cell>
        </row>
        <row r="1417">
          <cell r="BT1417">
            <v>-204.75</v>
          </cell>
          <cell r="BY1417">
            <v>204.75</v>
          </cell>
        </row>
        <row r="1418">
          <cell r="BT1418">
            <v>-47316</v>
          </cell>
          <cell r="BY1418">
            <v>47316</v>
          </cell>
        </row>
        <row r="1419">
          <cell r="BT1419">
            <v>-1740</v>
          </cell>
          <cell r="BY1419">
            <v>1740</v>
          </cell>
        </row>
        <row r="1420">
          <cell r="BT1420">
            <v>12224.64</v>
          </cell>
          <cell r="BY1420">
            <v>12224.64</v>
          </cell>
        </row>
        <row r="1421">
          <cell r="BT1421">
            <v>4299.88</v>
          </cell>
          <cell r="BY1421">
            <v>4299.88</v>
          </cell>
        </row>
        <row r="1422">
          <cell r="BT1422">
            <v>10704.25</v>
          </cell>
          <cell r="BY1422">
            <v>10704.25</v>
          </cell>
        </row>
        <row r="1423">
          <cell r="BT1423">
            <v>18000.63</v>
          </cell>
          <cell r="BY1423">
            <v>18000.63</v>
          </cell>
        </row>
        <row r="1424">
          <cell r="BT1424">
            <v>57600.97</v>
          </cell>
          <cell r="BY1424">
            <v>57600.97</v>
          </cell>
        </row>
        <row r="1425">
          <cell r="BT1425">
            <v>571.05999999999995</v>
          </cell>
          <cell r="BY1425">
            <v>571.05999999999995</v>
          </cell>
        </row>
        <row r="1426">
          <cell r="BT1426">
            <v>1826.9</v>
          </cell>
          <cell r="BY1426">
            <v>1826.9</v>
          </cell>
        </row>
        <row r="1427">
          <cell r="BT1427">
            <v>4499.83</v>
          </cell>
          <cell r="BY1427">
            <v>4499.83</v>
          </cell>
        </row>
        <row r="1428">
          <cell r="BT1428">
            <v>4750.0600000000004</v>
          </cell>
          <cell r="BY1428">
            <v>4750.0600000000004</v>
          </cell>
        </row>
        <row r="1429">
          <cell r="BT1429">
            <v>5940.15</v>
          </cell>
          <cell r="BY1429">
            <v>5940.15</v>
          </cell>
        </row>
        <row r="1430">
          <cell r="BT1430">
            <v>8100.09</v>
          </cell>
          <cell r="BY1430">
            <v>8100.09</v>
          </cell>
        </row>
        <row r="1431">
          <cell r="BT1431">
            <v>-60.9</v>
          </cell>
          <cell r="BY1431">
            <v>60.9</v>
          </cell>
        </row>
        <row r="1432">
          <cell r="BT1432">
            <v>-7825.36</v>
          </cell>
          <cell r="BY1432">
            <v>7825.36</v>
          </cell>
        </row>
        <row r="1433">
          <cell r="BT1433">
            <v>782.54</v>
          </cell>
          <cell r="BY1433">
            <v>782.54</v>
          </cell>
        </row>
        <row r="1434">
          <cell r="BT1434">
            <v>-1429.99</v>
          </cell>
          <cell r="BY1434">
            <v>1429.99</v>
          </cell>
        </row>
        <row r="1435">
          <cell r="BT1435">
            <v>143</v>
          </cell>
          <cell r="BY1435">
            <v>143</v>
          </cell>
        </row>
        <row r="1436">
          <cell r="BT1436">
            <v>-1760.07</v>
          </cell>
          <cell r="BY1436">
            <v>1760.07</v>
          </cell>
        </row>
        <row r="1437">
          <cell r="BT1437">
            <v>176.01</v>
          </cell>
          <cell r="BY1437">
            <v>176.01</v>
          </cell>
        </row>
        <row r="1438">
          <cell r="BT1438">
            <v>-1837.97</v>
          </cell>
          <cell r="BY1438">
            <v>1837.97</v>
          </cell>
        </row>
        <row r="1439">
          <cell r="BT1439">
            <v>183.8</v>
          </cell>
          <cell r="BY1439">
            <v>183.8</v>
          </cell>
        </row>
        <row r="1440">
          <cell r="BT1440">
            <v>-475.03</v>
          </cell>
          <cell r="BY1440">
            <v>475.03</v>
          </cell>
        </row>
        <row r="1441">
          <cell r="BT1441">
            <v>47.5</v>
          </cell>
          <cell r="BY1441">
            <v>47.5</v>
          </cell>
        </row>
        <row r="1442">
          <cell r="BT1442">
            <v>-565.20000000000005</v>
          </cell>
          <cell r="BY1442">
            <v>565.20000000000005</v>
          </cell>
        </row>
        <row r="1443">
          <cell r="BT1443">
            <v>-24128</v>
          </cell>
          <cell r="BY1443">
            <v>24128</v>
          </cell>
        </row>
        <row r="1444">
          <cell r="BT1444">
            <v>-2068.4</v>
          </cell>
          <cell r="BY1444">
            <v>2068.4</v>
          </cell>
        </row>
        <row r="1445">
          <cell r="BT1445">
            <v>-1050.03</v>
          </cell>
          <cell r="BY1445">
            <v>1050.03</v>
          </cell>
        </row>
        <row r="1446">
          <cell r="BT1446">
            <v>105</v>
          </cell>
          <cell r="BY1446">
            <v>105</v>
          </cell>
        </row>
        <row r="1447">
          <cell r="BT1447">
            <v>-6143.84</v>
          </cell>
          <cell r="BY1447">
            <v>6143.84</v>
          </cell>
        </row>
        <row r="1448">
          <cell r="BT1448">
            <v>614.38</v>
          </cell>
          <cell r="BY1448">
            <v>614.38</v>
          </cell>
        </row>
        <row r="1449">
          <cell r="BT1449">
            <v>-848.51</v>
          </cell>
          <cell r="BY1449">
            <v>848.51</v>
          </cell>
        </row>
        <row r="1450">
          <cell r="BT1450">
            <v>84.85</v>
          </cell>
          <cell r="BY1450">
            <v>84.85</v>
          </cell>
        </row>
        <row r="1451">
          <cell r="BT1451">
            <v>-1129.55</v>
          </cell>
          <cell r="BY1451">
            <v>1129.55</v>
          </cell>
        </row>
        <row r="1452">
          <cell r="BT1452">
            <v>112.95</v>
          </cell>
          <cell r="BY1452">
            <v>112.95</v>
          </cell>
        </row>
        <row r="1453">
          <cell r="BT1453">
            <v>-3600.13</v>
          </cell>
          <cell r="BY1453">
            <v>3600.13</v>
          </cell>
        </row>
        <row r="1454">
          <cell r="BT1454">
            <v>360.01</v>
          </cell>
          <cell r="BY1454">
            <v>360.01</v>
          </cell>
        </row>
        <row r="1455">
          <cell r="BT1455">
            <v>-11520.19</v>
          </cell>
          <cell r="BY1455">
            <v>11520.19</v>
          </cell>
        </row>
        <row r="1456">
          <cell r="BT1456">
            <v>-4700</v>
          </cell>
          <cell r="BY1456">
            <v>4700</v>
          </cell>
        </row>
        <row r="1457">
          <cell r="BT1457">
            <v>-1500</v>
          </cell>
          <cell r="BY1457">
            <v>1500</v>
          </cell>
        </row>
        <row r="1458">
          <cell r="BT1458">
            <v>1152.02</v>
          </cell>
          <cell r="BY1458">
            <v>1152.02</v>
          </cell>
        </row>
        <row r="1459">
          <cell r="BT1459">
            <v>-608.97</v>
          </cell>
          <cell r="BY1459">
            <v>608.97</v>
          </cell>
        </row>
        <row r="1460">
          <cell r="BT1460">
            <v>60.9</v>
          </cell>
          <cell r="BY1460">
            <v>60.9</v>
          </cell>
        </row>
        <row r="1461">
          <cell r="BT1461">
            <v>-7825.36</v>
          </cell>
          <cell r="BY1461">
            <v>7825.36</v>
          </cell>
        </row>
        <row r="1462">
          <cell r="BT1462">
            <v>782.54</v>
          </cell>
          <cell r="BY1462">
            <v>782.54</v>
          </cell>
        </row>
        <row r="1463">
          <cell r="BT1463">
            <v>-1429.99</v>
          </cell>
          <cell r="BY1463">
            <v>1429.99</v>
          </cell>
        </row>
        <row r="1464">
          <cell r="BT1464">
            <v>143</v>
          </cell>
          <cell r="BY1464">
            <v>143</v>
          </cell>
        </row>
        <row r="1465">
          <cell r="BT1465">
            <v>-1760.07</v>
          </cell>
          <cell r="BY1465">
            <v>1760.07</v>
          </cell>
        </row>
        <row r="1466">
          <cell r="BT1466">
            <v>176.01</v>
          </cell>
          <cell r="BY1466">
            <v>176.01</v>
          </cell>
        </row>
        <row r="1467">
          <cell r="BT1467">
            <v>-1837.97</v>
          </cell>
          <cell r="BY1467">
            <v>1837.97</v>
          </cell>
        </row>
        <row r="1468">
          <cell r="BT1468">
            <v>183.8</v>
          </cell>
          <cell r="BY1468">
            <v>183.8</v>
          </cell>
        </row>
        <row r="1469">
          <cell r="BT1469">
            <v>1440</v>
          </cell>
          <cell r="BY1469">
            <v>1440</v>
          </cell>
        </row>
        <row r="1470">
          <cell r="BT1470">
            <v>677.5</v>
          </cell>
          <cell r="BY1470">
            <v>677.5</v>
          </cell>
        </row>
        <row r="1471">
          <cell r="BT1471">
            <v>2475</v>
          </cell>
          <cell r="BY1471">
            <v>2475</v>
          </cell>
        </row>
        <row r="1472">
          <cell r="BT1472">
            <v>2475</v>
          </cell>
          <cell r="BY1472">
            <v>2475</v>
          </cell>
        </row>
        <row r="1473">
          <cell r="BT1473">
            <v>-2475</v>
          </cell>
          <cell r="BY1473">
            <v>2475</v>
          </cell>
        </row>
        <row r="1474">
          <cell r="BT1474">
            <v>639</v>
          </cell>
          <cell r="BY1474">
            <v>639</v>
          </cell>
        </row>
        <row r="1475">
          <cell r="BT1475">
            <v>1828</v>
          </cell>
          <cell r="BY1475">
            <v>1828</v>
          </cell>
        </row>
        <row r="1476">
          <cell r="BT1476">
            <v>1828</v>
          </cell>
          <cell r="BY1476">
            <v>1828</v>
          </cell>
        </row>
        <row r="1477">
          <cell r="BT1477">
            <v>-1828</v>
          </cell>
          <cell r="BY1477">
            <v>1828</v>
          </cell>
        </row>
        <row r="1478">
          <cell r="BT1478">
            <v>33880</v>
          </cell>
          <cell r="BY1478">
            <v>33880</v>
          </cell>
        </row>
        <row r="1479">
          <cell r="BT1479">
            <v>1884</v>
          </cell>
          <cell r="BY1479">
            <v>1884</v>
          </cell>
        </row>
        <row r="1480">
          <cell r="BT1480">
            <v>4914</v>
          </cell>
          <cell r="BY1480">
            <v>4914</v>
          </cell>
        </row>
        <row r="1481">
          <cell r="BT1481">
            <v>4540</v>
          </cell>
          <cell r="BY1481">
            <v>4540</v>
          </cell>
        </row>
        <row r="1482">
          <cell r="BT1482">
            <v>5502</v>
          </cell>
          <cell r="BY1482">
            <v>5502</v>
          </cell>
        </row>
        <row r="1483">
          <cell r="BT1483">
            <v>5292</v>
          </cell>
          <cell r="BY1483">
            <v>5292</v>
          </cell>
        </row>
        <row r="1484">
          <cell r="BT1484">
            <v>4516</v>
          </cell>
          <cell r="BY1484">
            <v>4516</v>
          </cell>
        </row>
        <row r="1485">
          <cell r="BT1485">
            <v>31620</v>
          </cell>
          <cell r="BY1485">
            <v>31620</v>
          </cell>
        </row>
        <row r="1486">
          <cell r="BT1486">
            <v>990</v>
          </cell>
          <cell r="BY1486">
            <v>990</v>
          </cell>
        </row>
        <row r="1487">
          <cell r="BT1487">
            <v>3808</v>
          </cell>
          <cell r="BY1487">
            <v>3808</v>
          </cell>
        </row>
        <row r="1488">
          <cell r="BT1488">
            <v>796</v>
          </cell>
          <cell r="BY1488">
            <v>796</v>
          </cell>
        </row>
        <row r="1489">
          <cell r="BT1489">
            <v>1875</v>
          </cell>
          <cell r="BY1489">
            <v>1875</v>
          </cell>
        </row>
        <row r="1490">
          <cell r="BT1490">
            <v>926</v>
          </cell>
          <cell r="BY1490">
            <v>926</v>
          </cell>
        </row>
        <row r="1491">
          <cell r="BT1491">
            <v>7318</v>
          </cell>
          <cell r="BY1491">
            <v>7318</v>
          </cell>
        </row>
        <row r="1492">
          <cell r="BT1492">
            <v>2508.1999999999998</v>
          </cell>
          <cell r="BY1492">
            <v>2508.1999999999998</v>
          </cell>
        </row>
        <row r="1493">
          <cell r="BT1493">
            <v>256.85000000000002</v>
          </cell>
          <cell r="BY1493">
            <v>256.85000000000002</v>
          </cell>
        </row>
        <row r="1494">
          <cell r="BT1494">
            <v>105</v>
          </cell>
          <cell r="BY1494">
            <v>105</v>
          </cell>
        </row>
        <row r="1495">
          <cell r="BT1495">
            <v>-105</v>
          </cell>
          <cell r="BY1495">
            <v>105</v>
          </cell>
        </row>
        <row r="1496">
          <cell r="BT1496">
            <v>184.2</v>
          </cell>
          <cell r="BY1496">
            <v>184.2</v>
          </cell>
        </row>
        <row r="1497">
          <cell r="BT1497">
            <v>-2180</v>
          </cell>
          <cell r="BY1497">
            <v>2180</v>
          </cell>
        </row>
        <row r="1498">
          <cell r="BT1498">
            <v>109</v>
          </cell>
          <cell r="BY1498">
            <v>109</v>
          </cell>
        </row>
        <row r="1499">
          <cell r="BT1499">
            <v>-6066</v>
          </cell>
          <cell r="BY1499">
            <v>6066</v>
          </cell>
        </row>
        <row r="1500">
          <cell r="BT1500">
            <v>303.3</v>
          </cell>
          <cell r="BY1500">
            <v>303.3</v>
          </cell>
        </row>
        <row r="1501">
          <cell r="BT1501">
            <v>-823</v>
          </cell>
          <cell r="BY1501">
            <v>823</v>
          </cell>
        </row>
        <row r="1502">
          <cell r="BT1502">
            <v>41.15</v>
          </cell>
          <cell r="BY1502">
            <v>41.15</v>
          </cell>
        </row>
        <row r="1503">
          <cell r="BT1503">
            <v>-486.72</v>
          </cell>
          <cell r="BY1503">
            <v>486.72</v>
          </cell>
        </row>
        <row r="1504">
          <cell r="BT1504">
            <v>24.34</v>
          </cell>
          <cell r="BY1504">
            <v>24.34</v>
          </cell>
        </row>
        <row r="1505">
          <cell r="BT1505">
            <v>-6010.2</v>
          </cell>
          <cell r="BY1505">
            <v>6010.2</v>
          </cell>
        </row>
        <row r="1506">
          <cell r="BT1506">
            <v>300.51</v>
          </cell>
          <cell r="BY1506">
            <v>300.51</v>
          </cell>
        </row>
        <row r="1507">
          <cell r="BT1507">
            <v>-1230</v>
          </cell>
          <cell r="BY1507">
            <v>1230</v>
          </cell>
        </row>
        <row r="1508">
          <cell r="BT1508">
            <v>61.5</v>
          </cell>
          <cell r="BY1508">
            <v>61.5</v>
          </cell>
        </row>
        <row r="1509">
          <cell r="BT1509">
            <v>-513.45000000000005</v>
          </cell>
          <cell r="BY1509">
            <v>513.45000000000005</v>
          </cell>
        </row>
        <row r="1510">
          <cell r="BT1510">
            <v>25.67</v>
          </cell>
          <cell r="BY1510">
            <v>25.67</v>
          </cell>
        </row>
        <row r="1511">
          <cell r="BT1511">
            <v>-4762.5</v>
          </cell>
          <cell r="BY1511">
            <v>4762.5</v>
          </cell>
        </row>
        <row r="1512">
          <cell r="BT1512">
            <v>238.13</v>
          </cell>
          <cell r="BY1512">
            <v>238.13</v>
          </cell>
        </row>
        <row r="1513">
          <cell r="BT1513">
            <v>-401.25</v>
          </cell>
          <cell r="BY1513">
            <v>401.25</v>
          </cell>
        </row>
        <row r="1514">
          <cell r="BT1514">
            <v>20.059999999999999</v>
          </cell>
          <cell r="BY1514">
            <v>20.059999999999999</v>
          </cell>
        </row>
        <row r="1515">
          <cell r="BT1515">
            <v>-6440</v>
          </cell>
          <cell r="BY1515">
            <v>6440</v>
          </cell>
        </row>
        <row r="1516">
          <cell r="BT1516">
            <v>322</v>
          </cell>
          <cell r="BY1516">
            <v>322</v>
          </cell>
        </row>
        <row r="1517">
          <cell r="BT1517">
            <v>-300</v>
          </cell>
          <cell r="BY1517">
            <v>300</v>
          </cell>
        </row>
        <row r="1518">
          <cell r="BT1518">
            <v>-367.2</v>
          </cell>
          <cell r="BY1518">
            <v>367.2</v>
          </cell>
        </row>
        <row r="1519">
          <cell r="BT1519">
            <v>18.36</v>
          </cell>
          <cell r="BY1519">
            <v>18.36</v>
          </cell>
        </row>
        <row r="1520">
          <cell r="BT1520">
            <v>-2168</v>
          </cell>
          <cell r="BY1520">
            <v>2168</v>
          </cell>
        </row>
        <row r="1521">
          <cell r="BT1521">
            <v>108.4</v>
          </cell>
          <cell r="BY1521">
            <v>108.4</v>
          </cell>
        </row>
        <row r="1522">
          <cell r="BT1522">
            <v>-6796.4</v>
          </cell>
          <cell r="BY1522">
            <v>6796.4</v>
          </cell>
        </row>
        <row r="1523">
          <cell r="BT1523">
            <v>339.82</v>
          </cell>
          <cell r="BY1523">
            <v>339.82</v>
          </cell>
        </row>
        <row r="1524">
          <cell r="BT1524">
            <v>-3102</v>
          </cell>
          <cell r="BY1524">
            <v>3102</v>
          </cell>
        </row>
        <row r="1525">
          <cell r="BT1525">
            <v>155.1</v>
          </cell>
          <cell r="BY1525">
            <v>155.1</v>
          </cell>
        </row>
        <row r="1526">
          <cell r="BT1526">
            <v>15</v>
          </cell>
          <cell r="BY1526">
            <v>15</v>
          </cell>
        </row>
        <row r="1527">
          <cell r="BT1527">
            <v>-1906.5</v>
          </cell>
          <cell r="BY1527">
            <v>1906.5</v>
          </cell>
        </row>
        <row r="1528">
          <cell r="BT1528">
            <v>95.33</v>
          </cell>
          <cell r="BY1528">
            <v>95.33</v>
          </cell>
        </row>
        <row r="1529">
          <cell r="BT1529">
            <v>-12690</v>
          </cell>
          <cell r="BY1529">
            <v>12690</v>
          </cell>
        </row>
        <row r="1530">
          <cell r="BT1530">
            <v>634.5</v>
          </cell>
          <cell r="BY1530">
            <v>634.5</v>
          </cell>
        </row>
        <row r="1531">
          <cell r="BT1531">
            <v>-1213</v>
          </cell>
          <cell r="BY1531">
            <v>1213</v>
          </cell>
        </row>
        <row r="1532">
          <cell r="BT1532">
            <v>60.65</v>
          </cell>
          <cell r="BY1532">
            <v>60.65</v>
          </cell>
        </row>
        <row r="1533">
          <cell r="BT1533">
            <v>-449</v>
          </cell>
          <cell r="BY1533">
            <v>449</v>
          </cell>
        </row>
        <row r="1534">
          <cell r="BT1534">
            <v>22.45</v>
          </cell>
          <cell r="BY1534">
            <v>22.45</v>
          </cell>
        </row>
        <row r="1535">
          <cell r="BT1535">
            <v>-971.75</v>
          </cell>
          <cell r="BY1535">
            <v>971.75</v>
          </cell>
        </row>
        <row r="1536">
          <cell r="BT1536">
            <v>48.59</v>
          </cell>
          <cell r="BY1536">
            <v>48.59</v>
          </cell>
        </row>
        <row r="1537">
          <cell r="BT1537">
            <v>-2100</v>
          </cell>
          <cell r="BY1537">
            <v>2100</v>
          </cell>
        </row>
        <row r="1538">
          <cell r="BT1538">
            <v>105</v>
          </cell>
          <cell r="BY1538">
            <v>105</v>
          </cell>
        </row>
        <row r="1539">
          <cell r="BT1539">
            <v>-370</v>
          </cell>
          <cell r="BY1539">
            <v>370</v>
          </cell>
        </row>
        <row r="1540">
          <cell r="BT1540">
            <v>18.5</v>
          </cell>
          <cell r="BY1540">
            <v>18.5</v>
          </cell>
        </row>
        <row r="1541">
          <cell r="BT1541">
            <v>30.6</v>
          </cell>
          <cell r="BY1541">
            <v>30.6</v>
          </cell>
        </row>
        <row r="1542">
          <cell r="BT1542">
            <v>-1.53</v>
          </cell>
          <cell r="BY1542">
            <v>1.53</v>
          </cell>
        </row>
        <row r="1543">
          <cell r="BT1543">
            <v>1017.45</v>
          </cell>
          <cell r="BY1543">
            <v>1017.45</v>
          </cell>
        </row>
        <row r="1544">
          <cell r="BT1544">
            <v>-50.87</v>
          </cell>
          <cell r="BY1544">
            <v>50.87</v>
          </cell>
        </row>
        <row r="1545">
          <cell r="BT1545">
            <v>708.75</v>
          </cell>
          <cell r="BY1545">
            <v>708.75</v>
          </cell>
        </row>
        <row r="1546">
          <cell r="BT1546">
            <v>-35.44</v>
          </cell>
          <cell r="BY1546">
            <v>35.44</v>
          </cell>
        </row>
        <row r="1547">
          <cell r="BT1547">
            <v>537.5</v>
          </cell>
          <cell r="BY1547">
            <v>537.5</v>
          </cell>
        </row>
        <row r="1548">
          <cell r="BT1548">
            <v>-225</v>
          </cell>
          <cell r="BY1548">
            <v>225</v>
          </cell>
        </row>
        <row r="1549">
          <cell r="BT1549">
            <v>-700</v>
          </cell>
          <cell r="BY1549">
            <v>700</v>
          </cell>
        </row>
        <row r="1550">
          <cell r="BT1550">
            <v>-712.5</v>
          </cell>
          <cell r="BY1550">
            <v>712.5</v>
          </cell>
        </row>
        <row r="1551">
          <cell r="BT1551">
            <v>-3550</v>
          </cell>
          <cell r="BY1551">
            <v>3550</v>
          </cell>
        </row>
        <row r="1552">
          <cell r="BT1552">
            <v>-2331</v>
          </cell>
          <cell r="BY1552">
            <v>2331</v>
          </cell>
        </row>
        <row r="1553">
          <cell r="BT1553">
            <v>-26.88</v>
          </cell>
          <cell r="BY1553">
            <v>26.88</v>
          </cell>
        </row>
        <row r="1554">
          <cell r="BT1554">
            <v>512.5</v>
          </cell>
          <cell r="BY1554">
            <v>512.5</v>
          </cell>
        </row>
        <row r="1555">
          <cell r="BT1555">
            <v>-25.63</v>
          </cell>
          <cell r="BY1555">
            <v>25.63</v>
          </cell>
        </row>
        <row r="1556">
          <cell r="BT1556">
            <v>357</v>
          </cell>
          <cell r="BY1556">
            <v>357</v>
          </cell>
        </row>
        <row r="1557">
          <cell r="BT1557">
            <v>-17.850000000000001</v>
          </cell>
          <cell r="BY1557">
            <v>17.850000000000001</v>
          </cell>
        </row>
        <row r="1558">
          <cell r="BT1558">
            <v>1386</v>
          </cell>
          <cell r="BY1558">
            <v>1386</v>
          </cell>
        </row>
        <row r="1559">
          <cell r="BT1559">
            <v>-69.3</v>
          </cell>
          <cell r="BY1559">
            <v>69.3</v>
          </cell>
        </row>
        <row r="1560">
          <cell r="BT1560">
            <v>20425</v>
          </cell>
          <cell r="BY1560">
            <v>20425</v>
          </cell>
        </row>
        <row r="1561">
          <cell r="BT1561">
            <v>-1021.23</v>
          </cell>
          <cell r="BY1561">
            <v>1021.23</v>
          </cell>
        </row>
        <row r="1562">
          <cell r="BT1562">
            <v>550</v>
          </cell>
          <cell r="BY1562">
            <v>550</v>
          </cell>
        </row>
        <row r="1563">
          <cell r="BT1563">
            <v>-27.5</v>
          </cell>
          <cell r="BY1563">
            <v>27.5</v>
          </cell>
        </row>
        <row r="1564">
          <cell r="BT1564">
            <v>-2331</v>
          </cell>
          <cell r="BY1564">
            <v>2331</v>
          </cell>
        </row>
        <row r="1565">
          <cell r="BT1565">
            <v>2331</v>
          </cell>
          <cell r="BY1565">
            <v>2331</v>
          </cell>
        </row>
        <row r="1566">
          <cell r="BT1566">
            <v>-552.5</v>
          </cell>
          <cell r="BY1566">
            <v>552.5</v>
          </cell>
        </row>
        <row r="1567">
          <cell r="BT1567">
            <v>-412.5</v>
          </cell>
          <cell r="BY1567">
            <v>412.5</v>
          </cell>
        </row>
        <row r="1568">
          <cell r="BT1568">
            <v>-2000</v>
          </cell>
          <cell r="BY1568">
            <v>2000</v>
          </cell>
        </row>
        <row r="1569">
          <cell r="BT1569">
            <v>-2000</v>
          </cell>
          <cell r="BY1569">
            <v>2000</v>
          </cell>
        </row>
        <row r="1570">
          <cell r="BT1570">
            <v>-12800</v>
          </cell>
          <cell r="BY1570">
            <v>12800</v>
          </cell>
        </row>
        <row r="1571">
          <cell r="BT1571">
            <v>-137</v>
          </cell>
          <cell r="BY1571">
            <v>137</v>
          </cell>
        </row>
        <row r="1572">
          <cell r="BT1572">
            <v>-1890</v>
          </cell>
          <cell r="BY1572">
            <v>1890</v>
          </cell>
        </row>
        <row r="1573">
          <cell r="BT1573">
            <v>-5340</v>
          </cell>
          <cell r="BY1573">
            <v>5340</v>
          </cell>
        </row>
        <row r="1574">
          <cell r="BT1574">
            <v>-980</v>
          </cell>
          <cell r="BY1574">
            <v>980</v>
          </cell>
        </row>
        <row r="1575">
          <cell r="BT1575">
            <v>-1440</v>
          </cell>
          <cell r="BY1575">
            <v>1440</v>
          </cell>
        </row>
        <row r="1576">
          <cell r="BT1576">
            <v>299.95</v>
          </cell>
          <cell r="BY1576">
            <v>299.95</v>
          </cell>
        </row>
        <row r="1577">
          <cell r="BT1577">
            <v>1314</v>
          </cell>
          <cell r="BY1577">
            <v>1314</v>
          </cell>
        </row>
        <row r="1578">
          <cell r="BT1578">
            <v>2376</v>
          </cell>
          <cell r="BY1578">
            <v>2376</v>
          </cell>
        </row>
        <row r="1579">
          <cell r="BT1579">
            <v>1720</v>
          </cell>
          <cell r="BY1579">
            <v>1720</v>
          </cell>
        </row>
        <row r="1580">
          <cell r="BT1580">
            <v>988.8</v>
          </cell>
          <cell r="BY1580">
            <v>988.8</v>
          </cell>
        </row>
        <row r="1581">
          <cell r="BT1581">
            <v>3652</v>
          </cell>
          <cell r="BY1581">
            <v>3652</v>
          </cell>
        </row>
        <row r="1582">
          <cell r="BT1582">
            <v>308.39999999999998</v>
          </cell>
          <cell r="BY1582">
            <v>308.39999999999998</v>
          </cell>
        </row>
        <row r="1583">
          <cell r="BT1583">
            <v>1647</v>
          </cell>
          <cell r="BY1583">
            <v>1647</v>
          </cell>
        </row>
        <row r="1584">
          <cell r="BT1584">
            <v>240.75</v>
          </cell>
          <cell r="BY1584">
            <v>240.75</v>
          </cell>
        </row>
        <row r="1585">
          <cell r="BT1585">
            <v>-12.04</v>
          </cell>
          <cell r="BY1585">
            <v>12.04</v>
          </cell>
        </row>
        <row r="1586">
          <cell r="BT1586">
            <v>1230</v>
          </cell>
          <cell r="BY1586">
            <v>1230</v>
          </cell>
        </row>
        <row r="1587">
          <cell r="BT1587">
            <v>-61.5</v>
          </cell>
          <cell r="BY1587">
            <v>61.5</v>
          </cell>
        </row>
        <row r="1588">
          <cell r="BT1588">
            <v>513.45000000000005</v>
          </cell>
          <cell r="BY1588">
            <v>513.45000000000005</v>
          </cell>
        </row>
        <row r="1589">
          <cell r="BT1589">
            <v>-25.67</v>
          </cell>
          <cell r="BY1589">
            <v>25.67</v>
          </cell>
        </row>
        <row r="1590">
          <cell r="BT1590">
            <v>4762.5</v>
          </cell>
          <cell r="BY1590">
            <v>4762.5</v>
          </cell>
        </row>
        <row r="1591">
          <cell r="BT1591">
            <v>-238.13</v>
          </cell>
          <cell r="BY1591">
            <v>238.13</v>
          </cell>
        </row>
        <row r="1592">
          <cell r="BT1592">
            <v>401.25</v>
          </cell>
          <cell r="BY1592">
            <v>401.25</v>
          </cell>
        </row>
        <row r="1593">
          <cell r="BT1593">
            <v>-20.059999999999999</v>
          </cell>
          <cell r="BY1593">
            <v>20.059999999999999</v>
          </cell>
        </row>
        <row r="1594">
          <cell r="BT1594">
            <v>6440</v>
          </cell>
          <cell r="BY1594">
            <v>6440</v>
          </cell>
        </row>
        <row r="1595">
          <cell r="BT1595">
            <v>-960</v>
          </cell>
          <cell r="BY1595">
            <v>960</v>
          </cell>
        </row>
        <row r="1596">
          <cell r="BT1596">
            <v>-500</v>
          </cell>
          <cell r="BY1596">
            <v>500</v>
          </cell>
        </row>
        <row r="1597">
          <cell r="BT1597">
            <v>-3580</v>
          </cell>
          <cell r="BY1597">
            <v>3580</v>
          </cell>
        </row>
        <row r="1598">
          <cell r="BT1598">
            <v>-3680</v>
          </cell>
          <cell r="BY1598">
            <v>3680</v>
          </cell>
        </row>
        <row r="1599">
          <cell r="BT1599">
            <v>-665</v>
          </cell>
          <cell r="BY1599">
            <v>665</v>
          </cell>
        </row>
        <row r="1600">
          <cell r="BT1600">
            <v>-4600</v>
          </cell>
          <cell r="BY1600">
            <v>4600</v>
          </cell>
        </row>
        <row r="1601">
          <cell r="BT1601">
            <v>-15000</v>
          </cell>
          <cell r="BY1601">
            <v>15000</v>
          </cell>
        </row>
        <row r="1602">
          <cell r="BT1602">
            <v>-617.5</v>
          </cell>
          <cell r="BY1602">
            <v>617.5</v>
          </cell>
        </row>
        <row r="1603">
          <cell r="BT1603">
            <v>-257.5</v>
          </cell>
          <cell r="BY1603">
            <v>257.5</v>
          </cell>
        </row>
        <row r="1604">
          <cell r="BT1604">
            <v>-4600</v>
          </cell>
          <cell r="BY1604">
            <v>4600</v>
          </cell>
        </row>
        <row r="1605">
          <cell r="BT1605">
            <v>20425</v>
          </cell>
          <cell r="BY1605">
            <v>20425</v>
          </cell>
        </row>
        <row r="1606">
          <cell r="BT1606">
            <v>-1021.22</v>
          </cell>
          <cell r="BY1606">
            <v>1021.22</v>
          </cell>
        </row>
        <row r="1607">
          <cell r="BT1607">
            <v>550</v>
          </cell>
          <cell r="BY1607">
            <v>550</v>
          </cell>
        </row>
        <row r="1608">
          <cell r="BT1608">
            <v>-27.5</v>
          </cell>
          <cell r="BY1608">
            <v>27.5</v>
          </cell>
        </row>
        <row r="1609">
          <cell r="BT1609">
            <v>240.75</v>
          </cell>
          <cell r="BY1609">
            <v>240.75</v>
          </cell>
        </row>
        <row r="1610">
          <cell r="BT1610">
            <v>-12.04</v>
          </cell>
          <cell r="BY1610">
            <v>12.04</v>
          </cell>
        </row>
        <row r="1611">
          <cell r="BT1611">
            <v>1230</v>
          </cell>
          <cell r="BY1611">
            <v>1230</v>
          </cell>
        </row>
        <row r="1612">
          <cell r="BT1612">
            <v>-61.5</v>
          </cell>
          <cell r="BY1612">
            <v>61.5</v>
          </cell>
        </row>
        <row r="1613">
          <cell r="BT1613">
            <v>505.3</v>
          </cell>
          <cell r="BY1613">
            <v>505.3</v>
          </cell>
        </row>
        <row r="1614">
          <cell r="BT1614">
            <v>-25.27</v>
          </cell>
          <cell r="BY1614">
            <v>25.27</v>
          </cell>
        </row>
        <row r="1615">
          <cell r="BT1615">
            <v>4762.5</v>
          </cell>
          <cell r="BY1615">
            <v>4762.5</v>
          </cell>
        </row>
        <row r="1616">
          <cell r="BT1616">
            <v>1386</v>
          </cell>
          <cell r="BY1616">
            <v>1386</v>
          </cell>
        </row>
        <row r="1617">
          <cell r="BT1617">
            <v>-69.3</v>
          </cell>
          <cell r="BY1617">
            <v>69.3</v>
          </cell>
        </row>
        <row r="1618">
          <cell r="BT1618">
            <v>20425</v>
          </cell>
          <cell r="BY1618">
            <v>20425</v>
          </cell>
        </row>
        <row r="1619">
          <cell r="BT1619">
            <v>-1021.23</v>
          </cell>
          <cell r="BY1619">
            <v>1021.23</v>
          </cell>
        </row>
        <row r="1620">
          <cell r="BT1620">
            <v>550</v>
          </cell>
          <cell r="BY1620">
            <v>550</v>
          </cell>
        </row>
        <row r="1621">
          <cell r="BT1621">
            <v>-27.5</v>
          </cell>
          <cell r="BY1621">
            <v>27.5</v>
          </cell>
        </row>
        <row r="1622">
          <cell r="BT1622">
            <v>240.75</v>
          </cell>
          <cell r="BY1622">
            <v>240.75</v>
          </cell>
        </row>
        <row r="1623">
          <cell r="BT1623">
            <v>-12.04</v>
          </cell>
          <cell r="BY1623">
            <v>12.04</v>
          </cell>
        </row>
        <row r="1624">
          <cell r="BT1624">
            <v>1230</v>
          </cell>
          <cell r="BY1624">
            <v>1230</v>
          </cell>
        </row>
        <row r="1625">
          <cell r="BT1625">
            <v>-61.5</v>
          </cell>
          <cell r="BY1625">
            <v>61.5</v>
          </cell>
        </row>
        <row r="1626">
          <cell r="BT1626">
            <v>513.45000000000005</v>
          </cell>
          <cell r="BY1626">
            <v>513.45000000000005</v>
          </cell>
        </row>
        <row r="1627">
          <cell r="BT1627">
            <v>1200</v>
          </cell>
          <cell r="BY1627">
            <v>1200</v>
          </cell>
        </row>
        <row r="1628">
          <cell r="BT1628">
            <v>2400</v>
          </cell>
          <cell r="BY1628">
            <v>2400</v>
          </cell>
        </row>
        <row r="1629">
          <cell r="BT1629">
            <v>1200</v>
          </cell>
          <cell r="BY1629">
            <v>1200</v>
          </cell>
        </row>
        <row r="1630">
          <cell r="BT1630">
            <v>5500</v>
          </cell>
          <cell r="BY1630">
            <v>5500</v>
          </cell>
        </row>
        <row r="1631">
          <cell r="BT1631">
            <v>3465</v>
          </cell>
          <cell r="BY1631">
            <v>3465</v>
          </cell>
        </row>
        <row r="1632">
          <cell r="BT1632">
            <v>204.75</v>
          </cell>
          <cell r="BY1632">
            <v>204.75</v>
          </cell>
        </row>
        <row r="1633">
          <cell r="BT1633">
            <v>47316</v>
          </cell>
          <cell r="BY1633">
            <v>47316</v>
          </cell>
        </row>
        <row r="1634">
          <cell r="BT1634">
            <v>1740</v>
          </cell>
          <cell r="BY1634">
            <v>1740</v>
          </cell>
        </row>
        <row r="1635">
          <cell r="BT1635">
            <v>565.20000000000005</v>
          </cell>
          <cell r="BY1635">
            <v>565.20000000000005</v>
          </cell>
        </row>
        <row r="1636">
          <cell r="BT1636">
            <v>24128</v>
          </cell>
          <cell r="BY1636">
            <v>24128</v>
          </cell>
        </row>
        <row r="1637">
          <cell r="BT1637">
            <v>2068.4</v>
          </cell>
          <cell r="BY1637">
            <v>2068.4</v>
          </cell>
        </row>
        <row r="1638">
          <cell r="BT1638">
            <v>299.95</v>
          </cell>
          <cell r="BY1638">
            <v>299.95</v>
          </cell>
        </row>
        <row r="1639">
          <cell r="BT1639">
            <v>-322</v>
          </cell>
          <cell r="BY1639">
            <v>322</v>
          </cell>
        </row>
        <row r="1640">
          <cell r="BT1640">
            <v>300</v>
          </cell>
          <cell r="BY1640">
            <v>300</v>
          </cell>
        </row>
        <row r="1641">
          <cell r="BT1641">
            <v>-15</v>
          </cell>
          <cell r="BY1641">
            <v>15</v>
          </cell>
        </row>
        <row r="1642">
          <cell r="BT1642">
            <v>1906.5</v>
          </cell>
          <cell r="BY1642">
            <v>1906.5</v>
          </cell>
        </row>
        <row r="1643">
          <cell r="BT1643">
            <v>-95.33</v>
          </cell>
          <cell r="BY1643">
            <v>95.33</v>
          </cell>
        </row>
        <row r="1644">
          <cell r="BT1644">
            <v>12690</v>
          </cell>
          <cell r="BY1644">
            <v>12690</v>
          </cell>
        </row>
        <row r="1645">
          <cell r="BT1645">
            <v>-634.5</v>
          </cell>
          <cell r="BY1645">
            <v>634.5</v>
          </cell>
        </row>
        <row r="1646">
          <cell r="BT1646">
            <v>1213</v>
          </cell>
          <cell r="BY1646">
            <v>1213</v>
          </cell>
        </row>
        <row r="1647">
          <cell r="BT1647">
            <v>-60.65</v>
          </cell>
          <cell r="BY1647">
            <v>60.65</v>
          </cell>
        </row>
        <row r="1648">
          <cell r="BT1648">
            <v>449</v>
          </cell>
          <cell r="BY1648">
            <v>449</v>
          </cell>
        </row>
        <row r="1649">
          <cell r="BT1649">
            <v>-22.45</v>
          </cell>
          <cell r="BY1649">
            <v>22.45</v>
          </cell>
        </row>
        <row r="1650">
          <cell r="BT1650">
            <v>-258</v>
          </cell>
          <cell r="BY1650">
            <v>258</v>
          </cell>
        </row>
        <row r="1651">
          <cell r="BT1651">
            <v>258</v>
          </cell>
          <cell r="BY1651">
            <v>258</v>
          </cell>
        </row>
        <row r="1652">
          <cell r="BT1652">
            <v>-12.9</v>
          </cell>
          <cell r="BY1652">
            <v>12.9</v>
          </cell>
        </row>
        <row r="1653">
          <cell r="BT1653">
            <v>600</v>
          </cell>
          <cell r="BY1653">
            <v>600</v>
          </cell>
        </row>
        <row r="1654">
          <cell r="BT1654">
            <v>-30</v>
          </cell>
          <cell r="BY1654">
            <v>30</v>
          </cell>
        </row>
        <row r="1655">
          <cell r="BT1655">
            <v>2400</v>
          </cell>
          <cell r="BY1655">
            <v>2400</v>
          </cell>
        </row>
        <row r="1656">
          <cell r="BT1656">
            <v>-120</v>
          </cell>
          <cell r="BY1656">
            <v>120</v>
          </cell>
        </row>
        <row r="1657">
          <cell r="BT1657">
            <v>1200</v>
          </cell>
          <cell r="BY1657">
            <v>1200</v>
          </cell>
        </row>
        <row r="1658">
          <cell r="BT1658">
            <v>-238.13</v>
          </cell>
          <cell r="BY1658">
            <v>238.13</v>
          </cell>
        </row>
        <row r="1659">
          <cell r="BT1659">
            <v>401.25</v>
          </cell>
          <cell r="BY1659">
            <v>401.25</v>
          </cell>
        </row>
        <row r="1660">
          <cell r="BT1660">
            <v>-20.059999999999999</v>
          </cell>
          <cell r="BY1660">
            <v>20.059999999999999</v>
          </cell>
        </row>
        <row r="1661">
          <cell r="BT1661">
            <v>6440</v>
          </cell>
          <cell r="BY1661">
            <v>6440</v>
          </cell>
        </row>
        <row r="1662">
          <cell r="BT1662">
            <v>-322</v>
          </cell>
          <cell r="BY1662">
            <v>322</v>
          </cell>
        </row>
        <row r="1663">
          <cell r="BT1663">
            <v>300</v>
          </cell>
          <cell r="BY1663">
            <v>300</v>
          </cell>
        </row>
        <row r="1664">
          <cell r="BT1664">
            <v>-15</v>
          </cell>
          <cell r="BY1664">
            <v>15</v>
          </cell>
        </row>
        <row r="1665">
          <cell r="BT1665">
            <v>1906.5</v>
          </cell>
          <cell r="BY1665">
            <v>1906.5</v>
          </cell>
        </row>
        <row r="1666">
          <cell r="BT1666">
            <v>-95.33</v>
          </cell>
          <cell r="BY1666">
            <v>95.33</v>
          </cell>
        </row>
        <row r="1667">
          <cell r="BT1667">
            <v>12690</v>
          </cell>
          <cell r="BY1667">
            <v>12690</v>
          </cell>
        </row>
        <row r="1668">
          <cell r="BT1668">
            <v>-634.5</v>
          </cell>
          <cell r="BY1668">
            <v>634.5</v>
          </cell>
        </row>
        <row r="1669">
          <cell r="BT1669">
            <v>-25.67</v>
          </cell>
          <cell r="BY1669">
            <v>25.67</v>
          </cell>
        </row>
        <row r="1670">
          <cell r="BT1670">
            <v>4762.5</v>
          </cell>
          <cell r="BY1670">
            <v>4762.5</v>
          </cell>
        </row>
        <row r="1671">
          <cell r="BT1671">
            <v>-238.13</v>
          </cell>
          <cell r="BY1671">
            <v>238.13</v>
          </cell>
        </row>
        <row r="1672">
          <cell r="BT1672">
            <v>401.25</v>
          </cell>
          <cell r="BY1672">
            <v>401.25</v>
          </cell>
        </row>
        <row r="1673">
          <cell r="BT1673">
            <v>-20.059999999999999</v>
          </cell>
          <cell r="BY1673">
            <v>20.059999999999999</v>
          </cell>
        </row>
        <row r="1674">
          <cell r="BT1674">
            <v>6440</v>
          </cell>
          <cell r="BY1674">
            <v>6440</v>
          </cell>
        </row>
        <row r="1675">
          <cell r="BT1675">
            <v>-322</v>
          </cell>
          <cell r="BY1675">
            <v>322</v>
          </cell>
        </row>
        <row r="1676">
          <cell r="BT1676">
            <v>300</v>
          </cell>
          <cell r="BY1676">
            <v>300</v>
          </cell>
        </row>
        <row r="1677">
          <cell r="BT1677">
            <v>-15</v>
          </cell>
          <cell r="BY1677">
            <v>15</v>
          </cell>
        </row>
        <row r="1678">
          <cell r="BT1678">
            <v>1906.5</v>
          </cell>
          <cell r="BY1678">
            <v>1906.5</v>
          </cell>
        </row>
        <row r="1679">
          <cell r="BT1679">
            <v>-95.33</v>
          </cell>
          <cell r="BY1679">
            <v>95.33</v>
          </cell>
        </row>
        <row r="1680">
          <cell r="BT1680">
            <v>-11250</v>
          </cell>
          <cell r="BY1680">
            <v>11250</v>
          </cell>
        </row>
        <row r="1681">
          <cell r="BT1681">
            <v>1314</v>
          </cell>
          <cell r="BY1681">
            <v>1314</v>
          </cell>
        </row>
        <row r="1682">
          <cell r="BT1682">
            <v>2376</v>
          </cell>
          <cell r="BY1682">
            <v>2376</v>
          </cell>
        </row>
        <row r="1683">
          <cell r="BT1683">
            <v>1720</v>
          </cell>
          <cell r="BY1683">
            <v>1720</v>
          </cell>
        </row>
        <row r="1684">
          <cell r="BT1684">
            <v>988.8</v>
          </cell>
          <cell r="BY1684">
            <v>988.8</v>
          </cell>
        </row>
        <row r="1685">
          <cell r="BT1685">
            <v>3652</v>
          </cell>
          <cell r="BY1685">
            <v>3652</v>
          </cell>
        </row>
        <row r="1686">
          <cell r="BT1686">
            <v>308.39999999999998</v>
          </cell>
          <cell r="BY1686">
            <v>308.39999999999998</v>
          </cell>
        </row>
        <row r="1687">
          <cell r="BT1687">
            <v>1647</v>
          </cell>
          <cell r="BY1687">
            <v>1647</v>
          </cell>
        </row>
        <row r="1688">
          <cell r="BT1688">
            <v>3465</v>
          </cell>
          <cell r="BY1688">
            <v>3465</v>
          </cell>
        </row>
        <row r="1689">
          <cell r="BT1689">
            <v>204.75</v>
          </cell>
          <cell r="BY1689">
            <v>204.75</v>
          </cell>
        </row>
        <row r="1690">
          <cell r="BT1690">
            <v>47316</v>
          </cell>
          <cell r="BY1690">
            <v>47316</v>
          </cell>
        </row>
        <row r="1691">
          <cell r="BT1691">
            <v>1740</v>
          </cell>
          <cell r="BY1691">
            <v>1740</v>
          </cell>
        </row>
        <row r="1692">
          <cell r="BT1692">
            <v>971.75</v>
          </cell>
          <cell r="BY1692">
            <v>971.75</v>
          </cell>
        </row>
        <row r="1693">
          <cell r="BT1693">
            <v>-48.59</v>
          </cell>
          <cell r="BY1693">
            <v>48.59</v>
          </cell>
        </row>
        <row r="1694">
          <cell r="BT1694">
            <v>2100</v>
          </cell>
          <cell r="BY1694">
            <v>2100</v>
          </cell>
        </row>
        <row r="1695">
          <cell r="BT1695">
            <v>-105</v>
          </cell>
          <cell r="BY1695">
            <v>105</v>
          </cell>
        </row>
        <row r="1696">
          <cell r="BT1696">
            <v>370</v>
          </cell>
          <cell r="BY1696">
            <v>370</v>
          </cell>
        </row>
        <row r="1697">
          <cell r="BT1697">
            <v>-18.5</v>
          </cell>
          <cell r="BY1697">
            <v>18.5</v>
          </cell>
        </row>
        <row r="1698">
          <cell r="BT1698">
            <v>30.6</v>
          </cell>
          <cell r="BY1698">
            <v>30.6</v>
          </cell>
        </row>
        <row r="1699">
          <cell r="BT1699">
            <v>-1.53</v>
          </cell>
          <cell r="BY1699">
            <v>1.53</v>
          </cell>
        </row>
        <row r="1700">
          <cell r="BT1700">
            <v>1017.45</v>
          </cell>
          <cell r="BY1700">
            <v>1017.45</v>
          </cell>
        </row>
        <row r="1701">
          <cell r="BT1701">
            <v>-50.87</v>
          </cell>
          <cell r="BY1701">
            <v>50.87</v>
          </cell>
        </row>
        <row r="1702">
          <cell r="BT1702">
            <v>708.75</v>
          </cell>
          <cell r="BY1702">
            <v>708.75</v>
          </cell>
        </row>
        <row r="1703">
          <cell r="BT1703">
            <v>12.9</v>
          </cell>
          <cell r="BY1703">
            <v>12.9</v>
          </cell>
        </row>
        <row r="1704">
          <cell r="BT1704">
            <v>-600</v>
          </cell>
          <cell r="BY1704">
            <v>600</v>
          </cell>
        </row>
        <row r="1705">
          <cell r="BT1705">
            <v>30</v>
          </cell>
          <cell r="BY1705">
            <v>30</v>
          </cell>
        </row>
        <row r="1706">
          <cell r="BT1706">
            <v>-2400</v>
          </cell>
          <cell r="BY1706">
            <v>2400</v>
          </cell>
        </row>
        <row r="1707">
          <cell r="BT1707">
            <v>120</v>
          </cell>
          <cell r="BY1707">
            <v>120</v>
          </cell>
        </row>
        <row r="1708">
          <cell r="BT1708">
            <v>-1200</v>
          </cell>
          <cell r="BY1708">
            <v>1200</v>
          </cell>
        </row>
        <row r="1709">
          <cell r="BT1709">
            <v>60</v>
          </cell>
          <cell r="BY1709">
            <v>60</v>
          </cell>
        </row>
        <row r="1710">
          <cell r="BT1710">
            <v>-860</v>
          </cell>
          <cell r="BY1710">
            <v>860</v>
          </cell>
        </row>
        <row r="1711">
          <cell r="BT1711">
            <v>43</v>
          </cell>
          <cell r="BY1711">
            <v>43</v>
          </cell>
        </row>
        <row r="1712">
          <cell r="BT1712">
            <v>-9750</v>
          </cell>
          <cell r="BY1712">
            <v>9750</v>
          </cell>
        </row>
        <row r="1713">
          <cell r="BT1713">
            <v>487.5</v>
          </cell>
          <cell r="BY1713">
            <v>487.5</v>
          </cell>
        </row>
        <row r="1714">
          <cell r="BT1714">
            <v>11250</v>
          </cell>
          <cell r="BY1714">
            <v>11250</v>
          </cell>
        </row>
        <row r="1715">
          <cell r="BT1715">
            <v>565.20000000000005</v>
          </cell>
          <cell r="BY1715">
            <v>565.20000000000005</v>
          </cell>
        </row>
        <row r="1716">
          <cell r="BT1716">
            <v>24128</v>
          </cell>
          <cell r="BY1716">
            <v>24128</v>
          </cell>
        </row>
        <row r="1717">
          <cell r="BT1717">
            <v>2068.4</v>
          </cell>
          <cell r="BY1717">
            <v>2068.4</v>
          </cell>
        </row>
        <row r="1718">
          <cell r="BT1718">
            <v>-299.95</v>
          </cell>
          <cell r="BY1718">
            <v>299.95</v>
          </cell>
        </row>
        <row r="1719">
          <cell r="BT1719">
            <v>-1314</v>
          </cell>
          <cell r="BY1719">
            <v>1314</v>
          </cell>
        </row>
        <row r="1720">
          <cell r="BT1720">
            <v>-2376</v>
          </cell>
          <cell r="BY1720">
            <v>2376</v>
          </cell>
        </row>
        <row r="1721">
          <cell r="BT1721">
            <v>-1720</v>
          </cell>
          <cell r="BY1721">
            <v>1720</v>
          </cell>
        </row>
        <row r="1722">
          <cell r="BT1722">
            <v>-988.8</v>
          </cell>
          <cell r="BY1722">
            <v>988.8</v>
          </cell>
        </row>
        <row r="1723">
          <cell r="BT1723">
            <v>-3652</v>
          </cell>
          <cell r="BY1723">
            <v>3652</v>
          </cell>
        </row>
        <row r="1724">
          <cell r="BT1724">
            <v>-308.39999999999998</v>
          </cell>
          <cell r="BY1724">
            <v>308.39999999999998</v>
          </cell>
        </row>
        <row r="1725">
          <cell r="BT1725">
            <v>-1647</v>
          </cell>
          <cell r="BY1725">
            <v>1647</v>
          </cell>
        </row>
        <row r="1726">
          <cell r="BT1726">
            <v>-35.44</v>
          </cell>
          <cell r="BY1726">
            <v>35.44</v>
          </cell>
        </row>
        <row r="1727">
          <cell r="BT1727">
            <v>537.5</v>
          </cell>
          <cell r="BY1727">
            <v>537.5</v>
          </cell>
        </row>
        <row r="1728">
          <cell r="BT1728">
            <v>-26.88</v>
          </cell>
          <cell r="BY1728">
            <v>26.88</v>
          </cell>
        </row>
        <row r="1729">
          <cell r="BT1729">
            <v>512.5</v>
          </cell>
          <cell r="BY1729">
            <v>512.5</v>
          </cell>
        </row>
        <row r="1730">
          <cell r="BT1730">
            <v>-25.63</v>
          </cell>
          <cell r="BY1730">
            <v>25.63</v>
          </cell>
        </row>
        <row r="1731">
          <cell r="BT1731">
            <v>357</v>
          </cell>
          <cell r="BY1731">
            <v>357</v>
          </cell>
        </row>
        <row r="1732">
          <cell r="BT1732">
            <v>-17.850000000000001</v>
          </cell>
          <cell r="BY1732">
            <v>17.850000000000001</v>
          </cell>
        </row>
        <row r="1733">
          <cell r="BT1733">
            <v>1386</v>
          </cell>
          <cell r="BY1733">
            <v>1386</v>
          </cell>
        </row>
        <row r="1734">
          <cell r="BT1734">
            <v>-69.3</v>
          </cell>
          <cell r="BY1734">
            <v>69.3</v>
          </cell>
        </row>
        <row r="1735">
          <cell r="BT1735">
            <v>20425</v>
          </cell>
          <cell r="BY1735">
            <v>20425</v>
          </cell>
        </row>
        <row r="1736">
          <cell r="BT1736">
            <v>-1021.23</v>
          </cell>
          <cell r="BY1736">
            <v>1021.23</v>
          </cell>
        </row>
        <row r="1737">
          <cell r="BT1737">
            <v>-10000</v>
          </cell>
          <cell r="BY1737">
            <v>10000</v>
          </cell>
        </row>
        <row r="1738">
          <cell r="BT1738">
            <v>500</v>
          </cell>
          <cell r="BY1738">
            <v>500</v>
          </cell>
        </row>
        <row r="1739">
          <cell r="BT1739">
            <v>-1100</v>
          </cell>
          <cell r="BY1739">
            <v>1100</v>
          </cell>
        </row>
        <row r="1740">
          <cell r="BT1740">
            <v>55</v>
          </cell>
          <cell r="BY1740">
            <v>55</v>
          </cell>
        </row>
        <row r="1741">
          <cell r="BT1741">
            <v>-6800</v>
          </cell>
          <cell r="BY1741">
            <v>6800</v>
          </cell>
        </row>
        <row r="1742">
          <cell r="BT1742">
            <v>340</v>
          </cell>
          <cell r="BY1742">
            <v>340</v>
          </cell>
        </row>
        <row r="1743">
          <cell r="BT1743">
            <v>-2170</v>
          </cell>
          <cell r="BY1743">
            <v>2170</v>
          </cell>
        </row>
        <row r="1744">
          <cell r="BT1744">
            <v>108.5</v>
          </cell>
          <cell r="BY1744">
            <v>108.5</v>
          </cell>
        </row>
        <row r="1745">
          <cell r="BT1745">
            <v>-11240</v>
          </cell>
          <cell r="BY1745">
            <v>11240</v>
          </cell>
        </row>
        <row r="1746">
          <cell r="BT1746">
            <v>562</v>
          </cell>
          <cell r="BY1746">
            <v>562</v>
          </cell>
        </row>
        <row r="1747">
          <cell r="BT1747">
            <v>-1092</v>
          </cell>
          <cell r="BY1747">
            <v>1092</v>
          </cell>
        </row>
        <row r="1748">
          <cell r="BT1748">
            <v>-1138.8</v>
          </cell>
          <cell r="BY1748">
            <v>1138.8</v>
          </cell>
        </row>
        <row r="1749">
          <cell r="BT1749">
            <v>-2405.6999999999998</v>
          </cell>
          <cell r="BY1749">
            <v>2405.6999999999998</v>
          </cell>
        </row>
        <row r="1750">
          <cell r="BT1750">
            <v>-1118</v>
          </cell>
          <cell r="BY1750">
            <v>1118</v>
          </cell>
        </row>
        <row r="1751">
          <cell r="BT1751">
            <v>-1530</v>
          </cell>
          <cell r="BY1751">
            <v>1530</v>
          </cell>
        </row>
        <row r="1752">
          <cell r="BT1752">
            <v>-342</v>
          </cell>
          <cell r="BY1752">
            <v>342</v>
          </cell>
        </row>
        <row r="1753">
          <cell r="BT1753">
            <v>-213.3</v>
          </cell>
          <cell r="BY1753">
            <v>213.3</v>
          </cell>
        </row>
        <row r="1754">
          <cell r="BT1754">
            <v>-16340</v>
          </cell>
          <cell r="BY1754">
            <v>16340</v>
          </cell>
        </row>
        <row r="1755">
          <cell r="BT1755">
            <v>-3465</v>
          </cell>
          <cell r="BY1755">
            <v>3465</v>
          </cell>
        </row>
        <row r="1756">
          <cell r="BT1756">
            <v>-204.75</v>
          </cell>
          <cell r="BY1756">
            <v>204.75</v>
          </cell>
        </row>
        <row r="1757">
          <cell r="BT1757">
            <v>-47316</v>
          </cell>
          <cell r="BY1757">
            <v>47316</v>
          </cell>
        </row>
        <row r="1758">
          <cell r="BT1758">
            <v>-1740</v>
          </cell>
          <cell r="BY1758">
            <v>1740</v>
          </cell>
        </row>
        <row r="1759">
          <cell r="BT1759">
            <v>-565.20000000000005</v>
          </cell>
          <cell r="BY1759">
            <v>565.20000000000005</v>
          </cell>
        </row>
        <row r="1760">
          <cell r="BT1760">
            <v>-24128</v>
          </cell>
          <cell r="BY1760">
            <v>24128</v>
          </cell>
        </row>
        <row r="1761">
          <cell r="BT1761">
            <v>-2068.4</v>
          </cell>
          <cell r="BY1761">
            <v>2068.4</v>
          </cell>
        </row>
        <row r="1762">
          <cell r="BT1762">
            <v>299.95</v>
          </cell>
          <cell r="BY1762">
            <v>299.95</v>
          </cell>
        </row>
        <row r="1763">
          <cell r="BT1763">
            <v>1314</v>
          </cell>
          <cell r="BY1763">
            <v>1314</v>
          </cell>
        </row>
        <row r="1764">
          <cell r="BT1764">
            <v>2376</v>
          </cell>
          <cell r="BY1764">
            <v>2376</v>
          </cell>
        </row>
        <row r="1765">
          <cell r="BT1765">
            <v>550</v>
          </cell>
          <cell r="BY1765">
            <v>550</v>
          </cell>
        </row>
        <row r="1766">
          <cell r="BT1766">
            <v>-27.5</v>
          </cell>
          <cell r="BY1766">
            <v>27.5</v>
          </cell>
        </row>
        <row r="1767">
          <cell r="BT1767">
            <v>240.75</v>
          </cell>
          <cell r="BY1767">
            <v>240.75</v>
          </cell>
        </row>
        <row r="1768">
          <cell r="BT1768">
            <v>-12.04</v>
          </cell>
          <cell r="BY1768">
            <v>12.04</v>
          </cell>
        </row>
        <row r="1769">
          <cell r="BT1769">
            <v>1230</v>
          </cell>
          <cell r="BY1769">
            <v>1230</v>
          </cell>
        </row>
        <row r="1770">
          <cell r="BT1770">
            <v>-61.5</v>
          </cell>
          <cell r="BY1770">
            <v>61.5</v>
          </cell>
        </row>
        <row r="1771">
          <cell r="BT1771">
            <v>513.45000000000005</v>
          </cell>
          <cell r="BY1771">
            <v>513.45000000000005</v>
          </cell>
        </row>
        <row r="1772">
          <cell r="BT1772">
            <v>-25.67</v>
          </cell>
          <cell r="BY1772">
            <v>25.67</v>
          </cell>
        </row>
        <row r="1773">
          <cell r="BT1773">
            <v>4762.5</v>
          </cell>
          <cell r="BY1773">
            <v>4762.5</v>
          </cell>
        </row>
        <row r="1774">
          <cell r="BT1774">
            <v>-238.13</v>
          </cell>
          <cell r="BY1774">
            <v>238.13</v>
          </cell>
        </row>
        <row r="1775">
          <cell r="BT1775">
            <v>401.25</v>
          </cell>
          <cell r="BY1775">
            <v>401.25</v>
          </cell>
        </row>
        <row r="1776">
          <cell r="BT1776">
            <v>54.6</v>
          </cell>
          <cell r="BY1776">
            <v>54.6</v>
          </cell>
        </row>
        <row r="1777">
          <cell r="BT1777">
            <v>-2130</v>
          </cell>
          <cell r="BY1777">
            <v>2130</v>
          </cell>
        </row>
        <row r="1778">
          <cell r="BT1778">
            <v>106.5</v>
          </cell>
          <cell r="BY1778">
            <v>106.5</v>
          </cell>
        </row>
        <row r="1779">
          <cell r="BT1779">
            <v>-258</v>
          </cell>
          <cell r="BY1779">
            <v>258</v>
          </cell>
        </row>
        <row r="1780">
          <cell r="BT1780">
            <v>12.9</v>
          </cell>
          <cell r="BY1780">
            <v>12.9</v>
          </cell>
        </row>
        <row r="1781">
          <cell r="BT1781">
            <v>-600</v>
          </cell>
          <cell r="BY1781">
            <v>600</v>
          </cell>
        </row>
        <row r="1782">
          <cell r="BT1782">
            <v>30</v>
          </cell>
          <cell r="BY1782">
            <v>30</v>
          </cell>
        </row>
        <row r="1783">
          <cell r="BT1783">
            <v>-2400</v>
          </cell>
          <cell r="BY1783">
            <v>2400</v>
          </cell>
        </row>
        <row r="1784">
          <cell r="BT1784">
            <v>120</v>
          </cell>
          <cell r="BY1784">
            <v>120</v>
          </cell>
        </row>
        <row r="1785">
          <cell r="BT1785">
            <v>-1200</v>
          </cell>
          <cell r="BY1785">
            <v>1200</v>
          </cell>
        </row>
        <row r="1786">
          <cell r="BT1786">
            <v>-6500.56</v>
          </cell>
          <cell r="BY1786">
            <v>6500.56</v>
          </cell>
        </row>
        <row r="1787">
          <cell r="BT1787">
            <v>-1068.3599999999999</v>
          </cell>
          <cell r="BY1787">
            <v>1068.3599999999999</v>
          </cell>
        </row>
        <row r="1788">
          <cell r="BT1788">
            <v>-1514.8</v>
          </cell>
          <cell r="BY1788">
            <v>1514.8</v>
          </cell>
        </row>
        <row r="1789">
          <cell r="BT1789">
            <v>-370.08</v>
          </cell>
          <cell r="BY1789">
            <v>370.08</v>
          </cell>
        </row>
        <row r="1790">
          <cell r="BT1790">
            <v>-1801.8</v>
          </cell>
          <cell r="BY1790">
            <v>1801.8</v>
          </cell>
        </row>
        <row r="1791">
          <cell r="BT1791">
            <v>-819</v>
          </cell>
          <cell r="BY1791">
            <v>819</v>
          </cell>
        </row>
        <row r="1792">
          <cell r="BT1792">
            <v>-4573.88</v>
          </cell>
          <cell r="BY1792">
            <v>4573.88</v>
          </cell>
        </row>
        <row r="1793">
          <cell r="BT1793">
            <v>-776.1</v>
          </cell>
          <cell r="BY1793">
            <v>776.1</v>
          </cell>
        </row>
        <row r="1794">
          <cell r="BT1794">
            <v>-1450</v>
          </cell>
          <cell r="BY1794">
            <v>1450</v>
          </cell>
        </row>
        <row r="1795">
          <cell r="BT1795">
            <v>-1749.28</v>
          </cell>
          <cell r="BY1795">
            <v>1749.28</v>
          </cell>
        </row>
        <row r="1796">
          <cell r="BT1796">
            <v>-612</v>
          </cell>
          <cell r="BY1796">
            <v>612</v>
          </cell>
        </row>
        <row r="1797">
          <cell r="BT1797">
            <v>-1430</v>
          </cell>
          <cell r="BY1797">
            <v>1430</v>
          </cell>
        </row>
        <row r="1798">
          <cell r="BT1798">
            <v>-5530</v>
          </cell>
          <cell r="BY1798">
            <v>5530</v>
          </cell>
        </row>
        <row r="1799">
          <cell r="BT1799">
            <v>-537.5</v>
          </cell>
          <cell r="BY1799">
            <v>537.5</v>
          </cell>
        </row>
        <row r="1800">
          <cell r="BT1800">
            <v>-963</v>
          </cell>
          <cell r="BY1800">
            <v>963</v>
          </cell>
        </row>
        <row r="1801">
          <cell r="BT1801">
            <v>-3810</v>
          </cell>
          <cell r="BY1801">
            <v>3810</v>
          </cell>
        </row>
        <row r="1802">
          <cell r="BT1802">
            <v>-346.5</v>
          </cell>
          <cell r="BY1802">
            <v>346.5</v>
          </cell>
        </row>
        <row r="1803">
          <cell r="BT1803">
            <v>-2124</v>
          </cell>
          <cell r="BY1803">
            <v>2124</v>
          </cell>
        </row>
        <row r="1804">
          <cell r="BT1804">
            <v>-612</v>
          </cell>
          <cell r="BY1804">
            <v>612</v>
          </cell>
        </row>
        <row r="1805">
          <cell r="BT1805">
            <v>-1430</v>
          </cell>
          <cell r="BY1805">
            <v>1430</v>
          </cell>
        </row>
        <row r="1806">
          <cell r="BT1806">
            <v>-5530</v>
          </cell>
          <cell r="BY1806">
            <v>5530</v>
          </cell>
        </row>
        <row r="1807">
          <cell r="BT1807">
            <v>1720</v>
          </cell>
          <cell r="BY1807">
            <v>1720</v>
          </cell>
        </row>
        <row r="1808">
          <cell r="BT1808">
            <v>988.8</v>
          </cell>
          <cell r="BY1808">
            <v>988.8</v>
          </cell>
        </row>
        <row r="1809">
          <cell r="BT1809">
            <v>3652</v>
          </cell>
          <cell r="BY1809">
            <v>3652</v>
          </cell>
        </row>
        <row r="1810">
          <cell r="BT1810">
            <v>308.39999999999998</v>
          </cell>
          <cell r="BY1810">
            <v>308.39999999999998</v>
          </cell>
        </row>
        <row r="1811">
          <cell r="BT1811">
            <v>1647</v>
          </cell>
          <cell r="BY1811">
            <v>1647</v>
          </cell>
        </row>
        <row r="1812">
          <cell r="BT1812">
            <v>3465</v>
          </cell>
          <cell r="BY1812">
            <v>3465</v>
          </cell>
        </row>
        <row r="1813">
          <cell r="BT1813">
            <v>204.75</v>
          </cell>
          <cell r="BY1813">
            <v>204.75</v>
          </cell>
        </row>
        <row r="1814">
          <cell r="BT1814">
            <v>47316</v>
          </cell>
          <cell r="BY1814">
            <v>47316</v>
          </cell>
        </row>
        <row r="1815">
          <cell r="BT1815">
            <v>1740</v>
          </cell>
          <cell r="BY1815">
            <v>1740</v>
          </cell>
        </row>
        <row r="1816">
          <cell r="BT1816">
            <v>565.20000000000005</v>
          </cell>
          <cell r="BY1816">
            <v>565.20000000000005</v>
          </cell>
        </row>
        <row r="1817">
          <cell r="BT1817">
            <v>24128</v>
          </cell>
          <cell r="BY1817">
            <v>24128</v>
          </cell>
        </row>
        <row r="1818">
          <cell r="BT1818">
            <v>-20.059999999999999</v>
          </cell>
          <cell r="BY1818">
            <v>20.059999999999999</v>
          </cell>
        </row>
        <row r="1819">
          <cell r="BT1819">
            <v>6440</v>
          </cell>
          <cell r="BY1819">
            <v>6440</v>
          </cell>
        </row>
        <row r="1820">
          <cell r="BT1820">
            <v>-322</v>
          </cell>
          <cell r="BY1820">
            <v>322</v>
          </cell>
        </row>
        <row r="1821">
          <cell r="BT1821">
            <v>300</v>
          </cell>
          <cell r="BY1821">
            <v>300</v>
          </cell>
        </row>
        <row r="1822">
          <cell r="BT1822">
            <v>-15</v>
          </cell>
          <cell r="BY1822">
            <v>15</v>
          </cell>
        </row>
        <row r="1823">
          <cell r="BT1823">
            <v>1906.5</v>
          </cell>
          <cell r="BY1823">
            <v>1906.5</v>
          </cell>
        </row>
        <row r="1824">
          <cell r="BT1824">
            <v>-95.33</v>
          </cell>
          <cell r="BY1824">
            <v>95.33</v>
          </cell>
        </row>
        <row r="1825">
          <cell r="BT1825">
            <v>12690</v>
          </cell>
          <cell r="BY1825">
            <v>12690</v>
          </cell>
        </row>
        <row r="1826">
          <cell r="BT1826">
            <v>-634.5</v>
          </cell>
          <cell r="BY1826">
            <v>634.5</v>
          </cell>
        </row>
        <row r="1827">
          <cell r="BT1827">
            <v>1213</v>
          </cell>
          <cell r="BY1827">
            <v>1213</v>
          </cell>
        </row>
        <row r="1828">
          <cell r="BT1828">
            <v>-60.65</v>
          </cell>
          <cell r="BY1828">
            <v>60.65</v>
          </cell>
        </row>
        <row r="1829">
          <cell r="BT1829">
            <v>60</v>
          </cell>
          <cell r="BY1829">
            <v>60</v>
          </cell>
        </row>
        <row r="1830">
          <cell r="BT1830">
            <v>-860</v>
          </cell>
          <cell r="BY1830">
            <v>860</v>
          </cell>
        </row>
        <row r="1831">
          <cell r="BT1831">
            <v>43</v>
          </cell>
          <cell r="BY1831">
            <v>43</v>
          </cell>
        </row>
        <row r="1832">
          <cell r="BT1832">
            <v>-9750</v>
          </cell>
          <cell r="BY1832">
            <v>9750</v>
          </cell>
        </row>
        <row r="1833">
          <cell r="BT1833">
            <v>487.5</v>
          </cell>
          <cell r="BY1833">
            <v>487.5</v>
          </cell>
        </row>
        <row r="1834">
          <cell r="BT1834">
            <v>-10000</v>
          </cell>
          <cell r="BY1834">
            <v>10000</v>
          </cell>
        </row>
        <row r="1835">
          <cell r="BT1835">
            <v>500</v>
          </cell>
          <cell r="BY1835">
            <v>500</v>
          </cell>
        </row>
        <row r="1836">
          <cell r="BT1836">
            <v>-1100</v>
          </cell>
          <cell r="BY1836">
            <v>1100</v>
          </cell>
        </row>
        <row r="1837">
          <cell r="BT1837">
            <v>55</v>
          </cell>
          <cell r="BY1837">
            <v>55</v>
          </cell>
        </row>
        <row r="1838">
          <cell r="BT1838">
            <v>-6800</v>
          </cell>
          <cell r="BY1838">
            <v>6800</v>
          </cell>
        </row>
        <row r="1839">
          <cell r="BT1839">
            <v>340</v>
          </cell>
          <cell r="BY1839">
            <v>340</v>
          </cell>
        </row>
        <row r="1840">
          <cell r="BT1840">
            <v>-310.26</v>
          </cell>
          <cell r="BY1840">
            <v>310.26</v>
          </cell>
        </row>
        <row r="1841">
          <cell r="BT1841">
            <v>-1125</v>
          </cell>
          <cell r="BY1841">
            <v>1125</v>
          </cell>
        </row>
        <row r="1842">
          <cell r="BT1842">
            <v>-3708</v>
          </cell>
          <cell r="BY1842">
            <v>3708</v>
          </cell>
        </row>
        <row r="1843">
          <cell r="BT1843">
            <v>3708</v>
          </cell>
          <cell r="BY1843">
            <v>3708</v>
          </cell>
        </row>
        <row r="1844">
          <cell r="BT1844">
            <v>3708</v>
          </cell>
          <cell r="BY1844">
            <v>3708</v>
          </cell>
        </row>
        <row r="1845">
          <cell r="BT1845">
            <v>-3708</v>
          </cell>
          <cell r="BY1845">
            <v>3708</v>
          </cell>
        </row>
        <row r="1846">
          <cell r="BT1846">
            <v>-7825.36</v>
          </cell>
          <cell r="BY1846">
            <v>7825.36</v>
          </cell>
        </row>
        <row r="1847">
          <cell r="BT1847">
            <v>-537.5</v>
          </cell>
          <cell r="BY1847">
            <v>537.5</v>
          </cell>
        </row>
        <row r="1848">
          <cell r="BT1848">
            <v>-963</v>
          </cell>
          <cell r="BY1848">
            <v>963</v>
          </cell>
        </row>
        <row r="1849">
          <cell r="BT1849">
            <v>-3810</v>
          </cell>
          <cell r="BY1849">
            <v>3810</v>
          </cell>
        </row>
        <row r="1850">
          <cell r="BT1850">
            <v>-346.5</v>
          </cell>
          <cell r="BY1850">
            <v>346.5</v>
          </cell>
        </row>
        <row r="1851">
          <cell r="BT1851">
            <v>-2124</v>
          </cell>
          <cell r="BY1851">
            <v>2124</v>
          </cell>
        </row>
        <row r="1852">
          <cell r="BT1852">
            <v>-2400</v>
          </cell>
          <cell r="BY1852">
            <v>2400</v>
          </cell>
        </row>
        <row r="1853">
          <cell r="BT1853">
            <v>-45000</v>
          </cell>
          <cell r="BY1853">
            <v>45000</v>
          </cell>
        </row>
        <row r="1854">
          <cell r="BT1854">
            <v>-300</v>
          </cell>
          <cell r="BY1854">
            <v>300</v>
          </cell>
        </row>
        <row r="1855">
          <cell r="BT1855">
            <v>300</v>
          </cell>
          <cell r="BY1855">
            <v>300</v>
          </cell>
        </row>
        <row r="1856">
          <cell r="BT1856">
            <v>-45000</v>
          </cell>
          <cell r="BY1856">
            <v>45000</v>
          </cell>
        </row>
        <row r="1857">
          <cell r="BT1857">
            <v>-300</v>
          </cell>
          <cell r="BY1857">
            <v>300</v>
          </cell>
        </row>
        <row r="1858">
          <cell r="BT1858">
            <v>300</v>
          </cell>
          <cell r="BY1858">
            <v>300</v>
          </cell>
        </row>
        <row r="1859">
          <cell r="BT1859">
            <v>45000</v>
          </cell>
          <cell r="BY1859">
            <v>45000</v>
          </cell>
        </row>
        <row r="1860">
          <cell r="BT1860">
            <v>300</v>
          </cell>
          <cell r="BY1860">
            <v>300</v>
          </cell>
        </row>
        <row r="1861">
          <cell r="BT1861">
            <v>2068.4</v>
          </cell>
          <cell r="BY1861">
            <v>2068.4</v>
          </cell>
        </row>
        <row r="1862">
          <cell r="BT1862">
            <v>-299.95</v>
          </cell>
          <cell r="BY1862">
            <v>299.95</v>
          </cell>
        </row>
        <row r="1863">
          <cell r="BT1863">
            <v>-1314</v>
          </cell>
          <cell r="BY1863">
            <v>1314</v>
          </cell>
        </row>
        <row r="1864">
          <cell r="BT1864">
            <v>-2376</v>
          </cell>
          <cell r="BY1864">
            <v>2376</v>
          </cell>
        </row>
        <row r="1865">
          <cell r="BT1865">
            <v>-1720</v>
          </cell>
          <cell r="BY1865">
            <v>1720</v>
          </cell>
        </row>
        <row r="1866">
          <cell r="BT1866">
            <v>-988.8</v>
          </cell>
          <cell r="BY1866">
            <v>988.8</v>
          </cell>
        </row>
        <row r="1867">
          <cell r="BT1867">
            <v>-3652</v>
          </cell>
          <cell r="BY1867">
            <v>3652</v>
          </cell>
        </row>
        <row r="1868">
          <cell r="BT1868">
            <v>-308.39999999999998</v>
          </cell>
          <cell r="BY1868">
            <v>308.39999999999998</v>
          </cell>
        </row>
        <row r="1869">
          <cell r="BT1869">
            <v>-1647</v>
          </cell>
          <cell r="BY1869">
            <v>1647</v>
          </cell>
        </row>
        <row r="1870">
          <cell r="BT1870">
            <v>-3465</v>
          </cell>
          <cell r="BY1870">
            <v>3465</v>
          </cell>
        </row>
        <row r="1871">
          <cell r="BT1871">
            <v>-204.75</v>
          </cell>
          <cell r="BY1871">
            <v>204.75</v>
          </cell>
        </row>
        <row r="1872">
          <cell r="BT1872">
            <v>449</v>
          </cell>
          <cell r="BY1872">
            <v>449</v>
          </cell>
        </row>
        <row r="1873">
          <cell r="BT1873">
            <v>-22.45</v>
          </cell>
          <cell r="BY1873">
            <v>22.45</v>
          </cell>
        </row>
        <row r="1874">
          <cell r="BT1874">
            <v>971.75</v>
          </cell>
          <cell r="BY1874">
            <v>971.75</v>
          </cell>
        </row>
        <row r="1875">
          <cell r="BT1875">
            <v>-48.59</v>
          </cell>
          <cell r="BY1875">
            <v>48.59</v>
          </cell>
        </row>
        <row r="1876">
          <cell r="BT1876">
            <v>2100</v>
          </cell>
          <cell r="BY1876">
            <v>2100</v>
          </cell>
        </row>
        <row r="1877">
          <cell r="BT1877">
            <v>-105</v>
          </cell>
          <cell r="BY1877">
            <v>105</v>
          </cell>
        </row>
        <row r="1878">
          <cell r="BT1878">
            <v>370</v>
          </cell>
          <cell r="BY1878">
            <v>370</v>
          </cell>
        </row>
        <row r="1879">
          <cell r="BT1879">
            <v>-18.5</v>
          </cell>
          <cell r="BY1879">
            <v>18.5</v>
          </cell>
        </row>
        <row r="1880">
          <cell r="BT1880">
            <v>-30.6</v>
          </cell>
          <cell r="BY1880">
            <v>30.6</v>
          </cell>
        </row>
        <row r="1881">
          <cell r="BT1881">
            <v>1.53</v>
          </cell>
          <cell r="BY1881">
            <v>1.53</v>
          </cell>
        </row>
        <row r="1882">
          <cell r="BT1882">
            <v>-1017.45</v>
          </cell>
          <cell r="BY1882">
            <v>1017.45</v>
          </cell>
        </row>
        <row r="1883">
          <cell r="BT1883">
            <v>-2170</v>
          </cell>
          <cell r="BY1883">
            <v>2170</v>
          </cell>
        </row>
        <row r="1884">
          <cell r="BT1884">
            <v>108.5</v>
          </cell>
          <cell r="BY1884">
            <v>108.5</v>
          </cell>
        </row>
        <row r="1885">
          <cell r="BT1885">
            <v>-11240</v>
          </cell>
          <cell r="BY1885">
            <v>11240</v>
          </cell>
        </row>
        <row r="1886">
          <cell r="BT1886">
            <v>562</v>
          </cell>
          <cell r="BY1886">
            <v>562</v>
          </cell>
        </row>
        <row r="1887">
          <cell r="BT1887">
            <v>-1092</v>
          </cell>
          <cell r="BY1887">
            <v>1092</v>
          </cell>
        </row>
        <row r="1888">
          <cell r="BT1888">
            <v>54.6</v>
          </cell>
          <cell r="BY1888">
            <v>54.6</v>
          </cell>
        </row>
        <row r="1889">
          <cell r="BT1889">
            <v>-2130</v>
          </cell>
          <cell r="BY1889">
            <v>2130</v>
          </cell>
        </row>
        <row r="1890">
          <cell r="BT1890">
            <v>106.5</v>
          </cell>
          <cell r="BY1890">
            <v>106.5</v>
          </cell>
        </row>
        <row r="1891">
          <cell r="BT1891">
            <v>-10650</v>
          </cell>
          <cell r="BY1891">
            <v>10650</v>
          </cell>
        </row>
        <row r="1892">
          <cell r="BT1892">
            <v>10650</v>
          </cell>
          <cell r="BY1892">
            <v>10650</v>
          </cell>
        </row>
        <row r="1893">
          <cell r="BT1893">
            <v>782.54</v>
          </cell>
          <cell r="BY1893">
            <v>782.54</v>
          </cell>
        </row>
        <row r="1894">
          <cell r="BT1894">
            <v>-1429.99</v>
          </cell>
          <cell r="BY1894">
            <v>1429.99</v>
          </cell>
        </row>
        <row r="1895">
          <cell r="BT1895">
            <v>143</v>
          </cell>
          <cell r="BY1895">
            <v>143</v>
          </cell>
        </row>
        <row r="1896">
          <cell r="BT1896">
            <v>-1760.07</v>
          </cell>
          <cell r="BY1896">
            <v>1760.07</v>
          </cell>
        </row>
        <row r="1897">
          <cell r="BT1897">
            <v>176.01</v>
          </cell>
          <cell r="BY1897">
            <v>176.01</v>
          </cell>
        </row>
        <row r="1898">
          <cell r="BT1898">
            <v>-1837.97</v>
          </cell>
          <cell r="BY1898">
            <v>1837.97</v>
          </cell>
        </row>
        <row r="1899">
          <cell r="BT1899">
            <v>183.8</v>
          </cell>
          <cell r="BY1899">
            <v>183.8</v>
          </cell>
        </row>
        <row r="1900">
          <cell r="BT1900">
            <v>-475.03</v>
          </cell>
          <cell r="BY1900">
            <v>475.03</v>
          </cell>
        </row>
        <row r="1901">
          <cell r="BT1901">
            <v>47.5</v>
          </cell>
          <cell r="BY1901">
            <v>47.5</v>
          </cell>
        </row>
        <row r="1902">
          <cell r="BT1902">
            <v>-1050.03</v>
          </cell>
          <cell r="BY1902">
            <v>1050.03</v>
          </cell>
        </row>
        <row r="1903">
          <cell r="BT1903">
            <v>105</v>
          </cell>
          <cell r="BY1903">
            <v>105</v>
          </cell>
        </row>
        <row r="1904">
          <cell r="BT1904">
            <v>-300</v>
          </cell>
          <cell r="BY1904">
            <v>300</v>
          </cell>
        </row>
        <row r="1905">
          <cell r="BT1905">
            <v>-6541.2</v>
          </cell>
          <cell r="BY1905">
            <v>6541.2</v>
          </cell>
        </row>
        <row r="1906">
          <cell r="BT1906">
            <v>-1120</v>
          </cell>
          <cell r="BY1906">
            <v>1120</v>
          </cell>
        </row>
        <row r="1907">
          <cell r="BT1907">
            <v>1065</v>
          </cell>
          <cell r="BY1907">
            <v>1065</v>
          </cell>
        </row>
        <row r="1908">
          <cell r="BT1908">
            <v>-53.25</v>
          </cell>
          <cell r="BY1908">
            <v>53.25</v>
          </cell>
        </row>
        <row r="1909">
          <cell r="BT1909">
            <v>1426.8</v>
          </cell>
          <cell r="BY1909">
            <v>1426.8</v>
          </cell>
        </row>
        <row r="1910">
          <cell r="BT1910">
            <v>-71.34</v>
          </cell>
          <cell r="BY1910">
            <v>71.34</v>
          </cell>
        </row>
        <row r="1911">
          <cell r="BT1911">
            <v>1500.4</v>
          </cell>
          <cell r="BY1911">
            <v>1500.4</v>
          </cell>
        </row>
        <row r="1912">
          <cell r="BT1912">
            <v>-47316</v>
          </cell>
          <cell r="BY1912">
            <v>47316</v>
          </cell>
        </row>
        <row r="1913">
          <cell r="BT1913">
            <v>-1740</v>
          </cell>
          <cell r="BY1913">
            <v>1740</v>
          </cell>
        </row>
        <row r="1914">
          <cell r="BT1914">
            <v>-565.20000000000005</v>
          </cell>
          <cell r="BY1914">
            <v>565.20000000000005</v>
          </cell>
        </row>
        <row r="1915">
          <cell r="BT1915">
            <v>-24128</v>
          </cell>
          <cell r="BY1915">
            <v>24128</v>
          </cell>
        </row>
        <row r="1916">
          <cell r="BT1916">
            <v>-2068.4</v>
          </cell>
          <cell r="BY1916">
            <v>2068.4</v>
          </cell>
        </row>
        <row r="1917">
          <cell r="BT1917">
            <v>299.95</v>
          </cell>
          <cell r="BY1917">
            <v>299.95</v>
          </cell>
        </row>
        <row r="1918">
          <cell r="BT1918">
            <v>1314</v>
          </cell>
          <cell r="BY1918">
            <v>1314</v>
          </cell>
        </row>
        <row r="1919">
          <cell r="BT1919">
            <v>2376</v>
          </cell>
          <cell r="BY1919">
            <v>2376</v>
          </cell>
        </row>
        <row r="1920">
          <cell r="BT1920">
            <v>1720</v>
          </cell>
          <cell r="BY1920">
            <v>1720</v>
          </cell>
        </row>
        <row r="1921">
          <cell r="BT1921">
            <v>988.8</v>
          </cell>
          <cell r="BY1921">
            <v>988.8</v>
          </cell>
        </row>
        <row r="1922">
          <cell r="BT1922">
            <v>3652</v>
          </cell>
          <cell r="BY1922">
            <v>3652</v>
          </cell>
        </row>
        <row r="1923">
          <cell r="BT1923">
            <v>50.87</v>
          </cell>
          <cell r="BY1923">
            <v>50.87</v>
          </cell>
        </row>
        <row r="1924">
          <cell r="BT1924">
            <v>-708.75</v>
          </cell>
          <cell r="BY1924">
            <v>708.75</v>
          </cell>
        </row>
        <row r="1925">
          <cell r="BT1925">
            <v>35.44</v>
          </cell>
          <cell r="BY1925">
            <v>35.44</v>
          </cell>
        </row>
        <row r="1926">
          <cell r="BT1926">
            <v>-537.5</v>
          </cell>
          <cell r="BY1926">
            <v>537.5</v>
          </cell>
        </row>
        <row r="1927">
          <cell r="BT1927">
            <v>26.88</v>
          </cell>
          <cell r="BY1927">
            <v>26.88</v>
          </cell>
        </row>
        <row r="1928">
          <cell r="BT1928">
            <v>-512.5</v>
          </cell>
          <cell r="BY1928">
            <v>512.5</v>
          </cell>
        </row>
        <row r="1929">
          <cell r="BT1929">
            <v>25.63</v>
          </cell>
          <cell r="BY1929">
            <v>25.63</v>
          </cell>
        </row>
        <row r="1930">
          <cell r="BT1930">
            <v>-357</v>
          </cell>
          <cell r="BY1930">
            <v>357</v>
          </cell>
        </row>
        <row r="1931">
          <cell r="BT1931">
            <v>17.850000000000001</v>
          </cell>
          <cell r="BY1931">
            <v>17.850000000000001</v>
          </cell>
        </row>
        <row r="1932">
          <cell r="BT1932">
            <v>-1386</v>
          </cell>
          <cell r="BY1932">
            <v>1386</v>
          </cell>
        </row>
        <row r="1933">
          <cell r="BT1933">
            <v>69.3</v>
          </cell>
          <cell r="BY1933">
            <v>69.3</v>
          </cell>
        </row>
        <row r="1934">
          <cell r="BT1934">
            <v>-19720</v>
          </cell>
          <cell r="BY1934">
            <v>19720</v>
          </cell>
        </row>
        <row r="1935">
          <cell r="BT1935">
            <v>19720</v>
          </cell>
          <cell r="BY1935">
            <v>19720</v>
          </cell>
        </row>
        <row r="1936">
          <cell r="BT1936">
            <v>3375</v>
          </cell>
          <cell r="BY1936">
            <v>3375</v>
          </cell>
        </row>
        <row r="1937">
          <cell r="BT1937">
            <v>-3375</v>
          </cell>
          <cell r="BY1937">
            <v>3375</v>
          </cell>
        </row>
        <row r="1938">
          <cell r="BT1938">
            <v>-6000</v>
          </cell>
          <cell r="BY1938">
            <v>6000</v>
          </cell>
        </row>
        <row r="1939">
          <cell r="BT1939">
            <v>-1950</v>
          </cell>
          <cell r="BY1939">
            <v>1950</v>
          </cell>
        </row>
        <row r="1940">
          <cell r="BT1940">
            <v>-6143.84</v>
          </cell>
          <cell r="BY1940">
            <v>6143.84</v>
          </cell>
        </row>
        <row r="1941">
          <cell r="BT1941">
            <v>614.38</v>
          </cell>
          <cell r="BY1941">
            <v>614.38</v>
          </cell>
        </row>
        <row r="1942">
          <cell r="BT1942">
            <v>-848.51</v>
          </cell>
          <cell r="BY1942">
            <v>848.51</v>
          </cell>
        </row>
        <row r="1943">
          <cell r="BT1943">
            <v>84.85</v>
          </cell>
          <cell r="BY1943">
            <v>84.85</v>
          </cell>
        </row>
        <row r="1944">
          <cell r="BT1944">
            <v>-1129.55</v>
          </cell>
          <cell r="BY1944">
            <v>1129.55</v>
          </cell>
        </row>
        <row r="1945">
          <cell r="BT1945">
            <v>112.95</v>
          </cell>
          <cell r="BY1945">
            <v>112.95</v>
          </cell>
        </row>
        <row r="1946">
          <cell r="BT1946">
            <v>-3600.13</v>
          </cell>
          <cell r="BY1946">
            <v>3600.13</v>
          </cell>
        </row>
        <row r="1947">
          <cell r="BT1947">
            <v>360.01</v>
          </cell>
          <cell r="BY1947">
            <v>360.01</v>
          </cell>
        </row>
        <row r="1948">
          <cell r="BT1948">
            <v>-11520.19</v>
          </cell>
          <cell r="BY1948">
            <v>11520.19</v>
          </cell>
        </row>
        <row r="1949">
          <cell r="BT1949">
            <v>1152.02</v>
          </cell>
          <cell r="BY1949">
            <v>1152.02</v>
          </cell>
        </row>
        <row r="1950">
          <cell r="BT1950">
            <v>-608.97</v>
          </cell>
          <cell r="BY1950">
            <v>608.97</v>
          </cell>
        </row>
        <row r="1951">
          <cell r="BT1951">
            <v>-75.02</v>
          </cell>
          <cell r="BY1951">
            <v>75.02</v>
          </cell>
        </row>
        <row r="1952">
          <cell r="BT1952">
            <v>297.25</v>
          </cell>
          <cell r="BY1952">
            <v>297.25</v>
          </cell>
        </row>
        <row r="1953">
          <cell r="BT1953">
            <v>-14.86</v>
          </cell>
          <cell r="BY1953">
            <v>14.86</v>
          </cell>
        </row>
        <row r="1954">
          <cell r="BT1954">
            <v>1189</v>
          </cell>
          <cell r="BY1954">
            <v>1189</v>
          </cell>
        </row>
        <row r="1955">
          <cell r="BT1955">
            <v>-59.45</v>
          </cell>
          <cell r="BY1955">
            <v>59.45</v>
          </cell>
        </row>
        <row r="1956">
          <cell r="BT1956">
            <v>15600</v>
          </cell>
          <cell r="BY1956">
            <v>15600</v>
          </cell>
        </row>
        <row r="1957">
          <cell r="BT1957">
            <v>-780</v>
          </cell>
          <cell r="BY1957">
            <v>780</v>
          </cell>
        </row>
        <row r="1958">
          <cell r="BT1958">
            <v>188.4</v>
          </cell>
          <cell r="BY1958">
            <v>188.4</v>
          </cell>
        </row>
        <row r="1959">
          <cell r="BT1959">
            <v>-9.42</v>
          </cell>
          <cell r="BY1959">
            <v>9.42</v>
          </cell>
        </row>
        <row r="1960">
          <cell r="BT1960">
            <v>3684</v>
          </cell>
          <cell r="BY1960">
            <v>3684</v>
          </cell>
        </row>
        <row r="1961">
          <cell r="BT1961">
            <v>-184.2</v>
          </cell>
          <cell r="BY1961">
            <v>184.2</v>
          </cell>
        </row>
        <row r="1962">
          <cell r="BT1962">
            <v>308.39999999999998</v>
          </cell>
          <cell r="BY1962">
            <v>308.39999999999998</v>
          </cell>
        </row>
        <row r="1963">
          <cell r="BT1963">
            <v>1647</v>
          </cell>
          <cell r="BY1963">
            <v>1647</v>
          </cell>
        </row>
        <row r="1964">
          <cell r="BT1964">
            <v>3465</v>
          </cell>
          <cell r="BY1964">
            <v>3465</v>
          </cell>
        </row>
        <row r="1965">
          <cell r="BT1965">
            <v>204.75</v>
          </cell>
          <cell r="BY1965">
            <v>204.75</v>
          </cell>
        </row>
        <row r="1966">
          <cell r="BT1966">
            <v>47316</v>
          </cell>
          <cell r="BY1966">
            <v>47316</v>
          </cell>
        </row>
        <row r="1967">
          <cell r="BT1967">
            <v>1740</v>
          </cell>
          <cell r="BY1967">
            <v>1740</v>
          </cell>
        </row>
        <row r="1968">
          <cell r="BT1968">
            <v>565.20000000000005</v>
          </cell>
          <cell r="BY1968">
            <v>565.20000000000005</v>
          </cell>
        </row>
        <row r="1969">
          <cell r="BT1969">
            <v>24128</v>
          </cell>
          <cell r="BY1969">
            <v>24128</v>
          </cell>
        </row>
        <row r="1970">
          <cell r="BT1970">
            <v>2068.4</v>
          </cell>
          <cell r="BY1970">
            <v>2068.4</v>
          </cell>
        </row>
        <row r="1971">
          <cell r="BT1971">
            <v>-299.95</v>
          </cell>
          <cell r="BY1971">
            <v>299.95</v>
          </cell>
        </row>
        <row r="1972">
          <cell r="BT1972">
            <v>-1314</v>
          </cell>
          <cell r="BY1972">
            <v>1314</v>
          </cell>
        </row>
        <row r="1973">
          <cell r="BT1973">
            <v>-20425</v>
          </cell>
          <cell r="BY1973">
            <v>20425</v>
          </cell>
        </row>
        <row r="1974">
          <cell r="BT1974">
            <v>1021.23</v>
          </cell>
          <cell r="BY1974">
            <v>1021.23</v>
          </cell>
        </row>
        <row r="1975">
          <cell r="BT1975">
            <v>-550</v>
          </cell>
          <cell r="BY1975">
            <v>550</v>
          </cell>
        </row>
        <row r="1976">
          <cell r="BT1976">
            <v>27.5</v>
          </cell>
          <cell r="BY1976">
            <v>27.5</v>
          </cell>
        </row>
        <row r="1977">
          <cell r="BT1977">
            <v>-240.75</v>
          </cell>
          <cell r="BY1977">
            <v>240.75</v>
          </cell>
        </row>
        <row r="1978">
          <cell r="BT1978">
            <v>12.04</v>
          </cell>
          <cell r="BY1978">
            <v>12.04</v>
          </cell>
        </row>
        <row r="1979">
          <cell r="BT1979">
            <v>-1230</v>
          </cell>
          <cell r="BY1979">
            <v>1230</v>
          </cell>
        </row>
        <row r="1980">
          <cell r="BT1980">
            <v>61.5</v>
          </cell>
          <cell r="BY1980">
            <v>61.5</v>
          </cell>
        </row>
        <row r="1981">
          <cell r="BT1981">
            <v>-513.45000000000005</v>
          </cell>
          <cell r="BY1981">
            <v>513.45000000000005</v>
          </cell>
        </row>
        <row r="1982">
          <cell r="BT1982">
            <v>25.67</v>
          </cell>
          <cell r="BY1982">
            <v>25.67</v>
          </cell>
        </row>
        <row r="1983">
          <cell r="BT1983">
            <v>-4762.5</v>
          </cell>
          <cell r="BY1983">
            <v>4762.5</v>
          </cell>
        </row>
        <row r="1984">
          <cell r="BT1984">
            <v>60.9</v>
          </cell>
          <cell r="BY1984">
            <v>60.9</v>
          </cell>
        </row>
        <row r="1985">
          <cell r="BT1985">
            <v>7825.36</v>
          </cell>
          <cell r="BY1985">
            <v>7825.36</v>
          </cell>
        </row>
        <row r="1986">
          <cell r="BT1986">
            <v>-782.54</v>
          </cell>
          <cell r="BY1986">
            <v>782.54</v>
          </cell>
        </row>
        <row r="1987">
          <cell r="BT1987">
            <v>1429.99</v>
          </cell>
          <cell r="BY1987">
            <v>1429.99</v>
          </cell>
        </row>
        <row r="1988">
          <cell r="BT1988">
            <v>-143</v>
          </cell>
          <cell r="BY1988">
            <v>143</v>
          </cell>
        </row>
        <row r="1989">
          <cell r="BT1989">
            <v>1760.07</v>
          </cell>
          <cell r="BY1989">
            <v>1760.07</v>
          </cell>
        </row>
        <row r="1990">
          <cell r="BT1990">
            <v>-176.01</v>
          </cell>
          <cell r="BY1990">
            <v>176.01</v>
          </cell>
        </row>
        <row r="1991">
          <cell r="BT1991">
            <v>1837.97</v>
          </cell>
          <cell r="BY1991">
            <v>1837.97</v>
          </cell>
        </row>
        <row r="1992">
          <cell r="BT1992">
            <v>2180</v>
          </cell>
          <cell r="BY1992">
            <v>2180</v>
          </cell>
        </row>
        <row r="1993">
          <cell r="BT1993">
            <v>-109</v>
          </cell>
          <cell r="BY1993">
            <v>109</v>
          </cell>
        </row>
        <row r="1994">
          <cell r="BT1994">
            <v>6066</v>
          </cell>
          <cell r="BY1994">
            <v>6066</v>
          </cell>
        </row>
        <row r="1995">
          <cell r="BT1995">
            <v>-303.3</v>
          </cell>
          <cell r="BY1995">
            <v>303.3</v>
          </cell>
        </row>
        <row r="1996">
          <cell r="BT1996">
            <v>823</v>
          </cell>
          <cell r="BY1996">
            <v>823</v>
          </cell>
        </row>
        <row r="1997">
          <cell r="BT1997">
            <v>-41.15</v>
          </cell>
          <cell r="BY1997">
            <v>41.15</v>
          </cell>
        </row>
        <row r="1998">
          <cell r="BT1998">
            <v>486.72</v>
          </cell>
          <cell r="BY1998">
            <v>486.72</v>
          </cell>
        </row>
        <row r="1999">
          <cell r="BT1999">
            <v>-24.34</v>
          </cell>
          <cell r="BY1999">
            <v>24.34</v>
          </cell>
        </row>
        <row r="2000">
          <cell r="BT2000">
            <v>6010.2</v>
          </cell>
          <cell r="BY2000">
            <v>6010.2</v>
          </cell>
        </row>
        <row r="2001">
          <cell r="BT2001">
            <v>-300.51</v>
          </cell>
          <cell r="BY2001">
            <v>300.51</v>
          </cell>
        </row>
        <row r="2002">
          <cell r="BT2002">
            <v>367.2</v>
          </cell>
          <cell r="BY2002">
            <v>367.2</v>
          </cell>
        </row>
        <row r="2003">
          <cell r="BT2003">
            <v>-2376</v>
          </cell>
          <cell r="BY2003">
            <v>2376</v>
          </cell>
        </row>
        <row r="2004">
          <cell r="BT2004">
            <v>-1720</v>
          </cell>
          <cell r="BY2004">
            <v>1720</v>
          </cell>
        </row>
        <row r="2005">
          <cell r="BT2005">
            <v>-988.8</v>
          </cell>
          <cell r="BY2005">
            <v>988.8</v>
          </cell>
        </row>
        <row r="2006">
          <cell r="BT2006">
            <v>-3652</v>
          </cell>
          <cell r="BY2006">
            <v>3652</v>
          </cell>
        </row>
        <row r="2007">
          <cell r="BT2007">
            <v>-308.39999999999998</v>
          </cell>
          <cell r="BY2007">
            <v>308.39999999999998</v>
          </cell>
        </row>
        <row r="2008">
          <cell r="BT2008">
            <v>-1647</v>
          </cell>
          <cell r="BY2008">
            <v>1647</v>
          </cell>
        </row>
        <row r="2009">
          <cell r="BT2009">
            <v>-3465</v>
          </cell>
          <cell r="BY2009">
            <v>3465</v>
          </cell>
        </row>
        <row r="2010">
          <cell r="BT2010">
            <v>-204.75</v>
          </cell>
          <cell r="BY2010">
            <v>204.75</v>
          </cell>
        </row>
        <row r="2011">
          <cell r="BT2011">
            <v>-47316</v>
          </cell>
          <cell r="BY2011">
            <v>47316</v>
          </cell>
        </row>
        <row r="2012">
          <cell r="BT2012">
            <v>-1740</v>
          </cell>
          <cell r="BY2012">
            <v>1740</v>
          </cell>
        </row>
        <row r="2013">
          <cell r="BT2013">
            <v>-565.20000000000005</v>
          </cell>
          <cell r="BY2013">
            <v>565.20000000000005</v>
          </cell>
        </row>
        <row r="2014">
          <cell r="BT2014">
            <v>238.13</v>
          </cell>
          <cell r="BY2014">
            <v>238.13</v>
          </cell>
        </row>
        <row r="2015">
          <cell r="BT2015">
            <v>-401.25</v>
          </cell>
          <cell r="BY2015">
            <v>401.25</v>
          </cell>
        </row>
        <row r="2016">
          <cell r="BT2016">
            <v>20.059999999999999</v>
          </cell>
          <cell r="BY2016">
            <v>20.059999999999999</v>
          </cell>
        </row>
        <row r="2017">
          <cell r="BT2017">
            <v>-6440</v>
          </cell>
          <cell r="BY2017">
            <v>6440</v>
          </cell>
        </row>
        <row r="2018">
          <cell r="BT2018">
            <v>322</v>
          </cell>
          <cell r="BY2018">
            <v>322</v>
          </cell>
        </row>
        <row r="2019">
          <cell r="BT2019">
            <v>-300</v>
          </cell>
          <cell r="BY2019">
            <v>300</v>
          </cell>
        </row>
        <row r="2020">
          <cell r="BT2020">
            <v>15</v>
          </cell>
          <cell r="BY2020">
            <v>15</v>
          </cell>
        </row>
        <row r="2021">
          <cell r="BT2021">
            <v>-1906.5</v>
          </cell>
          <cell r="BY2021">
            <v>1906.5</v>
          </cell>
        </row>
        <row r="2022">
          <cell r="BT2022">
            <v>95.33</v>
          </cell>
          <cell r="BY2022">
            <v>95.33</v>
          </cell>
        </row>
        <row r="2023">
          <cell r="BT2023">
            <v>-12690</v>
          </cell>
          <cell r="BY2023">
            <v>12690</v>
          </cell>
        </row>
        <row r="2024">
          <cell r="BT2024">
            <v>634.5</v>
          </cell>
          <cell r="BY2024">
            <v>634.5</v>
          </cell>
        </row>
        <row r="2025">
          <cell r="BT2025">
            <v>-4700</v>
          </cell>
          <cell r="BY2025">
            <v>4700</v>
          </cell>
        </row>
        <row r="2026">
          <cell r="BT2026">
            <v>4700</v>
          </cell>
          <cell r="BY2026">
            <v>4700</v>
          </cell>
        </row>
        <row r="2027">
          <cell r="BT2027">
            <v>-60</v>
          </cell>
          <cell r="BY2027">
            <v>60</v>
          </cell>
        </row>
        <row r="2028">
          <cell r="BT2028">
            <v>860</v>
          </cell>
          <cell r="BY2028">
            <v>860</v>
          </cell>
        </row>
        <row r="2029">
          <cell r="BT2029">
            <v>-43</v>
          </cell>
          <cell r="BY2029">
            <v>43</v>
          </cell>
        </row>
        <row r="2030">
          <cell r="BT2030">
            <v>9750</v>
          </cell>
          <cell r="BY2030">
            <v>9750</v>
          </cell>
        </row>
        <row r="2031">
          <cell r="BT2031">
            <v>-487.5</v>
          </cell>
          <cell r="BY2031">
            <v>487.5</v>
          </cell>
        </row>
        <row r="2032">
          <cell r="BT2032">
            <v>10000</v>
          </cell>
          <cell r="BY2032">
            <v>10000</v>
          </cell>
        </row>
        <row r="2033">
          <cell r="BT2033">
            <v>-500</v>
          </cell>
          <cell r="BY2033">
            <v>500</v>
          </cell>
        </row>
        <row r="2034">
          <cell r="BT2034">
            <v>1100</v>
          </cell>
          <cell r="BY2034">
            <v>1100</v>
          </cell>
        </row>
        <row r="2035">
          <cell r="BT2035">
            <v>-55</v>
          </cell>
          <cell r="BY2035">
            <v>55</v>
          </cell>
        </row>
        <row r="2036">
          <cell r="BT2036">
            <v>6800</v>
          </cell>
          <cell r="BY2036">
            <v>6800</v>
          </cell>
        </row>
        <row r="2037">
          <cell r="BT2037">
            <v>-340</v>
          </cell>
          <cell r="BY2037">
            <v>340</v>
          </cell>
        </row>
        <row r="2038">
          <cell r="BT2038">
            <v>-183.8</v>
          </cell>
          <cell r="BY2038">
            <v>183.8</v>
          </cell>
        </row>
        <row r="2039">
          <cell r="BT2039">
            <v>475.03</v>
          </cell>
          <cell r="BY2039">
            <v>475.03</v>
          </cell>
        </row>
        <row r="2040">
          <cell r="BT2040">
            <v>-47.5</v>
          </cell>
          <cell r="BY2040">
            <v>47.5</v>
          </cell>
        </row>
        <row r="2041">
          <cell r="BT2041">
            <v>1050.03</v>
          </cell>
          <cell r="BY2041">
            <v>1050.03</v>
          </cell>
        </row>
        <row r="2042">
          <cell r="BT2042">
            <v>-105</v>
          </cell>
          <cell r="BY2042">
            <v>105</v>
          </cell>
        </row>
        <row r="2043">
          <cell r="BT2043">
            <v>6143.84</v>
          </cell>
          <cell r="BY2043">
            <v>6143.84</v>
          </cell>
        </row>
        <row r="2044">
          <cell r="BT2044">
            <v>-614.38</v>
          </cell>
          <cell r="BY2044">
            <v>614.38</v>
          </cell>
        </row>
        <row r="2045">
          <cell r="BT2045">
            <v>848.51</v>
          </cell>
          <cell r="BY2045">
            <v>848.51</v>
          </cell>
        </row>
        <row r="2046">
          <cell r="BT2046">
            <v>-84.85</v>
          </cell>
          <cell r="BY2046">
            <v>84.85</v>
          </cell>
        </row>
        <row r="2047">
          <cell r="BT2047">
            <v>1129.55</v>
          </cell>
          <cell r="BY2047">
            <v>1129.55</v>
          </cell>
        </row>
        <row r="2048">
          <cell r="BT2048">
            <v>-112.95</v>
          </cell>
          <cell r="BY2048">
            <v>112.95</v>
          </cell>
        </row>
        <row r="2049">
          <cell r="BT2049">
            <v>-18.36</v>
          </cell>
          <cell r="BY2049">
            <v>18.36</v>
          </cell>
        </row>
        <row r="2050">
          <cell r="BT2050">
            <v>2168</v>
          </cell>
          <cell r="BY2050">
            <v>2168</v>
          </cell>
        </row>
        <row r="2051">
          <cell r="BT2051">
            <v>-108.4</v>
          </cell>
          <cell r="BY2051">
            <v>108.4</v>
          </cell>
        </row>
        <row r="2052">
          <cell r="BT2052">
            <v>6796.4</v>
          </cell>
          <cell r="BY2052">
            <v>6796.4</v>
          </cell>
        </row>
        <row r="2053">
          <cell r="BT2053">
            <v>-339.82</v>
          </cell>
          <cell r="BY2053">
            <v>339.82</v>
          </cell>
        </row>
        <row r="2054">
          <cell r="BT2054">
            <v>3102</v>
          </cell>
          <cell r="BY2054">
            <v>3102</v>
          </cell>
        </row>
        <row r="2055">
          <cell r="BT2055">
            <v>-155.1</v>
          </cell>
          <cell r="BY2055">
            <v>155.1</v>
          </cell>
        </row>
        <row r="2056">
          <cell r="BT2056">
            <v>-1065</v>
          </cell>
          <cell r="BY2056">
            <v>1065</v>
          </cell>
        </row>
        <row r="2057">
          <cell r="BT2057">
            <v>53.25</v>
          </cell>
          <cell r="BY2057">
            <v>53.25</v>
          </cell>
        </row>
        <row r="2058">
          <cell r="BT2058">
            <v>-1426.8</v>
          </cell>
          <cell r="BY2058">
            <v>1426.8</v>
          </cell>
        </row>
        <row r="2059">
          <cell r="BT2059">
            <v>71.34</v>
          </cell>
          <cell r="BY2059">
            <v>71.34</v>
          </cell>
        </row>
        <row r="2060">
          <cell r="BT2060">
            <v>-24128</v>
          </cell>
          <cell r="BY2060">
            <v>24128</v>
          </cell>
        </row>
        <row r="2061">
          <cell r="BT2061">
            <v>-2068.4</v>
          </cell>
          <cell r="BY2061">
            <v>2068.4</v>
          </cell>
        </row>
        <row r="2062">
          <cell r="BT2062">
            <v>-30.6</v>
          </cell>
          <cell r="BY2062">
            <v>30.6</v>
          </cell>
        </row>
        <row r="2063">
          <cell r="BT2063">
            <v>1.53</v>
          </cell>
          <cell r="BY2063">
            <v>1.53</v>
          </cell>
        </row>
        <row r="2064">
          <cell r="BT2064">
            <v>-1017.45</v>
          </cell>
          <cell r="BY2064">
            <v>1017.45</v>
          </cell>
        </row>
        <row r="2065">
          <cell r="BT2065">
            <v>50.87</v>
          </cell>
          <cell r="BY2065">
            <v>50.87</v>
          </cell>
        </row>
        <row r="2066">
          <cell r="BT2066">
            <v>-708.75</v>
          </cell>
          <cell r="BY2066">
            <v>708.75</v>
          </cell>
        </row>
        <row r="2067">
          <cell r="BT2067">
            <v>35.44</v>
          </cell>
          <cell r="BY2067">
            <v>35.44</v>
          </cell>
        </row>
        <row r="2068">
          <cell r="BT2068">
            <v>-537.5</v>
          </cell>
          <cell r="BY2068">
            <v>537.5</v>
          </cell>
        </row>
        <row r="2069">
          <cell r="BT2069">
            <v>26.88</v>
          </cell>
          <cell r="BY2069">
            <v>26.88</v>
          </cell>
        </row>
        <row r="2070">
          <cell r="BT2070">
            <v>-512.5</v>
          </cell>
          <cell r="BY2070">
            <v>512.5</v>
          </cell>
        </row>
        <row r="2071">
          <cell r="BT2071">
            <v>-1213</v>
          </cell>
          <cell r="BY2071">
            <v>1213</v>
          </cell>
        </row>
        <row r="2072">
          <cell r="BT2072">
            <v>60.65</v>
          </cell>
          <cell r="BY2072">
            <v>60.65</v>
          </cell>
        </row>
        <row r="2073">
          <cell r="BT2073">
            <v>-449</v>
          </cell>
          <cell r="BY2073">
            <v>449</v>
          </cell>
        </row>
        <row r="2074">
          <cell r="BT2074">
            <v>22.45</v>
          </cell>
          <cell r="BY2074">
            <v>22.45</v>
          </cell>
        </row>
        <row r="2075">
          <cell r="BT2075">
            <v>-971.75</v>
          </cell>
          <cell r="BY2075">
            <v>971.75</v>
          </cell>
        </row>
        <row r="2076">
          <cell r="BT2076">
            <v>48.59</v>
          </cell>
          <cell r="BY2076">
            <v>48.59</v>
          </cell>
        </row>
        <row r="2077">
          <cell r="BT2077">
            <v>-2100</v>
          </cell>
          <cell r="BY2077">
            <v>2100</v>
          </cell>
        </row>
        <row r="2078">
          <cell r="BT2078">
            <v>105</v>
          </cell>
          <cell r="BY2078">
            <v>105</v>
          </cell>
        </row>
        <row r="2079">
          <cell r="BT2079">
            <v>-370</v>
          </cell>
          <cell r="BY2079">
            <v>370</v>
          </cell>
        </row>
        <row r="2080">
          <cell r="BT2080">
            <v>18.5</v>
          </cell>
          <cell r="BY2080">
            <v>18.5</v>
          </cell>
        </row>
        <row r="2081">
          <cell r="BT2081">
            <v>2170</v>
          </cell>
          <cell r="BY2081">
            <v>2170</v>
          </cell>
        </row>
        <row r="2082">
          <cell r="BT2082">
            <v>-108.5</v>
          </cell>
          <cell r="BY2082">
            <v>108.5</v>
          </cell>
        </row>
        <row r="2083">
          <cell r="BT2083">
            <v>11240</v>
          </cell>
          <cell r="BY2083">
            <v>11240</v>
          </cell>
        </row>
        <row r="2084">
          <cell r="BT2084">
            <v>-562</v>
          </cell>
          <cell r="BY2084">
            <v>562</v>
          </cell>
        </row>
        <row r="2085">
          <cell r="BT2085">
            <v>1092</v>
          </cell>
          <cell r="BY2085">
            <v>1092</v>
          </cell>
        </row>
        <row r="2086">
          <cell r="BT2086">
            <v>-54.6</v>
          </cell>
          <cell r="BY2086">
            <v>54.6</v>
          </cell>
        </row>
        <row r="2087">
          <cell r="BT2087">
            <v>2130</v>
          </cell>
          <cell r="BY2087">
            <v>2130</v>
          </cell>
        </row>
        <row r="2088">
          <cell r="BT2088">
            <v>-106.5</v>
          </cell>
          <cell r="BY2088">
            <v>106.5</v>
          </cell>
        </row>
        <row r="2089">
          <cell r="BT2089">
            <v>30.6</v>
          </cell>
          <cell r="BY2089">
            <v>30.6</v>
          </cell>
        </row>
        <row r="2090">
          <cell r="BT2090">
            <v>-1.53</v>
          </cell>
          <cell r="BY2090">
            <v>1.53</v>
          </cell>
        </row>
        <row r="2091">
          <cell r="BT2091">
            <v>1001.3</v>
          </cell>
          <cell r="BY2091">
            <v>1001.3</v>
          </cell>
        </row>
        <row r="2092">
          <cell r="BT2092">
            <v>1213</v>
          </cell>
          <cell r="BY2092">
            <v>1213</v>
          </cell>
        </row>
        <row r="2093">
          <cell r="BT2093">
            <v>-60.65</v>
          </cell>
          <cell r="BY2093">
            <v>60.65</v>
          </cell>
        </row>
        <row r="2094">
          <cell r="BT2094">
            <v>449</v>
          </cell>
          <cell r="BY2094">
            <v>449</v>
          </cell>
        </row>
        <row r="2095">
          <cell r="BT2095">
            <v>-22.45</v>
          </cell>
          <cell r="BY2095">
            <v>22.45</v>
          </cell>
        </row>
        <row r="2096">
          <cell r="BT2096">
            <v>971.75</v>
          </cell>
          <cell r="BY2096">
            <v>971.75</v>
          </cell>
        </row>
        <row r="2097">
          <cell r="BT2097">
            <v>-48.59</v>
          </cell>
          <cell r="BY2097">
            <v>48.59</v>
          </cell>
        </row>
        <row r="2098">
          <cell r="BT2098">
            <v>2100</v>
          </cell>
          <cell r="BY2098">
            <v>2100</v>
          </cell>
        </row>
        <row r="2099">
          <cell r="BT2099">
            <v>-105</v>
          </cell>
          <cell r="BY2099">
            <v>105</v>
          </cell>
        </row>
        <row r="2100">
          <cell r="BT2100">
            <v>370</v>
          </cell>
          <cell r="BY2100">
            <v>370</v>
          </cell>
        </row>
        <row r="2101">
          <cell r="BT2101">
            <v>-18.5</v>
          </cell>
          <cell r="BY2101">
            <v>18.5</v>
          </cell>
        </row>
        <row r="2102">
          <cell r="BT2102">
            <v>30.6</v>
          </cell>
          <cell r="BY2102">
            <v>30.6</v>
          </cell>
        </row>
        <row r="2103">
          <cell r="BT2103">
            <v>12690</v>
          </cell>
          <cell r="BY2103">
            <v>12690</v>
          </cell>
        </row>
        <row r="2104">
          <cell r="BT2104">
            <v>-634.5</v>
          </cell>
          <cell r="BY2104">
            <v>634.5</v>
          </cell>
        </row>
        <row r="2105">
          <cell r="BT2105">
            <v>1213</v>
          </cell>
          <cell r="BY2105">
            <v>1213</v>
          </cell>
        </row>
        <row r="2106">
          <cell r="BT2106">
            <v>-60.65</v>
          </cell>
          <cell r="BY2106">
            <v>60.65</v>
          </cell>
        </row>
        <row r="2107">
          <cell r="BT2107">
            <v>449</v>
          </cell>
          <cell r="BY2107">
            <v>449</v>
          </cell>
        </row>
        <row r="2108">
          <cell r="BT2108">
            <v>-22.45</v>
          </cell>
          <cell r="BY2108">
            <v>22.45</v>
          </cell>
        </row>
        <row r="2109">
          <cell r="BT2109">
            <v>971.75</v>
          </cell>
          <cell r="BY2109">
            <v>971.75</v>
          </cell>
        </row>
        <row r="2110">
          <cell r="BT2110">
            <v>-48.59</v>
          </cell>
          <cell r="BY2110">
            <v>48.59</v>
          </cell>
        </row>
        <row r="2111">
          <cell r="BT2111">
            <v>2100</v>
          </cell>
          <cell r="BY2111">
            <v>2100</v>
          </cell>
        </row>
        <row r="2112">
          <cell r="BT2112">
            <v>-105</v>
          </cell>
          <cell r="BY2112">
            <v>105</v>
          </cell>
        </row>
        <row r="2113">
          <cell r="BT2113">
            <v>370</v>
          </cell>
          <cell r="BY2113">
            <v>370</v>
          </cell>
        </row>
        <row r="2114">
          <cell r="BT2114">
            <v>3600.13</v>
          </cell>
          <cell r="BY2114">
            <v>3600.13</v>
          </cell>
        </row>
        <row r="2115">
          <cell r="BT2115">
            <v>-360.01</v>
          </cell>
          <cell r="BY2115">
            <v>360.01</v>
          </cell>
        </row>
        <row r="2116">
          <cell r="BT2116">
            <v>11520.19</v>
          </cell>
          <cell r="BY2116">
            <v>11520.19</v>
          </cell>
        </row>
        <row r="2117">
          <cell r="BT2117">
            <v>-1152.02</v>
          </cell>
          <cell r="BY2117">
            <v>1152.02</v>
          </cell>
        </row>
        <row r="2118">
          <cell r="BT2118">
            <v>608.97</v>
          </cell>
          <cell r="BY2118">
            <v>608.97</v>
          </cell>
        </row>
        <row r="2119">
          <cell r="BT2119">
            <v>-60.9</v>
          </cell>
          <cell r="BY2119">
            <v>60.9</v>
          </cell>
        </row>
        <row r="2120">
          <cell r="BT2120">
            <v>-1500.4</v>
          </cell>
          <cell r="BY2120">
            <v>1500.4</v>
          </cell>
        </row>
        <row r="2121">
          <cell r="BT2121">
            <v>75.02</v>
          </cell>
          <cell r="BY2121">
            <v>75.02</v>
          </cell>
        </row>
        <row r="2122">
          <cell r="BT2122">
            <v>-297.25</v>
          </cell>
          <cell r="BY2122">
            <v>297.25</v>
          </cell>
        </row>
        <row r="2123">
          <cell r="BT2123">
            <v>14.86</v>
          </cell>
          <cell r="BY2123">
            <v>14.86</v>
          </cell>
        </row>
        <row r="2124">
          <cell r="BT2124">
            <v>-1189</v>
          </cell>
          <cell r="BY2124">
            <v>1189</v>
          </cell>
        </row>
        <row r="2125">
          <cell r="BT2125">
            <v>59.45</v>
          </cell>
          <cell r="BY2125">
            <v>59.45</v>
          </cell>
        </row>
        <row r="2126">
          <cell r="BT2126">
            <v>-15600</v>
          </cell>
          <cell r="BY2126">
            <v>15600</v>
          </cell>
        </row>
        <row r="2127">
          <cell r="BT2127">
            <v>780</v>
          </cell>
          <cell r="BY2127">
            <v>780</v>
          </cell>
        </row>
        <row r="2128">
          <cell r="BT2128">
            <v>-188.4</v>
          </cell>
          <cell r="BY2128">
            <v>188.4</v>
          </cell>
        </row>
        <row r="2129">
          <cell r="BT2129">
            <v>9.42</v>
          </cell>
          <cell r="BY2129">
            <v>9.42</v>
          </cell>
        </row>
        <row r="2130">
          <cell r="BT2130">
            <v>-3684</v>
          </cell>
          <cell r="BY2130">
            <v>3684</v>
          </cell>
        </row>
        <row r="2131">
          <cell r="BT2131">
            <v>25.63</v>
          </cell>
          <cell r="BY2131">
            <v>25.63</v>
          </cell>
        </row>
        <row r="2132">
          <cell r="BT2132">
            <v>-357</v>
          </cell>
          <cell r="BY2132">
            <v>357</v>
          </cell>
        </row>
        <row r="2133">
          <cell r="BT2133">
            <v>17.850000000000001</v>
          </cell>
          <cell r="BY2133">
            <v>17.850000000000001</v>
          </cell>
        </row>
        <row r="2134">
          <cell r="BT2134">
            <v>-1386</v>
          </cell>
          <cell r="BY2134">
            <v>1386</v>
          </cell>
        </row>
        <row r="2135">
          <cell r="BT2135">
            <v>69.3</v>
          </cell>
          <cell r="BY2135">
            <v>69.3</v>
          </cell>
        </row>
        <row r="2136">
          <cell r="BT2136">
            <v>-20425</v>
          </cell>
          <cell r="BY2136">
            <v>20425</v>
          </cell>
        </row>
        <row r="2137">
          <cell r="BT2137">
            <v>1021.23</v>
          </cell>
          <cell r="BY2137">
            <v>1021.23</v>
          </cell>
        </row>
        <row r="2138">
          <cell r="BT2138">
            <v>-550</v>
          </cell>
          <cell r="BY2138">
            <v>550</v>
          </cell>
        </row>
        <row r="2139">
          <cell r="BT2139">
            <v>27.5</v>
          </cell>
          <cell r="BY2139">
            <v>27.5</v>
          </cell>
        </row>
        <row r="2140">
          <cell r="BT2140">
            <v>-240.75</v>
          </cell>
          <cell r="BY2140">
            <v>240.75</v>
          </cell>
        </row>
        <row r="2141">
          <cell r="BT2141">
            <v>12.04</v>
          </cell>
          <cell r="BY2141">
            <v>12.04</v>
          </cell>
        </row>
        <row r="2142">
          <cell r="BT2142">
            <v>-50.07</v>
          </cell>
          <cell r="BY2142">
            <v>50.07</v>
          </cell>
        </row>
        <row r="2143">
          <cell r="BT2143">
            <v>708.75</v>
          </cell>
          <cell r="BY2143">
            <v>708.75</v>
          </cell>
        </row>
        <row r="2144">
          <cell r="BT2144">
            <v>-35.44</v>
          </cell>
          <cell r="BY2144">
            <v>35.44</v>
          </cell>
        </row>
        <row r="2145">
          <cell r="BT2145">
            <v>537.5</v>
          </cell>
          <cell r="BY2145">
            <v>537.5</v>
          </cell>
        </row>
        <row r="2146">
          <cell r="BT2146">
            <v>-26.88</v>
          </cell>
          <cell r="BY2146">
            <v>26.88</v>
          </cell>
        </row>
        <row r="2147">
          <cell r="BT2147">
            <v>512.5</v>
          </cell>
          <cell r="BY2147">
            <v>512.5</v>
          </cell>
        </row>
        <row r="2148">
          <cell r="BT2148">
            <v>-25.63</v>
          </cell>
          <cell r="BY2148">
            <v>25.63</v>
          </cell>
        </row>
        <row r="2149">
          <cell r="BT2149">
            <v>357</v>
          </cell>
          <cell r="BY2149">
            <v>357</v>
          </cell>
        </row>
        <row r="2150">
          <cell r="BT2150">
            <v>-17.850000000000001</v>
          </cell>
          <cell r="BY2150">
            <v>17.850000000000001</v>
          </cell>
        </row>
        <row r="2151">
          <cell r="BT2151">
            <v>1386</v>
          </cell>
          <cell r="BY2151">
            <v>1386</v>
          </cell>
        </row>
        <row r="2152">
          <cell r="BT2152">
            <v>-69.3</v>
          </cell>
          <cell r="BY2152">
            <v>69.3</v>
          </cell>
        </row>
        <row r="2153">
          <cell r="BT2153">
            <v>-1.53</v>
          </cell>
          <cell r="BY2153">
            <v>1.53</v>
          </cell>
        </row>
        <row r="2154">
          <cell r="BT2154">
            <v>1017.45</v>
          </cell>
          <cell r="BY2154">
            <v>1017.45</v>
          </cell>
        </row>
        <row r="2155">
          <cell r="BT2155">
            <v>-50.87</v>
          </cell>
          <cell r="BY2155">
            <v>50.87</v>
          </cell>
        </row>
        <row r="2156">
          <cell r="BT2156">
            <v>708.75</v>
          </cell>
          <cell r="BY2156">
            <v>708.75</v>
          </cell>
        </row>
        <row r="2157">
          <cell r="BT2157">
            <v>-35.44</v>
          </cell>
          <cell r="BY2157">
            <v>35.44</v>
          </cell>
        </row>
        <row r="2158">
          <cell r="BT2158">
            <v>537.5</v>
          </cell>
          <cell r="BY2158">
            <v>537.5</v>
          </cell>
        </row>
        <row r="2159">
          <cell r="BT2159">
            <v>-26.88</v>
          </cell>
          <cell r="BY2159">
            <v>26.88</v>
          </cell>
        </row>
        <row r="2160">
          <cell r="BT2160">
            <v>512.5</v>
          </cell>
          <cell r="BY2160">
            <v>512.5</v>
          </cell>
        </row>
        <row r="2161">
          <cell r="BT2161">
            <v>-25.63</v>
          </cell>
          <cell r="BY2161">
            <v>25.63</v>
          </cell>
        </row>
        <row r="2162">
          <cell r="BT2162">
            <v>357</v>
          </cell>
          <cell r="BY2162">
            <v>357</v>
          </cell>
        </row>
        <row r="2163">
          <cell r="BT2163">
            <v>-17.850000000000001</v>
          </cell>
          <cell r="BY2163">
            <v>17.850000000000001</v>
          </cell>
        </row>
        <row r="2164">
          <cell r="BT2164">
            <v>-18.5</v>
          </cell>
          <cell r="BY2164">
            <v>18.5</v>
          </cell>
        </row>
        <row r="2165">
          <cell r="BT2165">
            <v>70</v>
          </cell>
          <cell r="BY2165">
            <v>70</v>
          </cell>
        </row>
        <row r="2166">
          <cell r="BT2166">
            <v>57</v>
          </cell>
          <cell r="BY2166">
            <v>57</v>
          </cell>
        </row>
        <row r="2167">
          <cell r="BT2167">
            <v>82.5</v>
          </cell>
          <cell r="BY2167">
            <v>82.5</v>
          </cell>
        </row>
        <row r="2168">
          <cell r="BT2168">
            <v>1200</v>
          </cell>
          <cell r="BY2168">
            <v>1200</v>
          </cell>
        </row>
        <row r="2169">
          <cell r="BT2169">
            <v>400</v>
          </cell>
          <cell r="BY2169">
            <v>400</v>
          </cell>
        </row>
        <row r="2170">
          <cell r="BT2170">
            <v>2720</v>
          </cell>
          <cell r="BY2170">
            <v>2720</v>
          </cell>
        </row>
        <row r="2171">
          <cell r="BT2171">
            <v>136.5</v>
          </cell>
          <cell r="BY2171">
            <v>136.5</v>
          </cell>
        </row>
        <row r="2172">
          <cell r="BT2172">
            <v>360</v>
          </cell>
          <cell r="BY2172">
            <v>360</v>
          </cell>
        </row>
        <row r="2173">
          <cell r="BT2173">
            <v>805</v>
          </cell>
          <cell r="BY2173">
            <v>805</v>
          </cell>
        </row>
        <row r="2174">
          <cell r="BT2174">
            <v>108</v>
          </cell>
          <cell r="BY2174">
            <v>108</v>
          </cell>
        </row>
        <row r="2175">
          <cell r="BT2175">
            <v>4600</v>
          </cell>
          <cell r="BY2175">
            <v>4600</v>
          </cell>
        </row>
        <row r="2176">
          <cell r="BT2176">
            <v>-105</v>
          </cell>
          <cell r="BY2176">
            <v>105</v>
          </cell>
        </row>
        <row r="2177">
          <cell r="BT2177">
            <v>105</v>
          </cell>
          <cell r="BY2177">
            <v>105</v>
          </cell>
        </row>
        <row r="2178">
          <cell r="BT2178">
            <v>23250</v>
          </cell>
          <cell r="BY2178">
            <v>23250</v>
          </cell>
        </row>
        <row r="2179">
          <cell r="BT2179">
            <v>1612.31</v>
          </cell>
          <cell r="BY2179">
            <v>1612.31</v>
          </cell>
        </row>
        <row r="2180">
          <cell r="BT2180">
            <v>52.62</v>
          </cell>
          <cell r="BY2180">
            <v>52.62</v>
          </cell>
        </row>
        <row r="2181">
          <cell r="BT2181">
            <v>-23250</v>
          </cell>
          <cell r="BY2181">
            <v>23250</v>
          </cell>
        </row>
        <row r="2182">
          <cell r="BT2182">
            <v>-1612.31</v>
          </cell>
          <cell r="BY2182">
            <v>1612.31</v>
          </cell>
        </row>
        <row r="2183">
          <cell r="BT2183">
            <v>-52.62</v>
          </cell>
          <cell r="BY2183">
            <v>52.62</v>
          </cell>
        </row>
        <row r="2184">
          <cell r="BT2184">
            <v>-1440</v>
          </cell>
          <cell r="BY2184">
            <v>1440</v>
          </cell>
        </row>
        <row r="2185">
          <cell r="BT2185">
            <v>1440</v>
          </cell>
          <cell r="BY2185">
            <v>1440</v>
          </cell>
        </row>
        <row r="2186">
          <cell r="BT2186">
            <v>-1440</v>
          </cell>
          <cell r="BY2186">
            <v>1440</v>
          </cell>
        </row>
        <row r="2187">
          <cell r="BT2187">
            <v>1440</v>
          </cell>
          <cell r="BY2187">
            <v>1440</v>
          </cell>
        </row>
        <row r="2188">
          <cell r="BT2188">
            <v>-1440</v>
          </cell>
          <cell r="BY2188">
            <v>1440</v>
          </cell>
        </row>
        <row r="2189">
          <cell r="BT2189">
            <v>360</v>
          </cell>
          <cell r="BY2189">
            <v>360</v>
          </cell>
        </row>
        <row r="2190">
          <cell r="BT2190">
            <v>-11520</v>
          </cell>
          <cell r="BY2190">
            <v>11520</v>
          </cell>
        </row>
        <row r="2191">
          <cell r="BT2191">
            <v>1152</v>
          </cell>
          <cell r="BY2191">
            <v>1152</v>
          </cell>
        </row>
        <row r="2192">
          <cell r="BT2192">
            <v>-609</v>
          </cell>
          <cell r="BY2192">
            <v>609</v>
          </cell>
        </row>
        <row r="2193">
          <cell r="BT2193">
            <v>60.9</v>
          </cell>
          <cell r="BY2193">
            <v>60.9</v>
          </cell>
        </row>
        <row r="2194">
          <cell r="BT2194">
            <v>115</v>
          </cell>
          <cell r="BY2194">
            <v>115</v>
          </cell>
        </row>
        <row r="2195">
          <cell r="BT2195">
            <v>154.5</v>
          </cell>
          <cell r="BY2195">
            <v>154.5</v>
          </cell>
        </row>
        <row r="2196">
          <cell r="BT2196">
            <v>-70</v>
          </cell>
          <cell r="BY2196">
            <v>70</v>
          </cell>
        </row>
        <row r="2197">
          <cell r="BT2197">
            <v>-57</v>
          </cell>
          <cell r="BY2197">
            <v>57</v>
          </cell>
        </row>
        <row r="2198">
          <cell r="BT2198">
            <v>-82.5</v>
          </cell>
          <cell r="BY2198">
            <v>82.5</v>
          </cell>
        </row>
        <row r="2199">
          <cell r="BT2199">
            <v>-1200</v>
          </cell>
          <cell r="BY2199">
            <v>1200</v>
          </cell>
        </row>
        <row r="2200">
          <cell r="BT2200">
            <v>-400</v>
          </cell>
          <cell r="BY2200">
            <v>400</v>
          </cell>
        </row>
        <row r="2201">
          <cell r="BT2201">
            <v>-2720</v>
          </cell>
          <cell r="BY2201">
            <v>2720</v>
          </cell>
        </row>
        <row r="2202">
          <cell r="BT2202">
            <v>-136.5</v>
          </cell>
          <cell r="BY2202">
            <v>136.5</v>
          </cell>
        </row>
        <row r="2203">
          <cell r="BT2203">
            <v>-23250</v>
          </cell>
          <cell r="BY2203">
            <v>23250</v>
          </cell>
        </row>
        <row r="2204">
          <cell r="BT2204">
            <v>-1612.31</v>
          </cell>
          <cell r="BY2204">
            <v>1612.31</v>
          </cell>
        </row>
        <row r="2205">
          <cell r="BT2205">
            <v>-52.62</v>
          </cell>
          <cell r="BY2205">
            <v>52.62</v>
          </cell>
        </row>
        <row r="2206">
          <cell r="BT2206">
            <v>-23250</v>
          </cell>
          <cell r="BY2206">
            <v>23250</v>
          </cell>
        </row>
        <row r="2207">
          <cell r="BT2207">
            <v>-1612.31</v>
          </cell>
          <cell r="BY2207">
            <v>1612.31</v>
          </cell>
        </row>
        <row r="2208">
          <cell r="BT2208">
            <v>-52.62</v>
          </cell>
          <cell r="BY2208">
            <v>52.62</v>
          </cell>
        </row>
        <row r="2209">
          <cell r="BT2209">
            <v>23250</v>
          </cell>
          <cell r="BY2209">
            <v>23250</v>
          </cell>
        </row>
        <row r="2210">
          <cell r="BT2210">
            <v>1612.31</v>
          </cell>
          <cell r="BY2210">
            <v>1612.31</v>
          </cell>
        </row>
        <row r="2211">
          <cell r="BT2211">
            <v>52.62</v>
          </cell>
          <cell r="BY2211">
            <v>52.62</v>
          </cell>
        </row>
        <row r="2212">
          <cell r="BT2212">
            <v>-23250</v>
          </cell>
          <cell r="BY2212">
            <v>23250</v>
          </cell>
        </row>
        <row r="2213">
          <cell r="BT2213">
            <v>-360</v>
          </cell>
          <cell r="BY2213">
            <v>360</v>
          </cell>
        </row>
        <row r="2214">
          <cell r="BT2214">
            <v>-805</v>
          </cell>
          <cell r="BY2214">
            <v>805</v>
          </cell>
        </row>
        <row r="2215">
          <cell r="BT2215">
            <v>-108</v>
          </cell>
          <cell r="BY2215">
            <v>108</v>
          </cell>
        </row>
        <row r="2216">
          <cell r="BT2216">
            <v>-4600</v>
          </cell>
          <cell r="BY2216">
            <v>4600</v>
          </cell>
        </row>
        <row r="2217">
          <cell r="BT2217">
            <v>-115</v>
          </cell>
          <cell r="BY2217">
            <v>115</v>
          </cell>
        </row>
        <row r="2218">
          <cell r="BT2218">
            <v>-154.5</v>
          </cell>
          <cell r="BY2218">
            <v>154.5</v>
          </cell>
        </row>
        <row r="2219">
          <cell r="BT2219">
            <v>70</v>
          </cell>
          <cell r="BY2219">
            <v>70</v>
          </cell>
        </row>
        <row r="2220">
          <cell r="BT2220">
            <v>57</v>
          </cell>
          <cell r="BY2220">
            <v>57</v>
          </cell>
        </row>
        <row r="2221">
          <cell r="BT2221">
            <v>82.5</v>
          </cell>
          <cell r="BY2221">
            <v>82.5</v>
          </cell>
        </row>
        <row r="2222">
          <cell r="BT2222">
            <v>-1612.31</v>
          </cell>
          <cell r="BY2222">
            <v>1612.31</v>
          </cell>
        </row>
        <row r="2223">
          <cell r="BT2223">
            <v>-52.62</v>
          </cell>
          <cell r="BY2223">
            <v>52.62</v>
          </cell>
        </row>
        <row r="2224">
          <cell r="BT2224">
            <v>23250</v>
          </cell>
          <cell r="BY2224">
            <v>23250</v>
          </cell>
        </row>
        <row r="2225">
          <cell r="BT2225">
            <v>1612.31</v>
          </cell>
          <cell r="BY2225">
            <v>1612.31</v>
          </cell>
        </row>
        <row r="2226">
          <cell r="BT2226">
            <v>52.62</v>
          </cell>
          <cell r="BY2226">
            <v>52.62</v>
          </cell>
        </row>
        <row r="2227">
          <cell r="BT2227">
            <v>23250</v>
          </cell>
          <cell r="BY2227">
            <v>23250</v>
          </cell>
        </row>
        <row r="2228">
          <cell r="BT2228">
            <v>1612.31</v>
          </cell>
          <cell r="BY2228">
            <v>1612.31</v>
          </cell>
        </row>
        <row r="2229">
          <cell r="BT2229">
            <v>52.62</v>
          </cell>
          <cell r="BY2229">
            <v>52.62</v>
          </cell>
        </row>
        <row r="2230">
          <cell r="BT2230">
            <v>1200</v>
          </cell>
          <cell r="BY2230">
            <v>1200</v>
          </cell>
        </row>
        <row r="2231">
          <cell r="BT2231">
            <v>400</v>
          </cell>
          <cell r="BY2231">
            <v>400</v>
          </cell>
        </row>
        <row r="2232">
          <cell r="BT2232">
            <v>2720</v>
          </cell>
          <cell r="BY2232">
            <v>2720</v>
          </cell>
        </row>
        <row r="2233">
          <cell r="BT2233">
            <v>136.5</v>
          </cell>
          <cell r="BY2233">
            <v>136.5</v>
          </cell>
        </row>
        <row r="2234">
          <cell r="BT2234">
            <v>360</v>
          </cell>
          <cell r="BY2234">
            <v>360</v>
          </cell>
        </row>
        <row r="2235">
          <cell r="BT2235">
            <v>805</v>
          </cell>
          <cell r="BY2235">
            <v>805</v>
          </cell>
        </row>
        <row r="2236">
          <cell r="BT2236">
            <v>108</v>
          </cell>
          <cell r="BY2236">
            <v>108</v>
          </cell>
        </row>
        <row r="2237">
          <cell r="BT2237">
            <v>4600</v>
          </cell>
          <cell r="BY2237">
            <v>4600</v>
          </cell>
        </row>
        <row r="2238">
          <cell r="BT2238">
            <v>115</v>
          </cell>
          <cell r="BY2238">
            <v>115</v>
          </cell>
        </row>
        <row r="2239">
          <cell r="BT2239">
            <v>154.5</v>
          </cell>
          <cell r="BY2239">
            <v>154.5</v>
          </cell>
        </row>
        <row r="2240">
          <cell r="BT2240">
            <v>258</v>
          </cell>
          <cell r="BY2240">
            <v>258</v>
          </cell>
        </row>
        <row r="2241">
          <cell r="BT2241">
            <v>-12.9</v>
          </cell>
          <cell r="BY2241">
            <v>12.9</v>
          </cell>
        </row>
        <row r="2242">
          <cell r="BT2242">
            <v>600</v>
          </cell>
          <cell r="BY2242">
            <v>600</v>
          </cell>
        </row>
        <row r="2243">
          <cell r="BT2243">
            <v>-30</v>
          </cell>
          <cell r="BY2243">
            <v>30</v>
          </cell>
        </row>
        <row r="2244">
          <cell r="BT2244">
            <v>2400</v>
          </cell>
          <cell r="BY2244">
            <v>2400</v>
          </cell>
        </row>
        <row r="2245">
          <cell r="BT2245">
            <v>-4060</v>
          </cell>
          <cell r="BY2245">
            <v>4060</v>
          </cell>
        </row>
        <row r="2246">
          <cell r="BT2246">
            <v>-2030</v>
          </cell>
          <cell r="BY2246">
            <v>2030</v>
          </cell>
        </row>
        <row r="2247">
          <cell r="BT2247">
            <v>-1752</v>
          </cell>
          <cell r="BY2247">
            <v>1752</v>
          </cell>
        </row>
        <row r="2248">
          <cell r="BT2248">
            <v>-4620</v>
          </cell>
          <cell r="BY2248">
            <v>4620</v>
          </cell>
        </row>
        <row r="2249">
          <cell r="BT2249">
            <v>-904.32</v>
          </cell>
          <cell r="BY2249">
            <v>904.32</v>
          </cell>
        </row>
        <row r="2250">
          <cell r="BT2250">
            <v>-2985</v>
          </cell>
          <cell r="BY2250">
            <v>2985</v>
          </cell>
        </row>
        <row r="2251">
          <cell r="BT2251">
            <v>-521</v>
          </cell>
          <cell r="BY2251">
            <v>521</v>
          </cell>
        </row>
        <row r="2252">
          <cell r="BT2252">
            <v>-24820.799999999999</v>
          </cell>
          <cell r="BY2252">
            <v>24820.799999999999</v>
          </cell>
        </row>
        <row r="2253">
          <cell r="BT2253">
            <v>-88.3</v>
          </cell>
          <cell r="BY2253">
            <v>88.3</v>
          </cell>
        </row>
        <row r="2254">
          <cell r="BT2254">
            <v>-130</v>
          </cell>
          <cell r="BY2254">
            <v>130</v>
          </cell>
        </row>
        <row r="2255">
          <cell r="BT2255">
            <v>-5212.3500000000004</v>
          </cell>
          <cell r="BY2255">
            <v>5212.3500000000004</v>
          </cell>
        </row>
        <row r="2256">
          <cell r="BT2256">
            <v>-1720</v>
          </cell>
          <cell r="BY2256">
            <v>1720</v>
          </cell>
        </row>
        <row r="2257">
          <cell r="BT2257">
            <v>-120</v>
          </cell>
          <cell r="BY2257">
            <v>120</v>
          </cell>
        </row>
        <row r="2258">
          <cell r="BT2258">
            <v>1200</v>
          </cell>
          <cell r="BY2258">
            <v>1200</v>
          </cell>
        </row>
        <row r="2259">
          <cell r="BT2259">
            <v>-60</v>
          </cell>
          <cell r="BY2259">
            <v>60</v>
          </cell>
        </row>
        <row r="2260">
          <cell r="BT2260">
            <v>860</v>
          </cell>
          <cell r="BY2260">
            <v>860</v>
          </cell>
        </row>
        <row r="2261">
          <cell r="BT2261">
            <v>-43</v>
          </cell>
          <cell r="BY2261">
            <v>43</v>
          </cell>
        </row>
        <row r="2262">
          <cell r="BT2262">
            <v>9750</v>
          </cell>
          <cell r="BY2262">
            <v>9750</v>
          </cell>
        </row>
        <row r="2263">
          <cell r="BT2263">
            <v>-487.5</v>
          </cell>
          <cell r="BY2263">
            <v>487.5</v>
          </cell>
        </row>
        <row r="2264">
          <cell r="BT2264">
            <v>10000</v>
          </cell>
          <cell r="BY2264">
            <v>10000</v>
          </cell>
        </row>
        <row r="2265">
          <cell r="BT2265">
            <v>-500</v>
          </cell>
          <cell r="BY2265">
            <v>500</v>
          </cell>
        </row>
        <row r="2266">
          <cell r="BT2266">
            <v>1100</v>
          </cell>
          <cell r="BY2266">
            <v>1100</v>
          </cell>
        </row>
        <row r="2267">
          <cell r="BT2267">
            <v>-55</v>
          </cell>
          <cell r="BY2267">
            <v>55</v>
          </cell>
        </row>
        <row r="2268">
          <cell r="BT2268">
            <v>-17200</v>
          </cell>
          <cell r="BY2268">
            <v>17200</v>
          </cell>
        </row>
        <row r="2269">
          <cell r="BT2269">
            <v>-6300</v>
          </cell>
          <cell r="BY2269">
            <v>6300</v>
          </cell>
        </row>
        <row r="2270">
          <cell r="BT2270">
            <v>-11600</v>
          </cell>
          <cell r="BY2270">
            <v>11600</v>
          </cell>
        </row>
        <row r="2271">
          <cell r="BT2271">
            <v>-6534.53</v>
          </cell>
          <cell r="BY2271">
            <v>6534.53</v>
          </cell>
        </row>
        <row r="2272">
          <cell r="BT2272">
            <v>-245.76</v>
          </cell>
          <cell r="BY2272">
            <v>245.76</v>
          </cell>
        </row>
        <row r="2273">
          <cell r="BT2273">
            <v>2210</v>
          </cell>
          <cell r="BY2273">
            <v>2210</v>
          </cell>
        </row>
        <row r="2274">
          <cell r="BT2274">
            <v>2520</v>
          </cell>
          <cell r="BY2274">
            <v>2520</v>
          </cell>
        </row>
        <row r="2275">
          <cell r="BT2275">
            <v>3520</v>
          </cell>
          <cell r="BY2275">
            <v>3520</v>
          </cell>
        </row>
        <row r="2276">
          <cell r="BT2276">
            <v>1300.04</v>
          </cell>
          <cell r="BY2276">
            <v>1300.04</v>
          </cell>
        </row>
        <row r="2277">
          <cell r="BT2277">
            <v>-80</v>
          </cell>
          <cell r="BY2277">
            <v>80</v>
          </cell>
        </row>
        <row r="2278">
          <cell r="BT2278">
            <v>-2472</v>
          </cell>
          <cell r="BY2278">
            <v>2472</v>
          </cell>
        </row>
        <row r="2279">
          <cell r="BT2279">
            <v>-2191.1999999999998</v>
          </cell>
          <cell r="BY2279">
            <v>2191.1999999999998</v>
          </cell>
        </row>
        <row r="2280">
          <cell r="BT2280">
            <v>-1082</v>
          </cell>
          <cell r="BY2280">
            <v>1082</v>
          </cell>
        </row>
        <row r="2281">
          <cell r="BT2281">
            <v>6800</v>
          </cell>
          <cell r="BY2281">
            <v>6800</v>
          </cell>
        </row>
        <row r="2282">
          <cell r="BT2282">
            <v>-340</v>
          </cell>
          <cell r="BY2282">
            <v>340</v>
          </cell>
        </row>
        <row r="2283">
          <cell r="BT2283">
            <v>2170</v>
          </cell>
          <cell r="BY2283">
            <v>2170</v>
          </cell>
        </row>
        <row r="2284">
          <cell r="BT2284">
            <v>-108.5</v>
          </cell>
          <cell r="BY2284">
            <v>108.5</v>
          </cell>
        </row>
        <row r="2285">
          <cell r="BT2285">
            <v>11240</v>
          </cell>
          <cell r="BY2285">
            <v>11240</v>
          </cell>
        </row>
        <row r="2286">
          <cell r="BT2286">
            <v>-562</v>
          </cell>
          <cell r="BY2286">
            <v>562</v>
          </cell>
        </row>
        <row r="2287">
          <cell r="BT2287">
            <v>1092</v>
          </cell>
          <cell r="BY2287">
            <v>1092</v>
          </cell>
        </row>
        <row r="2288">
          <cell r="BT2288">
            <v>-54.6</v>
          </cell>
          <cell r="BY2288">
            <v>54.6</v>
          </cell>
        </row>
        <row r="2289">
          <cell r="BT2289">
            <v>2130</v>
          </cell>
          <cell r="BY2289">
            <v>2130</v>
          </cell>
        </row>
        <row r="2290">
          <cell r="BT2290">
            <v>-106.5</v>
          </cell>
          <cell r="BY2290">
            <v>106.5</v>
          </cell>
        </row>
        <row r="2291">
          <cell r="BT2291">
            <v>52.39</v>
          </cell>
          <cell r="BY2291">
            <v>52.39</v>
          </cell>
        </row>
        <row r="2292">
          <cell r="BT2292">
            <v>-2210</v>
          </cell>
          <cell r="BY2292">
            <v>2210</v>
          </cell>
        </row>
        <row r="2293">
          <cell r="BT2293">
            <v>-2520</v>
          </cell>
          <cell r="BY2293">
            <v>2520</v>
          </cell>
        </row>
        <row r="2294">
          <cell r="BT2294">
            <v>-3520</v>
          </cell>
          <cell r="BY2294">
            <v>3520</v>
          </cell>
        </row>
        <row r="2295">
          <cell r="BT2295">
            <v>-1300.04</v>
          </cell>
          <cell r="BY2295">
            <v>1300.04</v>
          </cell>
        </row>
        <row r="2296">
          <cell r="BT2296">
            <v>-52.39</v>
          </cell>
          <cell r="BY2296">
            <v>52.39</v>
          </cell>
        </row>
        <row r="2297">
          <cell r="BT2297">
            <v>-258</v>
          </cell>
          <cell r="BY2297">
            <v>258</v>
          </cell>
        </row>
        <row r="2298">
          <cell r="BT2298">
            <v>12.9</v>
          </cell>
          <cell r="BY2298">
            <v>12.9</v>
          </cell>
        </row>
        <row r="2299">
          <cell r="BT2299">
            <v>-600</v>
          </cell>
          <cell r="BY2299">
            <v>600</v>
          </cell>
        </row>
        <row r="2300">
          <cell r="BT2300">
            <v>30</v>
          </cell>
          <cell r="BY2300">
            <v>30</v>
          </cell>
        </row>
        <row r="2301">
          <cell r="BT2301">
            <v>-2400</v>
          </cell>
          <cell r="BY2301">
            <v>2400</v>
          </cell>
        </row>
        <row r="2302">
          <cell r="BT2302">
            <v>120</v>
          </cell>
          <cell r="BY2302">
            <v>120</v>
          </cell>
        </row>
        <row r="2303">
          <cell r="BT2303">
            <v>-1200</v>
          </cell>
          <cell r="BY2303">
            <v>1200</v>
          </cell>
        </row>
        <row r="2304">
          <cell r="BT2304">
            <v>60</v>
          </cell>
          <cell r="BY2304">
            <v>60</v>
          </cell>
        </row>
        <row r="2305">
          <cell r="BT2305">
            <v>-860</v>
          </cell>
          <cell r="BY2305">
            <v>860</v>
          </cell>
        </row>
        <row r="2306">
          <cell r="BT2306">
            <v>43</v>
          </cell>
          <cell r="BY2306">
            <v>43</v>
          </cell>
        </row>
        <row r="2307">
          <cell r="BT2307">
            <v>-9750</v>
          </cell>
          <cell r="BY2307">
            <v>9750</v>
          </cell>
        </row>
        <row r="2308">
          <cell r="BT2308">
            <v>-859.52</v>
          </cell>
          <cell r="BY2308">
            <v>859.52</v>
          </cell>
        </row>
        <row r="2309">
          <cell r="BT2309">
            <v>-20740</v>
          </cell>
          <cell r="BY2309">
            <v>20740</v>
          </cell>
        </row>
        <row r="2310">
          <cell r="BT2310">
            <v>7825.36</v>
          </cell>
          <cell r="BY2310">
            <v>7825.36</v>
          </cell>
        </row>
        <row r="2311">
          <cell r="BT2311">
            <v>-782.54</v>
          </cell>
          <cell r="BY2311">
            <v>782.54</v>
          </cell>
        </row>
        <row r="2312">
          <cell r="BT2312">
            <v>1429.99</v>
          </cell>
          <cell r="BY2312">
            <v>1429.99</v>
          </cell>
        </row>
        <row r="2313">
          <cell r="BT2313">
            <v>-143</v>
          </cell>
          <cell r="BY2313">
            <v>143</v>
          </cell>
        </row>
        <row r="2314">
          <cell r="BT2314">
            <v>1760.07</v>
          </cell>
          <cell r="BY2314">
            <v>1760.07</v>
          </cell>
        </row>
        <row r="2315">
          <cell r="BT2315">
            <v>-176.01</v>
          </cell>
          <cell r="BY2315">
            <v>176.01</v>
          </cell>
        </row>
        <row r="2316">
          <cell r="BT2316">
            <v>1837.97</v>
          </cell>
          <cell r="BY2316">
            <v>1837.97</v>
          </cell>
        </row>
        <row r="2317">
          <cell r="BT2317">
            <v>-183.8</v>
          </cell>
          <cell r="BY2317">
            <v>183.8</v>
          </cell>
        </row>
        <row r="2318">
          <cell r="BT2318">
            <v>475.03</v>
          </cell>
          <cell r="BY2318">
            <v>475.03</v>
          </cell>
        </row>
        <row r="2319">
          <cell r="BT2319">
            <v>487.5</v>
          </cell>
          <cell r="BY2319">
            <v>487.5</v>
          </cell>
        </row>
        <row r="2320">
          <cell r="BT2320">
            <v>-475</v>
          </cell>
          <cell r="BY2320">
            <v>475</v>
          </cell>
        </row>
        <row r="2321">
          <cell r="BT2321">
            <v>23.75</v>
          </cell>
          <cell r="BY2321">
            <v>23.75</v>
          </cell>
        </row>
        <row r="2322">
          <cell r="BT2322">
            <v>-1100</v>
          </cell>
          <cell r="BY2322">
            <v>1100</v>
          </cell>
        </row>
        <row r="2323">
          <cell r="BT2323">
            <v>55</v>
          </cell>
          <cell r="BY2323">
            <v>55</v>
          </cell>
        </row>
        <row r="2324">
          <cell r="BT2324">
            <v>-6800</v>
          </cell>
          <cell r="BY2324">
            <v>6800</v>
          </cell>
        </row>
        <row r="2325">
          <cell r="BT2325">
            <v>340</v>
          </cell>
          <cell r="BY2325">
            <v>340</v>
          </cell>
        </row>
        <row r="2326">
          <cell r="BT2326">
            <v>-2170</v>
          </cell>
          <cell r="BY2326">
            <v>2170</v>
          </cell>
        </row>
        <row r="2327">
          <cell r="BT2327">
            <v>108.5</v>
          </cell>
          <cell r="BY2327">
            <v>108.5</v>
          </cell>
        </row>
        <row r="2328">
          <cell r="BT2328">
            <v>-11240</v>
          </cell>
          <cell r="BY2328">
            <v>11240</v>
          </cell>
        </row>
        <row r="2329">
          <cell r="BT2329">
            <v>562</v>
          </cell>
          <cell r="BY2329">
            <v>562</v>
          </cell>
        </row>
        <row r="2330">
          <cell r="BT2330">
            <v>-17864.509999999998</v>
          </cell>
          <cell r="BY2330">
            <v>17864.509999999998</v>
          </cell>
        </row>
        <row r="2331">
          <cell r="BT2331">
            <v>-15650.74</v>
          </cell>
          <cell r="BY2331">
            <v>15650.74</v>
          </cell>
        </row>
        <row r="2332">
          <cell r="BT2332">
            <v>-2604.16</v>
          </cell>
          <cell r="BY2332">
            <v>2604.16</v>
          </cell>
        </row>
        <row r="2333">
          <cell r="BT2333">
            <v>-3930.07</v>
          </cell>
          <cell r="BY2333">
            <v>3930.07</v>
          </cell>
        </row>
        <row r="2334">
          <cell r="BT2334">
            <v>-768.53</v>
          </cell>
          <cell r="BY2334">
            <v>768.53</v>
          </cell>
        </row>
        <row r="2335">
          <cell r="BT2335">
            <v>-3000.15</v>
          </cell>
          <cell r="BY2335">
            <v>3000.15</v>
          </cell>
        </row>
        <row r="2336">
          <cell r="BT2336">
            <v>-17600.73</v>
          </cell>
          <cell r="BY2336">
            <v>17600.73</v>
          </cell>
        </row>
        <row r="2337">
          <cell r="BT2337">
            <v>-918.98</v>
          </cell>
          <cell r="BY2337">
            <v>918.98</v>
          </cell>
        </row>
        <row r="2338">
          <cell r="BT2338">
            <v>-950.05</v>
          </cell>
          <cell r="BY2338">
            <v>950.05</v>
          </cell>
        </row>
        <row r="2339">
          <cell r="BT2339">
            <v>-5250.13</v>
          </cell>
          <cell r="BY2339">
            <v>5250.13</v>
          </cell>
        </row>
        <row r="2340">
          <cell r="BT2340">
            <v>-47.5</v>
          </cell>
          <cell r="BY2340">
            <v>47.5</v>
          </cell>
        </row>
        <row r="2341">
          <cell r="BT2341">
            <v>1050.03</v>
          </cell>
          <cell r="BY2341">
            <v>1050.03</v>
          </cell>
        </row>
        <row r="2342">
          <cell r="BT2342">
            <v>-105</v>
          </cell>
          <cell r="BY2342">
            <v>105</v>
          </cell>
        </row>
        <row r="2343">
          <cell r="BT2343">
            <v>6143.84</v>
          </cell>
          <cell r="BY2343">
            <v>6143.84</v>
          </cell>
        </row>
        <row r="2344">
          <cell r="BT2344">
            <v>-614.38</v>
          </cell>
          <cell r="BY2344">
            <v>614.38</v>
          </cell>
        </row>
        <row r="2345">
          <cell r="BT2345">
            <v>848.51</v>
          </cell>
          <cell r="BY2345">
            <v>848.51</v>
          </cell>
        </row>
        <row r="2346">
          <cell r="BT2346">
            <v>-84.85</v>
          </cell>
          <cell r="BY2346">
            <v>84.85</v>
          </cell>
        </row>
        <row r="2347">
          <cell r="BT2347">
            <v>1129.55</v>
          </cell>
          <cell r="BY2347">
            <v>1129.55</v>
          </cell>
        </row>
        <row r="2348">
          <cell r="BT2348">
            <v>-112.95</v>
          </cell>
          <cell r="BY2348">
            <v>112.95</v>
          </cell>
        </row>
        <row r="2349">
          <cell r="BT2349">
            <v>3600.13</v>
          </cell>
          <cell r="BY2349">
            <v>3600.13</v>
          </cell>
        </row>
        <row r="2350">
          <cell r="BT2350">
            <v>-360.01</v>
          </cell>
          <cell r="BY2350">
            <v>360.01</v>
          </cell>
        </row>
        <row r="2351">
          <cell r="BT2351">
            <v>-1092</v>
          </cell>
          <cell r="BY2351">
            <v>1092</v>
          </cell>
        </row>
        <row r="2352">
          <cell r="BT2352">
            <v>54.6</v>
          </cell>
          <cell r="BY2352">
            <v>54.6</v>
          </cell>
        </row>
        <row r="2353">
          <cell r="BT2353">
            <v>-2130</v>
          </cell>
          <cell r="BY2353">
            <v>2130</v>
          </cell>
        </row>
        <row r="2354">
          <cell r="BT2354">
            <v>106.5</v>
          </cell>
          <cell r="BY2354">
            <v>106.5</v>
          </cell>
        </row>
        <row r="2355">
          <cell r="BT2355">
            <v>-3819.91</v>
          </cell>
          <cell r="BY2355">
            <v>3819.91</v>
          </cell>
        </row>
        <row r="2356">
          <cell r="BT2356">
            <v>-8799.44</v>
          </cell>
          <cell r="BY2356">
            <v>8799.44</v>
          </cell>
        </row>
        <row r="2357">
          <cell r="BT2357">
            <v>-8999.8700000000008</v>
          </cell>
          <cell r="BY2357">
            <v>8999.8700000000008</v>
          </cell>
        </row>
        <row r="2358">
          <cell r="BT2358">
            <v>-4499.9399999999996</v>
          </cell>
          <cell r="BY2358">
            <v>4499.9399999999996</v>
          </cell>
        </row>
        <row r="2359">
          <cell r="BT2359">
            <v>-6689.71</v>
          </cell>
          <cell r="BY2359">
            <v>6689.71</v>
          </cell>
        </row>
        <row r="2360">
          <cell r="BT2360">
            <v>-28499.73</v>
          </cell>
          <cell r="BY2360">
            <v>28499.73</v>
          </cell>
        </row>
        <row r="2361">
          <cell r="BT2361">
            <v>-4243.93</v>
          </cell>
          <cell r="BY2361">
            <v>4243.93</v>
          </cell>
        </row>
        <row r="2362">
          <cell r="BT2362">
            <v>-1141.94</v>
          </cell>
          <cell r="BY2362">
            <v>1141.94</v>
          </cell>
        </row>
        <row r="2363">
          <cell r="BT2363">
            <v>-677.5</v>
          </cell>
          <cell r="BY2363">
            <v>677.5</v>
          </cell>
        </row>
        <row r="2364">
          <cell r="BT2364">
            <v>-2475</v>
          </cell>
          <cell r="BY2364">
            <v>2475</v>
          </cell>
        </row>
        <row r="2365">
          <cell r="BT2365">
            <v>-2475</v>
          </cell>
          <cell r="BY2365">
            <v>2475</v>
          </cell>
        </row>
        <row r="2366">
          <cell r="BT2366">
            <v>2475</v>
          </cell>
          <cell r="BY2366">
            <v>2475</v>
          </cell>
        </row>
        <row r="2367">
          <cell r="BT2367">
            <v>-639</v>
          </cell>
          <cell r="BY2367">
            <v>639</v>
          </cell>
        </row>
        <row r="2368">
          <cell r="BT2368">
            <v>-1828</v>
          </cell>
          <cell r="BY2368">
            <v>1828</v>
          </cell>
        </row>
        <row r="2369">
          <cell r="BT2369">
            <v>-1828</v>
          </cell>
          <cell r="BY2369">
            <v>1828</v>
          </cell>
        </row>
        <row r="2370">
          <cell r="BT2370">
            <v>1828</v>
          </cell>
          <cell r="BY2370">
            <v>1828</v>
          </cell>
        </row>
        <row r="2371">
          <cell r="BT2371">
            <v>-33880</v>
          </cell>
          <cell r="BY2371">
            <v>33880</v>
          </cell>
        </row>
        <row r="2372">
          <cell r="BT2372">
            <v>-1884</v>
          </cell>
          <cell r="BY2372">
            <v>1884</v>
          </cell>
        </row>
        <row r="2373">
          <cell r="BT2373">
            <v>-20792.62</v>
          </cell>
          <cell r="BY2373">
            <v>20792.62</v>
          </cell>
        </row>
        <row r="2374">
          <cell r="BT2374">
            <v>-6564.32</v>
          </cell>
          <cell r="BY2374">
            <v>6564.32</v>
          </cell>
        </row>
        <row r="2375">
          <cell r="BT2375">
            <v>-15359.61</v>
          </cell>
          <cell r="BY2375">
            <v>15359.61</v>
          </cell>
        </row>
        <row r="2376">
          <cell r="BT2376">
            <v>-9548.7099999999991</v>
          </cell>
          <cell r="BY2376">
            <v>9548.7099999999991</v>
          </cell>
        </row>
        <row r="2377">
          <cell r="BT2377">
            <v>-8485.14</v>
          </cell>
          <cell r="BY2377">
            <v>8485.14</v>
          </cell>
        </row>
        <row r="2378">
          <cell r="BT2378">
            <v>-12224.64</v>
          </cell>
          <cell r="BY2378">
            <v>12224.64</v>
          </cell>
        </row>
        <row r="2379">
          <cell r="BT2379">
            <v>-4299.88</v>
          </cell>
          <cell r="BY2379">
            <v>4299.88</v>
          </cell>
        </row>
        <row r="2380">
          <cell r="BT2380">
            <v>-10704.25</v>
          </cell>
          <cell r="BY2380">
            <v>10704.25</v>
          </cell>
        </row>
        <row r="2381">
          <cell r="BT2381">
            <v>-18000.63</v>
          </cell>
          <cell r="BY2381">
            <v>18000.63</v>
          </cell>
        </row>
        <row r="2382">
          <cell r="BT2382">
            <v>-57600.97</v>
          </cell>
          <cell r="BY2382">
            <v>57600.97</v>
          </cell>
        </row>
        <row r="2383">
          <cell r="BT2383">
            <v>-571.05999999999995</v>
          </cell>
          <cell r="BY2383">
            <v>571.05999999999995</v>
          </cell>
        </row>
        <row r="2384">
          <cell r="BT2384">
            <v>11520.19</v>
          </cell>
          <cell r="BY2384">
            <v>11520.19</v>
          </cell>
        </row>
        <row r="2385">
          <cell r="BT2385">
            <v>-1152.02</v>
          </cell>
          <cell r="BY2385">
            <v>1152.02</v>
          </cell>
        </row>
        <row r="2386">
          <cell r="BT2386">
            <v>608.97</v>
          </cell>
          <cell r="BY2386">
            <v>608.97</v>
          </cell>
        </row>
        <row r="2387">
          <cell r="BT2387">
            <v>-60.9</v>
          </cell>
          <cell r="BY2387">
            <v>60.9</v>
          </cell>
        </row>
        <row r="2388">
          <cell r="BT2388">
            <v>-7825.36</v>
          </cell>
          <cell r="BY2388">
            <v>7825.36</v>
          </cell>
        </row>
        <row r="2389">
          <cell r="BT2389">
            <v>782.54</v>
          </cell>
          <cell r="BY2389">
            <v>782.54</v>
          </cell>
        </row>
        <row r="2390">
          <cell r="BT2390">
            <v>-1429.99</v>
          </cell>
          <cell r="BY2390">
            <v>1429.99</v>
          </cell>
        </row>
        <row r="2391">
          <cell r="BT2391">
            <v>143</v>
          </cell>
          <cell r="BY2391">
            <v>143</v>
          </cell>
        </row>
        <row r="2392">
          <cell r="BT2392">
            <v>-1760.07</v>
          </cell>
          <cell r="BY2392">
            <v>1760.07</v>
          </cell>
        </row>
        <row r="2393">
          <cell r="BT2393">
            <v>176.01</v>
          </cell>
          <cell r="BY2393">
            <v>176.01</v>
          </cell>
        </row>
        <row r="2394">
          <cell r="BT2394">
            <v>-1837.97</v>
          </cell>
          <cell r="BY2394">
            <v>1837.97</v>
          </cell>
        </row>
        <row r="2395">
          <cell r="BT2395">
            <v>-1217.94</v>
          </cell>
          <cell r="BY2395">
            <v>1217.94</v>
          </cell>
        </row>
        <row r="2396">
          <cell r="BT2396">
            <v>-1649.91</v>
          </cell>
          <cell r="BY2396">
            <v>1649.91</v>
          </cell>
        </row>
        <row r="2397">
          <cell r="BT2397">
            <v>-1415.97</v>
          </cell>
          <cell r="BY2397">
            <v>1415.97</v>
          </cell>
        </row>
        <row r="2398">
          <cell r="BT2398">
            <v>-2560.0500000000002</v>
          </cell>
          <cell r="BY2398">
            <v>2560.0500000000002</v>
          </cell>
        </row>
        <row r="2399">
          <cell r="BT2399">
            <v>-1837.98</v>
          </cell>
          <cell r="BY2399">
            <v>1837.98</v>
          </cell>
        </row>
        <row r="2400">
          <cell r="BT2400">
            <v>-3309.97</v>
          </cell>
          <cell r="BY2400">
            <v>3309.97</v>
          </cell>
        </row>
        <row r="2401">
          <cell r="BT2401">
            <v>-3282.12</v>
          </cell>
          <cell r="BY2401">
            <v>3282.12</v>
          </cell>
        </row>
        <row r="2402">
          <cell r="BT2402">
            <v>-7741.52</v>
          </cell>
          <cell r="BY2402">
            <v>7741.52</v>
          </cell>
        </row>
        <row r="2403">
          <cell r="BT2403">
            <v>-6221.82</v>
          </cell>
          <cell r="BY2403">
            <v>6221.82</v>
          </cell>
        </row>
        <row r="2404">
          <cell r="BT2404">
            <v>-2619.92</v>
          </cell>
          <cell r="BY2404">
            <v>2619.92</v>
          </cell>
        </row>
        <row r="2405">
          <cell r="BT2405">
            <v>-2099.84</v>
          </cell>
          <cell r="BY2405">
            <v>2099.84</v>
          </cell>
        </row>
        <row r="2406">
          <cell r="BT2406">
            <v>-4914</v>
          </cell>
          <cell r="BY2406">
            <v>4914</v>
          </cell>
        </row>
        <row r="2407">
          <cell r="BT2407">
            <v>-4540</v>
          </cell>
          <cell r="BY2407">
            <v>4540</v>
          </cell>
        </row>
        <row r="2408">
          <cell r="BT2408">
            <v>-5502</v>
          </cell>
          <cell r="BY2408">
            <v>5502</v>
          </cell>
        </row>
        <row r="2409">
          <cell r="BT2409">
            <v>-5292</v>
          </cell>
          <cell r="BY2409">
            <v>5292</v>
          </cell>
        </row>
        <row r="2410">
          <cell r="BT2410">
            <v>-4516</v>
          </cell>
          <cell r="BY2410">
            <v>4516</v>
          </cell>
        </row>
        <row r="2411">
          <cell r="BT2411">
            <v>-31620</v>
          </cell>
          <cell r="BY2411">
            <v>31620</v>
          </cell>
        </row>
        <row r="2412">
          <cell r="BT2412">
            <v>-990</v>
          </cell>
          <cell r="BY2412">
            <v>990</v>
          </cell>
        </row>
        <row r="2413">
          <cell r="BT2413">
            <v>-3808</v>
          </cell>
          <cell r="BY2413">
            <v>3808</v>
          </cell>
        </row>
        <row r="2414">
          <cell r="BT2414">
            <v>-796</v>
          </cell>
          <cell r="BY2414">
            <v>796</v>
          </cell>
        </row>
        <row r="2415">
          <cell r="BT2415">
            <v>-1875</v>
          </cell>
          <cell r="BY2415">
            <v>1875</v>
          </cell>
        </row>
        <row r="2416">
          <cell r="BT2416">
            <v>-926</v>
          </cell>
          <cell r="BY2416">
            <v>926</v>
          </cell>
        </row>
        <row r="2417">
          <cell r="BT2417">
            <v>-1826.9</v>
          </cell>
          <cell r="BY2417">
            <v>1826.9</v>
          </cell>
        </row>
        <row r="2418">
          <cell r="BT2418">
            <v>-4499.83</v>
          </cell>
          <cell r="BY2418">
            <v>4499.83</v>
          </cell>
        </row>
        <row r="2419">
          <cell r="BT2419">
            <v>-4750.0600000000004</v>
          </cell>
          <cell r="BY2419">
            <v>4750.0600000000004</v>
          </cell>
        </row>
        <row r="2420">
          <cell r="BT2420">
            <v>-5940.15</v>
          </cell>
          <cell r="BY2420">
            <v>5940.15</v>
          </cell>
        </row>
        <row r="2421">
          <cell r="BT2421">
            <v>-8100.09</v>
          </cell>
          <cell r="BY2421">
            <v>8100.09</v>
          </cell>
        </row>
        <row r="2422">
          <cell r="BT2422">
            <v>859.52</v>
          </cell>
          <cell r="BY2422">
            <v>859.52</v>
          </cell>
        </row>
        <row r="2423">
          <cell r="BT2423">
            <v>20740</v>
          </cell>
          <cell r="BY2423">
            <v>20740</v>
          </cell>
        </row>
        <row r="2424">
          <cell r="BT2424">
            <v>17864.509999999998</v>
          </cell>
          <cell r="BY2424">
            <v>17864.509999999998</v>
          </cell>
        </row>
        <row r="2425">
          <cell r="BT2425">
            <v>15650.74</v>
          </cell>
          <cell r="BY2425">
            <v>15650.74</v>
          </cell>
        </row>
        <row r="2426">
          <cell r="BT2426">
            <v>2604.16</v>
          </cell>
          <cell r="BY2426">
            <v>2604.16</v>
          </cell>
        </row>
        <row r="2427">
          <cell r="BT2427">
            <v>3930.07</v>
          </cell>
          <cell r="BY2427">
            <v>3930.07</v>
          </cell>
        </row>
        <row r="2428">
          <cell r="BT2428">
            <v>183.8</v>
          </cell>
          <cell r="BY2428">
            <v>183.8</v>
          </cell>
        </row>
        <row r="2429">
          <cell r="BT2429">
            <v>-475.03</v>
          </cell>
          <cell r="BY2429">
            <v>475.03</v>
          </cell>
        </row>
        <row r="2430">
          <cell r="BT2430">
            <v>47.5</v>
          </cell>
          <cell r="BY2430">
            <v>47.5</v>
          </cell>
        </row>
        <row r="2431">
          <cell r="BT2431">
            <v>-1050.03</v>
          </cell>
          <cell r="BY2431">
            <v>1050.03</v>
          </cell>
        </row>
        <row r="2432">
          <cell r="BT2432">
            <v>105</v>
          </cell>
          <cell r="BY2432">
            <v>105</v>
          </cell>
        </row>
        <row r="2433">
          <cell r="BT2433">
            <v>-6143.84</v>
          </cell>
          <cell r="BY2433">
            <v>6143.84</v>
          </cell>
        </row>
        <row r="2434">
          <cell r="BT2434">
            <v>614.38</v>
          </cell>
          <cell r="BY2434">
            <v>614.38</v>
          </cell>
        </row>
        <row r="2435">
          <cell r="BT2435">
            <v>-848.51</v>
          </cell>
          <cell r="BY2435">
            <v>848.51</v>
          </cell>
        </row>
        <row r="2436">
          <cell r="BT2436">
            <v>84.85</v>
          </cell>
          <cell r="BY2436">
            <v>84.85</v>
          </cell>
        </row>
        <row r="2437">
          <cell r="BT2437">
            <v>-1129.55</v>
          </cell>
          <cell r="BY2437">
            <v>1129.55</v>
          </cell>
        </row>
        <row r="2438">
          <cell r="BT2438">
            <v>112.95</v>
          </cell>
          <cell r="BY2438">
            <v>112.95</v>
          </cell>
        </row>
        <row r="2439">
          <cell r="BT2439">
            <v>-19639.64</v>
          </cell>
          <cell r="BY2439">
            <v>19639.64</v>
          </cell>
        </row>
        <row r="2440">
          <cell r="BT2440">
            <v>-5197.93</v>
          </cell>
          <cell r="BY2440">
            <v>5197.93</v>
          </cell>
        </row>
        <row r="2441">
          <cell r="BT2441">
            <v>-1973.99</v>
          </cell>
          <cell r="BY2441">
            <v>1973.99</v>
          </cell>
        </row>
        <row r="2442">
          <cell r="BT2442">
            <v>-2699.96</v>
          </cell>
          <cell r="BY2442">
            <v>2699.96</v>
          </cell>
        </row>
        <row r="2443">
          <cell r="BT2443">
            <v>-43559.38</v>
          </cell>
          <cell r="BY2443">
            <v>43559.38</v>
          </cell>
        </row>
        <row r="2444">
          <cell r="BT2444">
            <v>-2849.89</v>
          </cell>
          <cell r="BY2444">
            <v>2849.89</v>
          </cell>
        </row>
        <row r="2445">
          <cell r="BT2445">
            <v>-21599.69</v>
          </cell>
          <cell r="BY2445">
            <v>21599.69</v>
          </cell>
        </row>
        <row r="2446">
          <cell r="BT2446">
            <v>-7318</v>
          </cell>
          <cell r="BY2446">
            <v>7318</v>
          </cell>
        </row>
        <row r="2447">
          <cell r="BT2447">
            <v>-2508.1999999999998</v>
          </cell>
          <cell r="BY2447">
            <v>2508.1999999999998</v>
          </cell>
        </row>
        <row r="2448">
          <cell r="BT2448">
            <v>-256.85000000000002</v>
          </cell>
          <cell r="BY2448">
            <v>256.85000000000002</v>
          </cell>
        </row>
        <row r="2449">
          <cell r="BT2449">
            <v>-105</v>
          </cell>
          <cell r="BY2449">
            <v>105</v>
          </cell>
        </row>
        <row r="2450">
          <cell r="BT2450">
            <v>105</v>
          </cell>
          <cell r="BY2450">
            <v>105</v>
          </cell>
        </row>
        <row r="2451">
          <cell r="BT2451">
            <v>677.5</v>
          </cell>
          <cell r="BY2451">
            <v>677.5</v>
          </cell>
        </row>
        <row r="2452">
          <cell r="BT2452">
            <v>2475</v>
          </cell>
          <cell r="BY2452">
            <v>2475</v>
          </cell>
        </row>
        <row r="2453">
          <cell r="BT2453">
            <v>2475</v>
          </cell>
          <cell r="BY2453">
            <v>2475</v>
          </cell>
        </row>
        <row r="2454">
          <cell r="BT2454">
            <v>-2475</v>
          </cell>
          <cell r="BY2454">
            <v>2475</v>
          </cell>
        </row>
        <row r="2455">
          <cell r="BT2455">
            <v>639</v>
          </cell>
          <cell r="BY2455">
            <v>639</v>
          </cell>
        </row>
        <row r="2456">
          <cell r="BT2456">
            <v>1828</v>
          </cell>
          <cell r="BY2456">
            <v>1828</v>
          </cell>
        </row>
        <row r="2457">
          <cell r="BT2457">
            <v>768.53</v>
          </cell>
          <cell r="BY2457">
            <v>768.53</v>
          </cell>
        </row>
        <row r="2458">
          <cell r="BT2458">
            <v>3000.15</v>
          </cell>
          <cell r="BY2458">
            <v>3000.15</v>
          </cell>
        </row>
        <row r="2459">
          <cell r="BT2459">
            <v>17600.73</v>
          </cell>
          <cell r="BY2459">
            <v>17600.73</v>
          </cell>
        </row>
        <row r="2460">
          <cell r="BT2460">
            <v>918.98</v>
          </cell>
          <cell r="BY2460">
            <v>918.98</v>
          </cell>
        </row>
        <row r="2461">
          <cell r="BT2461">
            <v>950.05</v>
          </cell>
          <cell r="BY2461">
            <v>950.05</v>
          </cell>
        </row>
        <row r="2462">
          <cell r="BT2462">
            <v>5250.13</v>
          </cell>
          <cell r="BY2462">
            <v>5250.13</v>
          </cell>
        </row>
        <row r="2463">
          <cell r="BT2463">
            <v>20792.62</v>
          </cell>
          <cell r="BY2463">
            <v>20792.62</v>
          </cell>
        </row>
        <row r="2464">
          <cell r="BT2464">
            <v>6564.32</v>
          </cell>
          <cell r="BY2464">
            <v>6564.32</v>
          </cell>
        </row>
        <row r="2465">
          <cell r="BT2465">
            <v>15359.61</v>
          </cell>
          <cell r="BY2465">
            <v>15359.61</v>
          </cell>
        </row>
        <row r="2466">
          <cell r="BT2466">
            <v>9548.7099999999991</v>
          </cell>
          <cell r="BY2466">
            <v>9548.7099999999991</v>
          </cell>
        </row>
        <row r="2467">
          <cell r="BT2467">
            <v>8485.14</v>
          </cell>
          <cell r="BY2467">
            <v>8485.14</v>
          </cell>
        </row>
        <row r="2468">
          <cell r="BT2468">
            <v>-3600.13</v>
          </cell>
          <cell r="BY2468">
            <v>3600.13</v>
          </cell>
        </row>
        <row r="2469">
          <cell r="BT2469">
            <v>360.01</v>
          </cell>
          <cell r="BY2469">
            <v>360.01</v>
          </cell>
        </row>
        <row r="2470">
          <cell r="BT2470">
            <v>-11520.19</v>
          </cell>
          <cell r="BY2470">
            <v>11520.19</v>
          </cell>
        </row>
        <row r="2471">
          <cell r="BT2471">
            <v>1152.02</v>
          </cell>
          <cell r="BY2471">
            <v>1152.02</v>
          </cell>
        </row>
        <row r="2472">
          <cell r="BT2472">
            <v>-608.97</v>
          </cell>
          <cell r="BY2472">
            <v>608.97</v>
          </cell>
        </row>
        <row r="2473">
          <cell r="BT2473">
            <v>60.9</v>
          </cell>
          <cell r="BY2473">
            <v>60.9</v>
          </cell>
        </row>
        <row r="2474">
          <cell r="BT2474">
            <v>1828</v>
          </cell>
          <cell r="BY2474">
            <v>1828</v>
          </cell>
        </row>
        <row r="2475">
          <cell r="BT2475">
            <v>-1828</v>
          </cell>
          <cell r="BY2475">
            <v>1828</v>
          </cell>
        </row>
        <row r="2476">
          <cell r="BT2476">
            <v>33880</v>
          </cell>
          <cell r="BY2476">
            <v>33880</v>
          </cell>
        </row>
        <row r="2477">
          <cell r="BT2477">
            <v>1884</v>
          </cell>
          <cell r="BY2477">
            <v>1884</v>
          </cell>
        </row>
        <row r="2478">
          <cell r="BT2478">
            <v>4914</v>
          </cell>
          <cell r="BY2478">
            <v>4914</v>
          </cell>
        </row>
        <row r="2479">
          <cell r="BT2479">
            <v>4540</v>
          </cell>
          <cell r="BY2479">
            <v>4540</v>
          </cell>
        </row>
        <row r="2480">
          <cell r="BT2480">
            <v>5502</v>
          </cell>
          <cell r="BY2480">
            <v>5502</v>
          </cell>
        </row>
        <row r="2481">
          <cell r="BT2481">
            <v>5292</v>
          </cell>
          <cell r="BY2481">
            <v>5292</v>
          </cell>
        </row>
        <row r="2482">
          <cell r="BT2482">
            <v>4516</v>
          </cell>
          <cell r="BY2482">
            <v>4516</v>
          </cell>
        </row>
        <row r="2483">
          <cell r="BT2483">
            <v>31620</v>
          </cell>
          <cell r="BY2483">
            <v>31620</v>
          </cell>
        </row>
        <row r="2484">
          <cell r="BT2484">
            <v>990</v>
          </cell>
          <cell r="BY2484">
            <v>990</v>
          </cell>
        </row>
        <row r="2485">
          <cell r="BT2485">
            <v>12224.64</v>
          </cell>
          <cell r="BY2485">
            <v>12224.64</v>
          </cell>
        </row>
        <row r="2486">
          <cell r="BT2486">
            <v>4299.88</v>
          </cell>
          <cell r="BY2486">
            <v>4299.88</v>
          </cell>
        </row>
        <row r="2487">
          <cell r="BT2487">
            <v>10704.25</v>
          </cell>
          <cell r="BY2487">
            <v>10704.25</v>
          </cell>
        </row>
        <row r="2488">
          <cell r="BT2488">
            <v>18000.63</v>
          </cell>
          <cell r="BY2488">
            <v>18000.63</v>
          </cell>
        </row>
        <row r="2489">
          <cell r="BT2489">
            <v>57600.97</v>
          </cell>
          <cell r="BY2489">
            <v>57600.97</v>
          </cell>
        </row>
        <row r="2490">
          <cell r="BT2490">
            <v>571.05999999999995</v>
          </cell>
          <cell r="BY2490">
            <v>571.05999999999995</v>
          </cell>
        </row>
        <row r="2491">
          <cell r="BT2491">
            <v>1826.9</v>
          </cell>
          <cell r="BY2491">
            <v>1826.9</v>
          </cell>
        </row>
        <row r="2492">
          <cell r="BT2492">
            <v>4499.83</v>
          </cell>
          <cell r="BY2492">
            <v>4499.83</v>
          </cell>
        </row>
        <row r="2493">
          <cell r="BT2493">
            <v>4750.0600000000004</v>
          </cell>
          <cell r="BY2493">
            <v>4750.0600000000004</v>
          </cell>
        </row>
        <row r="2494">
          <cell r="BT2494">
            <v>5940.15</v>
          </cell>
          <cell r="BY2494">
            <v>5940.15</v>
          </cell>
        </row>
        <row r="2495">
          <cell r="BT2495">
            <v>8100.09</v>
          </cell>
          <cell r="BY2495">
            <v>8100.09</v>
          </cell>
        </row>
        <row r="2496">
          <cell r="BT2496">
            <v>3808</v>
          </cell>
          <cell r="BY2496">
            <v>3808</v>
          </cell>
        </row>
        <row r="2497">
          <cell r="BT2497">
            <v>796</v>
          </cell>
          <cell r="BY2497">
            <v>796</v>
          </cell>
        </row>
        <row r="2498">
          <cell r="BT2498">
            <v>1875</v>
          </cell>
          <cell r="BY2498">
            <v>1875</v>
          </cell>
        </row>
        <row r="2499">
          <cell r="BT2499">
            <v>926</v>
          </cell>
          <cell r="BY2499">
            <v>926</v>
          </cell>
        </row>
        <row r="2500">
          <cell r="BT2500">
            <v>7318</v>
          </cell>
          <cell r="BY2500">
            <v>7318</v>
          </cell>
        </row>
        <row r="2501">
          <cell r="BT2501">
            <v>2508.1999999999998</v>
          </cell>
          <cell r="BY2501">
            <v>2508.1999999999998</v>
          </cell>
        </row>
        <row r="2502">
          <cell r="BT2502">
            <v>256.85000000000002</v>
          </cell>
          <cell r="BY2502">
            <v>256.85000000000002</v>
          </cell>
        </row>
        <row r="2503">
          <cell r="BT2503">
            <v>105</v>
          </cell>
          <cell r="BY2503">
            <v>105</v>
          </cell>
        </row>
        <row r="2504">
          <cell r="BT2504">
            <v>-105</v>
          </cell>
          <cell r="BY2504">
            <v>105</v>
          </cell>
        </row>
        <row r="2505">
          <cell r="BT2505">
            <v>-677.5</v>
          </cell>
          <cell r="BY2505">
            <v>677.5</v>
          </cell>
        </row>
        <row r="2506">
          <cell r="BT2506">
            <v>-2475</v>
          </cell>
          <cell r="BY2506">
            <v>2475</v>
          </cell>
        </row>
        <row r="2507">
          <cell r="BT2507">
            <v>-859.52</v>
          </cell>
          <cell r="BY2507">
            <v>859.52</v>
          </cell>
        </row>
        <row r="2508">
          <cell r="BT2508">
            <v>-20740</v>
          </cell>
          <cell r="BY2508">
            <v>20740</v>
          </cell>
        </row>
        <row r="2509">
          <cell r="BT2509">
            <v>-17864.509999999998</v>
          </cell>
          <cell r="BY2509">
            <v>17864.509999999998</v>
          </cell>
        </row>
        <row r="2510">
          <cell r="BT2510">
            <v>-15650.74</v>
          </cell>
          <cell r="BY2510">
            <v>15650.74</v>
          </cell>
        </row>
        <row r="2511">
          <cell r="BT2511">
            <v>-2604.16</v>
          </cell>
          <cell r="BY2511">
            <v>2604.16</v>
          </cell>
        </row>
        <row r="2512">
          <cell r="BT2512">
            <v>-3930.07</v>
          </cell>
          <cell r="BY2512">
            <v>3930.07</v>
          </cell>
        </row>
        <row r="2513">
          <cell r="BT2513">
            <v>-768.53</v>
          </cell>
          <cell r="BY2513">
            <v>768.53</v>
          </cell>
        </row>
        <row r="2514">
          <cell r="BT2514">
            <v>-3000.15</v>
          </cell>
          <cell r="BY2514">
            <v>3000.15</v>
          </cell>
        </row>
        <row r="2515">
          <cell r="BT2515">
            <v>-17600.73</v>
          </cell>
          <cell r="BY2515">
            <v>17600.73</v>
          </cell>
        </row>
        <row r="2516">
          <cell r="BT2516">
            <v>-918.98</v>
          </cell>
          <cell r="BY2516">
            <v>918.98</v>
          </cell>
        </row>
        <row r="2517">
          <cell r="BT2517">
            <v>70</v>
          </cell>
          <cell r="BY2517">
            <v>70</v>
          </cell>
        </row>
        <row r="2518">
          <cell r="BT2518">
            <v>57</v>
          </cell>
          <cell r="BY2518">
            <v>57</v>
          </cell>
        </row>
        <row r="2519">
          <cell r="BT2519">
            <v>82.5</v>
          </cell>
          <cell r="BY2519">
            <v>82.5</v>
          </cell>
        </row>
        <row r="2520">
          <cell r="BT2520">
            <v>1200</v>
          </cell>
          <cell r="BY2520">
            <v>1200</v>
          </cell>
        </row>
        <row r="2521">
          <cell r="BT2521">
            <v>-2475</v>
          </cell>
          <cell r="BY2521">
            <v>2475</v>
          </cell>
        </row>
        <row r="2522">
          <cell r="BT2522">
            <v>2475</v>
          </cell>
          <cell r="BY2522">
            <v>2475</v>
          </cell>
        </row>
        <row r="2523">
          <cell r="BT2523">
            <v>-639</v>
          </cell>
          <cell r="BY2523">
            <v>639</v>
          </cell>
        </row>
        <row r="2524">
          <cell r="BT2524">
            <v>-1828</v>
          </cell>
          <cell r="BY2524">
            <v>1828</v>
          </cell>
        </row>
        <row r="2525">
          <cell r="BT2525">
            <v>-1828</v>
          </cell>
          <cell r="BY2525">
            <v>1828</v>
          </cell>
        </row>
        <row r="2526">
          <cell r="BT2526">
            <v>1828</v>
          </cell>
          <cell r="BY2526">
            <v>1828</v>
          </cell>
        </row>
        <row r="2527">
          <cell r="BT2527">
            <v>-33880</v>
          </cell>
          <cell r="BY2527">
            <v>33880</v>
          </cell>
        </row>
        <row r="2528">
          <cell r="BT2528">
            <v>-1884</v>
          </cell>
          <cell r="BY2528">
            <v>1884</v>
          </cell>
        </row>
        <row r="2529">
          <cell r="BT2529">
            <v>-4914</v>
          </cell>
          <cell r="BY2529">
            <v>4914</v>
          </cell>
        </row>
        <row r="2530">
          <cell r="BT2530">
            <v>-4540</v>
          </cell>
          <cell r="BY2530">
            <v>4540</v>
          </cell>
        </row>
        <row r="2531">
          <cell r="BT2531">
            <v>-5502</v>
          </cell>
          <cell r="BY2531">
            <v>5502</v>
          </cell>
        </row>
        <row r="2532">
          <cell r="BT2532">
            <v>-950.05</v>
          </cell>
          <cell r="BY2532">
            <v>950.05</v>
          </cell>
        </row>
        <row r="2533">
          <cell r="BT2533">
            <v>-5250.13</v>
          </cell>
          <cell r="BY2533">
            <v>5250.13</v>
          </cell>
        </row>
        <row r="2534">
          <cell r="BT2534">
            <v>-20792.62</v>
          </cell>
          <cell r="BY2534">
            <v>20792.62</v>
          </cell>
        </row>
        <row r="2535">
          <cell r="BT2535">
            <v>-6564.32</v>
          </cell>
          <cell r="BY2535">
            <v>6564.32</v>
          </cell>
        </row>
        <row r="2536">
          <cell r="BT2536">
            <v>-15359.61</v>
          </cell>
          <cell r="BY2536">
            <v>15359.61</v>
          </cell>
        </row>
        <row r="2537">
          <cell r="BT2537">
            <v>-9548.7099999999991</v>
          </cell>
          <cell r="BY2537">
            <v>9548.7099999999991</v>
          </cell>
        </row>
        <row r="2538">
          <cell r="BT2538">
            <v>-8485.14</v>
          </cell>
          <cell r="BY2538">
            <v>8485.14</v>
          </cell>
        </row>
        <row r="2539">
          <cell r="BT2539">
            <v>-12224.64</v>
          </cell>
          <cell r="BY2539">
            <v>12224.64</v>
          </cell>
        </row>
        <row r="2540">
          <cell r="BT2540">
            <v>-4299.88</v>
          </cell>
          <cell r="BY2540">
            <v>4299.88</v>
          </cell>
        </row>
        <row r="2541">
          <cell r="BT2541">
            <v>-10704.25</v>
          </cell>
          <cell r="BY2541">
            <v>10704.25</v>
          </cell>
        </row>
        <row r="2542">
          <cell r="BT2542">
            <v>-18000.63</v>
          </cell>
          <cell r="BY2542">
            <v>18000.63</v>
          </cell>
        </row>
        <row r="2543">
          <cell r="BT2543">
            <v>-7825</v>
          </cell>
          <cell r="BY2543">
            <v>7825</v>
          </cell>
        </row>
        <row r="2544">
          <cell r="BT2544">
            <v>782.5</v>
          </cell>
          <cell r="BY2544">
            <v>782.5</v>
          </cell>
        </row>
        <row r="2545">
          <cell r="BT2545">
            <v>-1430</v>
          </cell>
          <cell r="BY2545">
            <v>1430</v>
          </cell>
        </row>
        <row r="2546">
          <cell r="BT2546">
            <v>143</v>
          </cell>
          <cell r="BY2546">
            <v>143</v>
          </cell>
        </row>
        <row r="2547">
          <cell r="BT2547">
            <v>-1760</v>
          </cell>
          <cell r="BY2547">
            <v>1760</v>
          </cell>
        </row>
        <row r="2548">
          <cell r="BT2548">
            <v>176</v>
          </cell>
          <cell r="BY2548">
            <v>176</v>
          </cell>
        </row>
        <row r="2549">
          <cell r="BT2549">
            <v>-1838</v>
          </cell>
          <cell r="BY2549">
            <v>1838</v>
          </cell>
        </row>
        <row r="2550">
          <cell r="BT2550">
            <v>183.8</v>
          </cell>
          <cell r="BY2550">
            <v>183.8</v>
          </cell>
        </row>
        <row r="2551">
          <cell r="BT2551">
            <v>400</v>
          </cell>
          <cell r="BY2551">
            <v>400</v>
          </cell>
        </row>
        <row r="2552">
          <cell r="BT2552">
            <v>2720</v>
          </cell>
          <cell r="BY2552">
            <v>2720</v>
          </cell>
        </row>
        <row r="2553">
          <cell r="BT2553">
            <v>136.5</v>
          </cell>
          <cell r="BY2553">
            <v>136.5</v>
          </cell>
        </row>
        <row r="2554">
          <cell r="BT2554">
            <v>360</v>
          </cell>
          <cell r="BY2554">
            <v>360</v>
          </cell>
        </row>
        <row r="2555">
          <cell r="BT2555">
            <v>805</v>
          </cell>
          <cell r="BY2555">
            <v>805</v>
          </cell>
        </row>
        <row r="2556">
          <cell r="BT2556">
            <v>108</v>
          </cell>
          <cell r="BY2556">
            <v>108</v>
          </cell>
        </row>
        <row r="2557">
          <cell r="BT2557">
            <v>4600</v>
          </cell>
          <cell r="BY2557">
            <v>4600</v>
          </cell>
        </row>
        <row r="2558">
          <cell r="BT2558">
            <v>115</v>
          </cell>
          <cell r="BY2558">
            <v>115</v>
          </cell>
        </row>
        <row r="2559">
          <cell r="BT2559">
            <v>154.5</v>
          </cell>
          <cell r="BY2559">
            <v>154.5</v>
          </cell>
        </row>
        <row r="2560">
          <cell r="BT2560">
            <v>-5292</v>
          </cell>
          <cell r="BY2560">
            <v>5292</v>
          </cell>
        </row>
        <row r="2561">
          <cell r="BT2561">
            <v>-4516</v>
          </cell>
          <cell r="BY2561">
            <v>4516</v>
          </cell>
        </row>
        <row r="2562">
          <cell r="BT2562">
            <v>-31620</v>
          </cell>
          <cell r="BY2562">
            <v>31620</v>
          </cell>
        </row>
        <row r="2563">
          <cell r="BT2563">
            <v>-990</v>
          </cell>
          <cell r="BY2563">
            <v>990</v>
          </cell>
        </row>
        <row r="2564">
          <cell r="BT2564">
            <v>-3808</v>
          </cell>
          <cell r="BY2564">
            <v>3808</v>
          </cell>
        </row>
        <row r="2565">
          <cell r="BT2565">
            <v>-796</v>
          </cell>
          <cell r="BY2565">
            <v>796</v>
          </cell>
        </row>
        <row r="2566">
          <cell r="BT2566">
            <v>-1875</v>
          </cell>
          <cell r="BY2566">
            <v>1875</v>
          </cell>
        </row>
        <row r="2567">
          <cell r="BT2567">
            <v>-926</v>
          </cell>
          <cell r="BY2567">
            <v>926</v>
          </cell>
        </row>
        <row r="2568">
          <cell r="BT2568">
            <v>-7318</v>
          </cell>
          <cell r="BY2568">
            <v>7318</v>
          </cell>
        </row>
        <row r="2569">
          <cell r="BT2569">
            <v>-2508.1999999999998</v>
          </cell>
          <cell r="BY2569">
            <v>2508.1999999999998</v>
          </cell>
        </row>
        <row r="2570">
          <cell r="BT2570">
            <v>-256.85000000000002</v>
          </cell>
          <cell r="BY2570">
            <v>256.85000000000002</v>
          </cell>
        </row>
        <row r="2571">
          <cell r="BT2571">
            <v>-57600.97</v>
          </cell>
          <cell r="BY2571">
            <v>57600.97</v>
          </cell>
        </row>
        <row r="2572">
          <cell r="BT2572">
            <v>-571.05999999999995</v>
          </cell>
          <cell r="BY2572">
            <v>571.05999999999995</v>
          </cell>
        </row>
        <row r="2573">
          <cell r="BT2573">
            <v>-1826.9</v>
          </cell>
          <cell r="BY2573">
            <v>1826.9</v>
          </cell>
        </row>
        <row r="2574">
          <cell r="BT2574">
            <v>-4499.83</v>
          </cell>
          <cell r="BY2574">
            <v>4499.83</v>
          </cell>
        </row>
        <row r="2575">
          <cell r="BT2575">
            <v>-4750.0600000000004</v>
          </cell>
          <cell r="BY2575">
            <v>4750.0600000000004</v>
          </cell>
        </row>
        <row r="2576">
          <cell r="BT2576">
            <v>-5940.15</v>
          </cell>
          <cell r="BY2576">
            <v>5940.15</v>
          </cell>
        </row>
        <row r="2577">
          <cell r="BT2577">
            <v>-8100.09</v>
          </cell>
          <cell r="BY2577">
            <v>8100.09</v>
          </cell>
        </row>
        <row r="2578">
          <cell r="BT2578">
            <v>-475</v>
          </cell>
          <cell r="BY2578">
            <v>475</v>
          </cell>
        </row>
        <row r="2579">
          <cell r="BT2579">
            <v>47.5</v>
          </cell>
          <cell r="BY2579">
            <v>47.5</v>
          </cell>
        </row>
        <row r="2580">
          <cell r="BT2580">
            <v>-1050</v>
          </cell>
          <cell r="BY2580">
            <v>1050</v>
          </cell>
        </row>
        <row r="2581">
          <cell r="BT2581">
            <v>105</v>
          </cell>
          <cell r="BY2581">
            <v>105</v>
          </cell>
        </row>
        <row r="2582">
          <cell r="BT2582">
            <v>-6144</v>
          </cell>
          <cell r="BY2582">
            <v>6144</v>
          </cell>
        </row>
        <row r="2583">
          <cell r="BT2583">
            <v>614.4</v>
          </cell>
          <cell r="BY2583">
            <v>614.4</v>
          </cell>
        </row>
        <row r="2584">
          <cell r="BT2584">
            <v>-848.5</v>
          </cell>
          <cell r="BY2584">
            <v>848.5</v>
          </cell>
        </row>
        <row r="2585">
          <cell r="BT2585">
            <v>84.85</v>
          </cell>
          <cell r="BY2585">
            <v>84.85</v>
          </cell>
        </row>
        <row r="2586">
          <cell r="BT2586">
            <v>-1129.5</v>
          </cell>
          <cell r="BY2586">
            <v>1129.5</v>
          </cell>
        </row>
        <row r="2587">
          <cell r="BT2587">
            <v>112.95</v>
          </cell>
          <cell r="BY2587">
            <v>112.95</v>
          </cell>
        </row>
        <row r="2588">
          <cell r="BT2588">
            <v>-3600</v>
          </cell>
          <cell r="BY2588">
            <v>3600</v>
          </cell>
        </row>
        <row r="2589">
          <cell r="BT2589">
            <v>-10704.25</v>
          </cell>
          <cell r="BY2589">
            <v>10704.25</v>
          </cell>
        </row>
        <row r="2590">
          <cell r="BT2590">
            <v>-18000.63</v>
          </cell>
          <cell r="BY2590">
            <v>18000.63</v>
          </cell>
        </row>
        <row r="2591">
          <cell r="BT2591">
            <v>-57600.97</v>
          </cell>
          <cell r="BY2591">
            <v>57600.97</v>
          </cell>
        </row>
        <row r="2592">
          <cell r="BT2592">
            <v>-571.05999999999995</v>
          </cell>
          <cell r="BY2592">
            <v>571.05999999999995</v>
          </cell>
        </row>
        <row r="2593">
          <cell r="BT2593">
            <v>-1826.9</v>
          </cell>
          <cell r="BY2593">
            <v>1826.9</v>
          </cell>
        </row>
        <row r="2594">
          <cell r="BT2594">
            <v>-4499.83</v>
          </cell>
          <cell r="BY2594">
            <v>4499.83</v>
          </cell>
        </row>
        <row r="2595">
          <cell r="BT2595">
            <v>-4750.0600000000004</v>
          </cell>
          <cell r="BY2595">
            <v>4750.0600000000004</v>
          </cell>
        </row>
        <row r="2596">
          <cell r="BT2596">
            <v>-5940.15</v>
          </cell>
          <cell r="BY2596">
            <v>5940.15</v>
          </cell>
        </row>
        <row r="2597">
          <cell r="BT2597">
            <v>-8100.09</v>
          </cell>
          <cell r="BY2597">
            <v>8100.09</v>
          </cell>
        </row>
        <row r="2598">
          <cell r="BT2598">
            <v>-1152.02</v>
          </cell>
          <cell r="BY2598">
            <v>1152.02</v>
          </cell>
        </row>
        <row r="2599">
          <cell r="BT2599">
            <v>608.97</v>
          </cell>
          <cell r="BY2599">
            <v>608.97</v>
          </cell>
        </row>
        <row r="2600">
          <cell r="BT2600">
            <v>-60.9</v>
          </cell>
          <cell r="BY2600">
            <v>60.9</v>
          </cell>
        </row>
        <row r="2601">
          <cell r="BT2601">
            <v>-7825.36</v>
          </cell>
          <cell r="BY2601">
            <v>7825.36</v>
          </cell>
        </row>
        <row r="2602">
          <cell r="BT2602">
            <v>782.54</v>
          </cell>
          <cell r="BY2602">
            <v>782.54</v>
          </cell>
        </row>
        <row r="2603">
          <cell r="BT2603">
            <v>-1429.99</v>
          </cell>
          <cell r="BY2603">
            <v>1429.99</v>
          </cell>
        </row>
        <row r="2604">
          <cell r="BT2604">
            <v>143</v>
          </cell>
          <cell r="BY2604">
            <v>143</v>
          </cell>
        </row>
        <row r="2605">
          <cell r="BT2605">
            <v>-1760.07</v>
          </cell>
          <cell r="BY2605">
            <v>1760.07</v>
          </cell>
        </row>
        <row r="2606">
          <cell r="BT2606">
            <v>176.01</v>
          </cell>
          <cell r="BY2606">
            <v>176.01</v>
          </cell>
        </row>
        <row r="2607">
          <cell r="BT2607">
            <v>-1837.97</v>
          </cell>
          <cell r="BY2607">
            <v>1837.97</v>
          </cell>
        </row>
        <row r="2608">
          <cell r="BT2608">
            <v>183.8</v>
          </cell>
          <cell r="BY2608">
            <v>183.8</v>
          </cell>
        </row>
        <row r="2609">
          <cell r="BT2609">
            <v>17.850000000000001</v>
          </cell>
          <cell r="BY2609">
            <v>17.850000000000001</v>
          </cell>
        </row>
        <row r="2610">
          <cell r="BT2610">
            <v>-1386</v>
          </cell>
          <cell r="BY2610">
            <v>1386</v>
          </cell>
        </row>
        <row r="2611">
          <cell r="BT2611">
            <v>69.3</v>
          </cell>
          <cell r="BY2611">
            <v>69.3</v>
          </cell>
        </row>
        <row r="2612">
          <cell r="BT2612">
            <v>-20425</v>
          </cell>
          <cell r="BY2612">
            <v>20425</v>
          </cell>
        </row>
        <row r="2613">
          <cell r="BT2613">
            <v>1021.23</v>
          </cell>
          <cell r="BY2613">
            <v>1021.23</v>
          </cell>
        </row>
        <row r="2614">
          <cell r="BT2614">
            <v>-550</v>
          </cell>
          <cell r="BY2614">
            <v>550</v>
          </cell>
        </row>
        <row r="2615">
          <cell r="BT2615">
            <v>27.5</v>
          </cell>
          <cell r="BY2615">
            <v>27.5</v>
          </cell>
        </row>
        <row r="2616">
          <cell r="BT2616">
            <v>-240.75</v>
          </cell>
          <cell r="BY2616">
            <v>240.75</v>
          </cell>
        </row>
        <row r="2617">
          <cell r="BT2617">
            <v>12.04</v>
          </cell>
          <cell r="BY2617">
            <v>12.04</v>
          </cell>
        </row>
        <row r="2618">
          <cell r="BT2618">
            <v>-1230</v>
          </cell>
          <cell r="BY2618">
            <v>1230</v>
          </cell>
        </row>
        <row r="2619">
          <cell r="BT2619">
            <v>61.5</v>
          </cell>
          <cell r="BY2619">
            <v>61.5</v>
          </cell>
        </row>
        <row r="2620">
          <cell r="BT2620">
            <v>-475.03</v>
          </cell>
          <cell r="BY2620">
            <v>475.03</v>
          </cell>
        </row>
        <row r="2621">
          <cell r="BT2621">
            <v>47.5</v>
          </cell>
          <cell r="BY2621">
            <v>47.5</v>
          </cell>
        </row>
        <row r="2622">
          <cell r="BT2622">
            <v>-1050.03</v>
          </cell>
          <cell r="BY2622">
            <v>1050.03</v>
          </cell>
        </row>
        <row r="2623">
          <cell r="BT2623">
            <v>105</v>
          </cell>
          <cell r="BY2623">
            <v>105</v>
          </cell>
        </row>
        <row r="2624">
          <cell r="BT2624">
            <v>-6143.84</v>
          </cell>
          <cell r="BY2624">
            <v>6143.84</v>
          </cell>
        </row>
        <row r="2625">
          <cell r="BT2625">
            <v>614.38</v>
          </cell>
          <cell r="BY2625">
            <v>614.38</v>
          </cell>
        </row>
        <row r="2626">
          <cell r="BT2626">
            <v>-848.51</v>
          </cell>
          <cell r="BY2626">
            <v>848.51</v>
          </cell>
        </row>
        <row r="2627">
          <cell r="BT2627">
            <v>84.85</v>
          </cell>
          <cell r="BY2627">
            <v>84.85</v>
          </cell>
        </row>
        <row r="2628">
          <cell r="BT2628">
            <v>-1129.55</v>
          </cell>
          <cell r="BY2628">
            <v>1129.55</v>
          </cell>
        </row>
        <row r="2629">
          <cell r="BT2629">
            <v>112.95</v>
          </cell>
          <cell r="BY2629">
            <v>112.95</v>
          </cell>
        </row>
        <row r="2630">
          <cell r="BT2630">
            <v>-3600.13</v>
          </cell>
          <cell r="BY2630">
            <v>3600.13</v>
          </cell>
        </row>
        <row r="2631">
          <cell r="BT2631">
            <v>-513.45000000000005</v>
          </cell>
          <cell r="BY2631">
            <v>513.45000000000005</v>
          </cell>
        </row>
        <row r="2632">
          <cell r="BT2632">
            <v>25.67</v>
          </cell>
          <cell r="BY2632">
            <v>25.67</v>
          </cell>
        </row>
        <row r="2633">
          <cell r="BT2633">
            <v>-4762.5</v>
          </cell>
          <cell r="BY2633">
            <v>4762.5</v>
          </cell>
        </row>
        <row r="2634">
          <cell r="BT2634">
            <v>238.13</v>
          </cell>
          <cell r="BY2634">
            <v>238.13</v>
          </cell>
        </row>
        <row r="2635">
          <cell r="BT2635">
            <v>-401.25</v>
          </cell>
          <cell r="BY2635">
            <v>401.25</v>
          </cell>
        </row>
        <row r="2636">
          <cell r="BT2636">
            <v>20.059999999999999</v>
          </cell>
          <cell r="BY2636">
            <v>20.059999999999999</v>
          </cell>
        </row>
        <row r="2637">
          <cell r="BT2637">
            <v>-6440</v>
          </cell>
          <cell r="BY2637">
            <v>6440</v>
          </cell>
        </row>
        <row r="2638">
          <cell r="BT2638">
            <v>322</v>
          </cell>
          <cell r="BY2638">
            <v>322</v>
          </cell>
        </row>
        <row r="2639">
          <cell r="BT2639">
            <v>-300</v>
          </cell>
          <cell r="BY2639">
            <v>300</v>
          </cell>
        </row>
        <row r="2640">
          <cell r="BT2640">
            <v>15</v>
          </cell>
          <cell r="BY2640">
            <v>15</v>
          </cell>
        </row>
        <row r="2641">
          <cell r="BT2641">
            <v>-1906.5</v>
          </cell>
          <cell r="BY2641">
            <v>1906.5</v>
          </cell>
        </row>
        <row r="2642">
          <cell r="BT2642">
            <v>360.01</v>
          </cell>
          <cell r="BY2642">
            <v>360.01</v>
          </cell>
        </row>
        <row r="2643">
          <cell r="BT2643">
            <v>-11520.19</v>
          </cell>
          <cell r="BY2643">
            <v>11520.19</v>
          </cell>
        </row>
        <row r="2644">
          <cell r="BT2644">
            <v>1152.02</v>
          </cell>
          <cell r="BY2644">
            <v>1152.02</v>
          </cell>
        </row>
        <row r="2645">
          <cell r="BT2645">
            <v>-608.97</v>
          </cell>
          <cell r="BY2645">
            <v>608.97</v>
          </cell>
        </row>
        <row r="2646">
          <cell r="BT2646">
            <v>60.9</v>
          </cell>
          <cell r="BY2646">
            <v>60.9</v>
          </cell>
        </row>
        <row r="2647">
          <cell r="BT2647">
            <v>95.33</v>
          </cell>
          <cell r="BY2647">
            <v>95.33</v>
          </cell>
        </row>
        <row r="2648">
          <cell r="BT2648">
            <v>-12690</v>
          </cell>
          <cell r="BY2648">
            <v>12690</v>
          </cell>
        </row>
        <row r="2649">
          <cell r="BT2649">
            <v>634.5</v>
          </cell>
          <cell r="BY2649">
            <v>634.5</v>
          </cell>
        </row>
        <row r="2650">
          <cell r="BT2650">
            <v>-1213</v>
          </cell>
          <cell r="BY2650">
            <v>1213</v>
          </cell>
        </row>
        <row r="2651">
          <cell r="BT2651">
            <v>60.65</v>
          </cell>
          <cell r="BY2651">
            <v>60.65</v>
          </cell>
        </row>
        <row r="2652">
          <cell r="BT2652">
            <v>-449</v>
          </cell>
          <cell r="BY2652">
            <v>449</v>
          </cell>
        </row>
        <row r="2653">
          <cell r="BT2653">
            <v>22.45</v>
          </cell>
          <cell r="BY2653">
            <v>22.45</v>
          </cell>
        </row>
        <row r="2654">
          <cell r="BT2654">
            <v>-971.75</v>
          </cell>
          <cell r="BY2654">
            <v>971.75</v>
          </cell>
        </row>
        <row r="2655">
          <cell r="BT2655">
            <v>48.59</v>
          </cell>
          <cell r="BY2655">
            <v>48.59</v>
          </cell>
        </row>
        <row r="2656">
          <cell r="BT2656">
            <v>-2100</v>
          </cell>
          <cell r="BY2656">
            <v>2100</v>
          </cell>
        </row>
        <row r="2657">
          <cell r="BT2657">
            <v>105</v>
          </cell>
          <cell r="BY2657">
            <v>105</v>
          </cell>
        </row>
        <row r="2658">
          <cell r="BT2658">
            <v>-370</v>
          </cell>
          <cell r="BY2658">
            <v>370</v>
          </cell>
        </row>
        <row r="2659">
          <cell r="BT2659">
            <v>18.5</v>
          </cell>
          <cell r="BY2659">
            <v>18.5</v>
          </cell>
        </row>
        <row r="2660">
          <cell r="BT2660">
            <v>-1065</v>
          </cell>
          <cell r="BY2660">
            <v>1065</v>
          </cell>
        </row>
        <row r="2661">
          <cell r="BT2661">
            <v>53.25</v>
          </cell>
          <cell r="BY2661">
            <v>53.25</v>
          </cell>
        </row>
        <row r="2662">
          <cell r="BT2662">
            <v>-1426.8</v>
          </cell>
          <cell r="BY2662">
            <v>1426.8</v>
          </cell>
        </row>
        <row r="2663">
          <cell r="BT2663">
            <v>71.34</v>
          </cell>
          <cell r="BY2663">
            <v>71.34</v>
          </cell>
        </row>
        <row r="2664">
          <cell r="BT2664">
            <v>-1500.4</v>
          </cell>
          <cell r="BY2664">
            <v>1500.4</v>
          </cell>
        </row>
        <row r="2665">
          <cell r="BT2665">
            <v>75.02</v>
          </cell>
          <cell r="BY2665">
            <v>75.02</v>
          </cell>
        </row>
        <row r="2666">
          <cell r="BT2666">
            <v>-297.25</v>
          </cell>
          <cell r="BY2666">
            <v>297.25</v>
          </cell>
        </row>
        <row r="2667">
          <cell r="BT2667">
            <v>14.86</v>
          </cell>
          <cell r="BY2667">
            <v>14.86</v>
          </cell>
        </row>
        <row r="2668">
          <cell r="BT2668">
            <v>-1189</v>
          </cell>
          <cell r="BY2668">
            <v>1189</v>
          </cell>
        </row>
        <row r="2669">
          <cell r="BT2669">
            <v>59.45</v>
          </cell>
          <cell r="BY2669">
            <v>59.45</v>
          </cell>
        </row>
        <row r="2670">
          <cell r="BT2670">
            <v>-15600</v>
          </cell>
          <cell r="BY2670">
            <v>15600</v>
          </cell>
        </row>
        <row r="2671">
          <cell r="BT2671">
            <v>1500</v>
          </cell>
          <cell r="BY2671">
            <v>1500</v>
          </cell>
        </row>
        <row r="2672">
          <cell r="BT2672">
            <v>1500</v>
          </cell>
          <cell r="BY2672">
            <v>1500</v>
          </cell>
        </row>
        <row r="2673">
          <cell r="BT2673">
            <v>780</v>
          </cell>
          <cell r="BY2673">
            <v>780</v>
          </cell>
        </row>
        <row r="2674">
          <cell r="BT2674">
            <v>-188.4</v>
          </cell>
          <cell r="BY2674">
            <v>188.4</v>
          </cell>
        </row>
        <row r="2675">
          <cell r="BT2675">
            <v>9.42</v>
          </cell>
          <cell r="BY2675">
            <v>9.42</v>
          </cell>
        </row>
        <row r="2676">
          <cell r="BT2676">
            <v>-3684</v>
          </cell>
          <cell r="BY2676">
            <v>3684</v>
          </cell>
        </row>
        <row r="2677">
          <cell r="BT2677">
            <v>184.2</v>
          </cell>
          <cell r="BY2677">
            <v>184.2</v>
          </cell>
        </row>
        <row r="2678">
          <cell r="BT2678">
            <v>-2180</v>
          </cell>
          <cell r="BY2678">
            <v>2180</v>
          </cell>
        </row>
        <row r="2679">
          <cell r="BT2679">
            <v>109</v>
          </cell>
          <cell r="BY2679">
            <v>109</v>
          </cell>
        </row>
        <row r="2680">
          <cell r="BT2680">
            <v>-6066</v>
          </cell>
          <cell r="BY2680">
            <v>6066</v>
          </cell>
        </row>
        <row r="2681">
          <cell r="BT2681">
            <v>303.3</v>
          </cell>
          <cell r="BY2681">
            <v>303.3</v>
          </cell>
        </row>
        <row r="2682">
          <cell r="BT2682">
            <v>-823</v>
          </cell>
          <cell r="BY2682">
            <v>823</v>
          </cell>
        </row>
        <row r="2683">
          <cell r="BT2683">
            <v>41.15</v>
          </cell>
          <cell r="BY2683">
            <v>41.15</v>
          </cell>
        </row>
        <row r="2684">
          <cell r="BT2684">
            <v>-486.72</v>
          </cell>
          <cell r="BY2684">
            <v>486.72</v>
          </cell>
        </row>
        <row r="2685">
          <cell r="BT2685">
            <v>24.34</v>
          </cell>
          <cell r="BY2685">
            <v>24.34</v>
          </cell>
        </row>
        <row r="2686">
          <cell r="BT2686">
            <v>-6010.2</v>
          </cell>
          <cell r="BY2686">
            <v>6010.2</v>
          </cell>
        </row>
        <row r="2687">
          <cell r="BT2687">
            <v>300.51</v>
          </cell>
          <cell r="BY2687">
            <v>300.51</v>
          </cell>
        </row>
        <row r="2688">
          <cell r="BT2688">
            <v>-367.2</v>
          </cell>
          <cell r="BY2688">
            <v>367.2</v>
          </cell>
        </row>
        <row r="2689">
          <cell r="BT2689">
            <v>18.36</v>
          </cell>
          <cell r="BY2689">
            <v>18.36</v>
          </cell>
        </row>
        <row r="2690">
          <cell r="BT2690">
            <v>-2168</v>
          </cell>
          <cell r="BY2690">
            <v>2168</v>
          </cell>
        </row>
        <row r="2691">
          <cell r="BT2691">
            <v>108.4</v>
          </cell>
          <cell r="BY2691">
            <v>108.4</v>
          </cell>
        </row>
        <row r="2692">
          <cell r="BT2692">
            <v>-6796.4</v>
          </cell>
          <cell r="BY2692">
            <v>6796.4</v>
          </cell>
        </row>
        <row r="2693">
          <cell r="BT2693">
            <v>339.82</v>
          </cell>
          <cell r="BY2693">
            <v>339.82</v>
          </cell>
        </row>
        <row r="2694">
          <cell r="BT2694">
            <v>-3102</v>
          </cell>
          <cell r="BY2694">
            <v>3102</v>
          </cell>
        </row>
        <row r="2695">
          <cell r="BT2695">
            <v>-70</v>
          </cell>
          <cell r="BY2695">
            <v>70</v>
          </cell>
        </row>
        <row r="2696">
          <cell r="BT2696">
            <v>-57</v>
          </cell>
          <cell r="BY2696">
            <v>57</v>
          </cell>
        </row>
        <row r="2697">
          <cell r="BT2697">
            <v>-82.5</v>
          </cell>
          <cell r="BY2697">
            <v>82.5</v>
          </cell>
        </row>
        <row r="2698">
          <cell r="BT2698">
            <v>-1200</v>
          </cell>
          <cell r="BY2698">
            <v>1200</v>
          </cell>
        </row>
        <row r="2699">
          <cell r="BT2699">
            <v>-400</v>
          </cell>
          <cell r="BY2699">
            <v>400</v>
          </cell>
        </row>
        <row r="2700">
          <cell r="BT2700">
            <v>-2720</v>
          </cell>
          <cell r="BY2700">
            <v>2720</v>
          </cell>
        </row>
        <row r="2701">
          <cell r="BT2701">
            <v>-136.5</v>
          </cell>
          <cell r="BY2701">
            <v>136.5</v>
          </cell>
        </row>
        <row r="2702">
          <cell r="BT2702">
            <v>-1065</v>
          </cell>
          <cell r="BY2702">
            <v>1065</v>
          </cell>
        </row>
        <row r="2703">
          <cell r="BT2703">
            <v>53.25</v>
          </cell>
          <cell r="BY2703">
            <v>53.25</v>
          </cell>
        </row>
        <row r="2704">
          <cell r="BT2704">
            <v>-1426.8</v>
          </cell>
          <cell r="BY2704">
            <v>1426.8</v>
          </cell>
        </row>
        <row r="2705">
          <cell r="BT2705">
            <v>71.34</v>
          </cell>
          <cell r="BY2705">
            <v>71.34</v>
          </cell>
        </row>
        <row r="2706">
          <cell r="BT2706">
            <v>-1500.4</v>
          </cell>
          <cell r="BY2706">
            <v>1500.4</v>
          </cell>
        </row>
        <row r="2707">
          <cell r="BT2707">
            <v>75.02</v>
          </cell>
          <cell r="BY2707">
            <v>75.02</v>
          </cell>
        </row>
        <row r="2708">
          <cell r="BT2708">
            <v>-297.25</v>
          </cell>
          <cell r="BY2708">
            <v>297.25</v>
          </cell>
        </row>
        <row r="2709">
          <cell r="BT2709">
            <v>14.86</v>
          </cell>
          <cell r="BY2709">
            <v>14.86</v>
          </cell>
        </row>
        <row r="2710">
          <cell r="BT2710">
            <v>155.1</v>
          </cell>
          <cell r="BY2710">
            <v>155.1</v>
          </cell>
        </row>
        <row r="2711">
          <cell r="BT2711">
            <v>-360</v>
          </cell>
          <cell r="BY2711">
            <v>360</v>
          </cell>
        </row>
        <row r="2712">
          <cell r="BT2712">
            <v>-805</v>
          </cell>
          <cell r="BY2712">
            <v>805</v>
          </cell>
        </row>
        <row r="2713">
          <cell r="BT2713">
            <v>-108</v>
          </cell>
          <cell r="BY2713">
            <v>108</v>
          </cell>
        </row>
        <row r="2714">
          <cell r="BT2714">
            <v>-4600</v>
          </cell>
          <cell r="BY2714">
            <v>4600</v>
          </cell>
        </row>
        <row r="2715">
          <cell r="BT2715">
            <v>-115</v>
          </cell>
          <cell r="BY2715">
            <v>115</v>
          </cell>
        </row>
        <row r="2716">
          <cell r="BT2716">
            <v>-154.5</v>
          </cell>
          <cell r="BY2716">
            <v>154.5</v>
          </cell>
        </row>
        <row r="2717">
          <cell r="BT2717">
            <v>70</v>
          </cell>
          <cell r="BY2717">
            <v>70</v>
          </cell>
        </row>
        <row r="2718">
          <cell r="BT2718">
            <v>57</v>
          </cell>
          <cell r="BY2718">
            <v>57</v>
          </cell>
        </row>
        <row r="2719">
          <cell r="BT2719">
            <v>82.5</v>
          </cell>
          <cell r="BY2719">
            <v>82.5</v>
          </cell>
        </row>
        <row r="2720">
          <cell r="BT2720">
            <v>1200</v>
          </cell>
          <cell r="BY2720">
            <v>1200</v>
          </cell>
        </row>
        <row r="2721">
          <cell r="BT2721">
            <v>-1189</v>
          </cell>
          <cell r="BY2721">
            <v>1189</v>
          </cell>
        </row>
        <row r="2722">
          <cell r="BT2722">
            <v>59.45</v>
          </cell>
          <cell r="BY2722">
            <v>59.45</v>
          </cell>
        </row>
        <row r="2723">
          <cell r="BT2723">
            <v>-15600</v>
          </cell>
          <cell r="BY2723">
            <v>15600</v>
          </cell>
        </row>
        <row r="2724">
          <cell r="BT2724">
            <v>780</v>
          </cell>
          <cell r="BY2724">
            <v>780</v>
          </cell>
        </row>
        <row r="2725">
          <cell r="BT2725">
            <v>-188.4</v>
          </cell>
          <cell r="BY2725">
            <v>188.4</v>
          </cell>
        </row>
        <row r="2726">
          <cell r="BT2726">
            <v>9.42</v>
          </cell>
          <cell r="BY2726">
            <v>9.42</v>
          </cell>
        </row>
        <row r="2727">
          <cell r="BT2727">
            <v>-3684</v>
          </cell>
          <cell r="BY2727">
            <v>3684</v>
          </cell>
        </row>
        <row r="2728">
          <cell r="BT2728">
            <v>184.2</v>
          </cell>
          <cell r="BY2728">
            <v>184.2</v>
          </cell>
        </row>
        <row r="2729">
          <cell r="BT2729">
            <v>-2180</v>
          </cell>
          <cell r="BY2729">
            <v>2180</v>
          </cell>
        </row>
        <row r="2730">
          <cell r="BT2730">
            <v>109</v>
          </cell>
          <cell r="BY2730">
            <v>109</v>
          </cell>
        </row>
        <row r="2731">
          <cell r="BT2731">
            <v>-6066</v>
          </cell>
          <cell r="BY2731">
            <v>6066</v>
          </cell>
        </row>
        <row r="2732">
          <cell r="BT2732">
            <v>400</v>
          </cell>
          <cell r="BY2732">
            <v>400</v>
          </cell>
        </row>
        <row r="2733">
          <cell r="BT2733">
            <v>2720</v>
          </cell>
          <cell r="BY2733">
            <v>2720</v>
          </cell>
        </row>
        <row r="2734">
          <cell r="BT2734">
            <v>136.5</v>
          </cell>
          <cell r="BY2734">
            <v>136.5</v>
          </cell>
        </row>
        <row r="2735">
          <cell r="BT2735">
            <v>360</v>
          </cell>
          <cell r="BY2735">
            <v>360</v>
          </cell>
        </row>
        <row r="2736">
          <cell r="BT2736">
            <v>805</v>
          </cell>
          <cell r="BY2736">
            <v>805</v>
          </cell>
        </row>
        <row r="2737">
          <cell r="BT2737">
            <v>108</v>
          </cell>
          <cell r="BY2737">
            <v>108</v>
          </cell>
        </row>
        <row r="2738">
          <cell r="BT2738">
            <v>4600</v>
          </cell>
          <cell r="BY2738">
            <v>4600</v>
          </cell>
        </row>
        <row r="2739">
          <cell r="BT2739">
            <v>115</v>
          </cell>
          <cell r="BY2739">
            <v>115</v>
          </cell>
        </row>
        <row r="2740">
          <cell r="BT2740">
            <v>154.5</v>
          </cell>
          <cell r="BY2740">
            <v>154.5</v>
          </cell>
        </row>
        <row r="2741">
          <cell r="BT2741">
            <v>303.3</v>
          </cell>
          <cell r="BY2741">
            <v>303.3</v>
          </cell>
        </row>
        <row r="2742">
          <cell r="BT2742">
            <v>-823</v>
          </cell>
          <cell r="BY2742">
            <v>823</v>
          </cell>
        </row>
        <row r="2743">
          <cell r="BT2743">
            <v>41.15</v>
          </cell>
          <cell r="BY2743">
            <v>41.15</v>
          </cell>
        </row>
        <row r="2744">
          <cell r="BT2744">
            <v>-486.72</v>
          </cell>
          <cell r="BY2744">
            <v>486.72</v>
          </cell>
        </row>
        <row r="2745">
          <cell r="BT2745">
            <v>24.34</v>
          </cell>
          <cell r="BY2745">
            <v>24.34</v>
          </cell>
        </row>
        <row r="2746">
          <cell r="BT2746">
            <v>-6010.2</v>
          </cell>
          <cell r="BY2746">
            <v>6010.2</v>
          </cell>
        </row>
        <row r="2747">
          <cell r="BT2747">
            <v>300.51</v>
          </cell>
          <cell r="BY2747">
            <v>300.51</v>
          </cell>
        </row>
        <row r="2748">
          <cell r="BT2748">
            <v>-367.2</v>
          </cell>
          <cell r="BY2748">
            <v>367.2</v>
          </cell>
        </row>
        <row r="2749">
          <cell r="BT2749">
            <v>18.36</v>
          </cell>
          <cell r="BY2749">
            <v>18.36</v>
          </cell>
        </row>
        <row r="2750">
          <cell r="BT2750">
            <v>-2168</v>
          </cell>
          <cell r="BY2750">
            <v>2168</v>
          </cell>
        </row>
        <row r="2751">
          <cell r="BT2751">
            <v>108.4</v>
          </cell>
          <cell r="BY2751">
            <v>108.4</v>
          </cell>
        </row>
        <row r="2752">
          <cell r="BT2752">
            <v>38674</v>
          </cell>
          <cell r="BY2752">
            <v>38674</v>
          </cell>
        </row>
        <row r="2753">
          <cell r="BT2753">
            <v>396.5</v>
          </cell>
          <cell r="BY2753">
            <v>396.5</v>
          </cell>
        </row>
        <row r="2754">
          <cell r="BT2754">
            <v>-396.5</v>
          </cell>
          <cell r="BY2754">
            <v>396.5</v>
          </cell>
        </row>
        <row r="2755">
          <cell r="BT2755">
            <v>23250</v>
          </cell>
          <cell r="BY2755">
            <v>23250</v>
          </cell>
        </row>
        <row r="2756">
          <cell r="BT2756">
            <v>1612.31</v>
          </cell>
          <cell r="BY2756">
            <v>1612.31</v>
          </cell>
        </row>
        <row r="2757">
          <cell r="BT2757">
            <v>52.62</v>
          </cell>
          <cell r="BY2757">
            <v>52.62</v>
          </cell>
        </row>
        <row r="2758">
          <cell r="BT2758">
            <v>-23250</v>
          </cell>
          <cell r="BY2758">
            <v>23250</v>
          </cell>
        </row>
        <row r="2759">
          <cell r="BT2759">
            <v>-1612.31</v>
          </cell>
          <cell r="BY2759">
            <v>1612.31</v>
          </cell>
        </row>
        <row r="2760">
          <cell r="BT2760">
            <v>-52.62</v>
          </cell>
          <cell r="BY2760">
            <v>52.62</v>
          </cell>
        </row>
        <row r="2761">
          <cell r="BT2761">
            <v>-6796.4</v>
          </cell>
          <cell r="BY2761">
            <v>6796.4</v>
          </cell>
        </row>
        <row r="2762">
          <cell r="BT2762">
            <v>339.82</v>
          </cell>
          <cell r="BY2762">
            <v>339.82</v>
          </cell>
        </row>
        <row r="2763">
          <cell r="BT2763">
            <v>-3102</v>
          </cell>
          <cell r="BY2763">
            <v>3102</v>
          </cell>
        </row>
        <row r="2764">
          <cell r="BT2764">
            <v>155.1</v>
          </cell>
          <cell r="BY2764">
            <v>155.1</v>
          </cell>
        </row>
        <row r="2765">
          <cell r="BT2765">
            <v>1065</v>
          </cell>
          <cell r="BY2765">
            <v>1065</v>
          </cell>
        </row>
        <row r="2766">
          <cell r="BT2766">
            <v>-53.25</v>
          </cell>
          <cell r="BY2766">
            <v>53.25</v>
          </cell>
        </row>
        <row r="2767">
          <cell r="BT2767">
            <v>-38674</v>
          </cell>
          <cell r="BY2767">
            <v>38674</v>
          </cell>
        </row>
        <row r="2768">
          <cell r="BT2768">
            <v>-396.5</v>
          </cell>
          <cell r="BY2768">
            <v>396.5</v>
          </cell>
        </row>
        <row r="2769">
          <cell r="BT2769">
            <v>396.5</v>
          </cell>
          <cell r="BY2769">
            <v>396.5</v>
          </cell>
        </row>
        <row r="2770">
          <cell r="BT2770">
            <v>-2210</v>
          </cell>
          <cell r="BY2770">
            <v>2210</v>
          </cell>
        </row>
        <row r="2771">
          <cell r="BT2771">
            <v>-2520</v>
          </cell>
          <cell r="BY2771">
            <v>2520</v>
          </cell>
        </row>
        <row r="2772">
          <cell r="BT2772">
            <v>-3520</v>
          </cell>
          <cell r="BY2772">
            <v>3520</v>
          </cell>
        </row>
        <row r="2773">
          <cell r="BT2773">
            <v>-1300.04</v>
          </cell>
          <cell r="BY2773">
            <v>1300.04</v>
          </cell>
        </row>
        <row r="2774">
          <cell r="BT2774">
            <v>-52.39</v>
          </cell>
          <cell r="BY2774">
            <v>52.39</v>
          </cell>
        </row>
        <row r="2775">
          <cell r="BT2775">
            <v>-299.95</v>
          </cell>
          <cell r="BY2775">
            <v>299.95</v>
          </cell>
        </row>
        <row r="2776">
          <cell r="BT2776">
            <v>-3375</v>
          </cell>
          <cell r="BY2776">
            <v>3375</v>
          </cell>
        </row>
        <row r="2777">
          <cell r="BT2777">
            <v>1426.8</v>
          </cell>
          <cell r="BY2777">
            <v>1426.8</v>
          </cell>
        </row>
        <row r="2778">
          <cell r="BT2778">
            <v>-71.34</v>
          </cell>
          <cell r="BY2778">
            <v>71.34</v>
          </cell>
        </row>
        <row r="2779">
          <cell r="BT2779">
            <v>1500.4</v>
          </cell>
          <cell r="BY2779">
            <v>1500.4</v>
          </cell>
        </row>
        <row r="2780">
          <cell r="BT2780">
            <v>-75.02</v>
          </cell>
          <cell r="BY2780">
            <v>75.02</v>
          </cell>
        </row>
        <row r="2781">
          <cell r="BT2781">
            <v>297.25</v>
          </cell>
          <cell r="BY2781">
            <v>297.25</v>
          </cell>
        </row>
        <row r="2782">
          <cell r="BT2782">
            <v>-14.86</v>
          </cell>
          <cell r="BY2782">
            <v>14.86</v>
          </cell>
        </row>
        <row r="2783">
          <cell r="BT2783">
            <v>1189</v>
          </cell>
          <cell r="BY2783">
            <v>1189</v>
          </cell>
        </row>
        <row r="2784">
          <cell r="BT2784">
            <v>-59.45</v>
          </cell>
          <cell r="BY2784">
            <v>59.45</v>
          </cell>
        </row>
        <row r="2785">
          <cell r="BT2785">
            <v>15600</v>
          </cell>
          <cell r="BY2785">
            <v>15600</v>
          </cell>
        </row>
        <row r="2786">
          <cell r="BT2786">
            <v>-780</v>
          </cell>
          <cell r="BY2786">
            <v>780</v>
          </cell>
        </row>
        <row r="2787">
          <cell r="BT2787">
            <v>188.4</v>
          </cell>
          <cell r="BY2787">
            <v>188.4</v>
          </cell>
        </row>
        <row r="2788">
          <cell r="BT2788">
            <v>612</v>
          </cell>
          <cell r="BY2788">
            <v>612</v>
          </cell>
        </row>
        <row r="2789">
          <cell r="BT2789">
            <v>-20425</v>
          </cell>
          <cell r="BY2789">
            <v>20425</v>
          </cell>
        </row>
        <row r="2790">
          <cell r="BT2790">
            <v>1021.25</v>
          </cell>
          <cell r="BY2790">
            <v>1021.25</v>
          </cell>
        </row>
        <row r="2791">
          <cell r="BT2791">
            <v>-84600</v>
          </cell>
          <cell r="BY2791">
            <v>84600</v>
          </cell>
        </row>
        <row r="2792">
          <cell r="BT2792">
            <v>4230</v>
          </cell>
          <cell r="BY2792">
            <v>4230</v>
          </cell>
        </row>
        <row r="2793">
          <cell r="BT2793">
            <v>-23322</v>
          </cell>
          <cell r="BY2793">
            <v>23322</v>
          </cell>
        </row>
        <row r="2794">
          <cell r="BT2794">
            <v>1166.0999999999999</v>
          </cell>
          <cell r="BY2794">
            <v>1166.0999999999999</v>
          </cell>
        </row>
        <row r="2795">
          <cell r="BT2795">
            <v>-1314</v>
          </cell>
          <cell r="BY2795">
            <v>1314</v>
          </cell>
        </row>
        <row r="2796">
          <cell r="BT2796">
            <v>-2376</v>
          </cell>
          <cell r="BY2796">
            <v>2376</v>
          </cell>
        </row>
        <row r="2797">
          <cell r="BT2797">
            <v>-1720</v>
          </cell>
          <cell r="BY2797">
            <v>1720</v>
          </cell>
        </row>
        <row r="2798">
          <cell r="BT2798">
            <v>-988.8</v>
          </cell>
          <cell r="BY2798">
            <v>988.8</v>
          </cell>
        </row>
        <row r="2799">
          <cell r="BT2799">
            <v>-3652</v>
          </cell>
          <cell r="BY2799">
            <v>3652</v>
          </cell>
        </row>
        <row r="2800">
          <cell r="BT2800">
            <v>-308.39999999999998</v>
          </cell>
          <cell r="BY2800">
            <v>308.39999999999998</v>
          </cell>
        </row>
        <row r="2801">
          <cell r="BT2801">
            <v>-1647</v>
          </cell>
          <cell r="BY2801">
            <v>1647</v>
          </cell>
        </row>
        <row r="2802">
          <cell r="BT2802">
            <v>-3465</v>
          </cell>
          <cell r="BY2802">
            <v>3465</v>
          </cell>
        </row>
        <row r="2803">
          <cell r="BT2803">
            <v>-204.75</v>
          </cell>
          <cell r="BY2803">
            <v>204.75</v>
          </cell>
        </row>
        <row r="2804">
          <cell r="BT2804">
            <v>-47316</v>
          </cell>
          <cell r="BY2804">
            <v>47316</v>
          </cell>
        </row>
        <row r="2805">
          <cell r="BT2805">
            <v>-1740</v>
          </cell>
          <cell r="BY2805">
            <v>1740</v>
          </cell>
        </row>
        <row r="2806">
          <cell r="BT2806">
            <v>-8876</v>
          </cell>
          <cell r="BY2806">
            <v>8876</v>
          </cell>
        </row>
        <row r="2807">
          <cell r="BT2807">
            <v>-3804</v>
          </cell>
          <cell r="BY2807">
            <v>3804</v>
          </cell>
        </row>
        <row r="2808">
          <cell r="BT2808">
            <v>-1250</v>
          </cell>
          <cell r="BY2808">
            <v>1250</v>
          </cell>
        </row>
        <row r="2809">
          <cell r="BT2809">
            <v>-11100</v>
          </cell>
          <cell r="BY2809">
            <v>11100</v>
          </cell>
        </row>
        <row r="2810">
          <cell r="BT2810">
            <v>-1250</v>
          </cell>
          <cell r="BY2810">
            <v>1250</v>
          </cell>
        </row>
        <row r="2811">
          <cell r="BT2811">
            <v>-9.42</v>
          </cell>
          <cell r="BY2811">
            <v>9.42</v>
          </cell>
        </row>
        <row r="2812">
          <cell r="BT2812">
            <v>3684</v>
          </cell>
          <cell r="BY2812">
            <v>3684</v>
          </cell>
        </row>
        <row r="2813">
          <cell r="BT2813">
            <v>-184.2</v>
          </cell>
          <cell r="BY2813">
            <v>184.2</v>
          </cell>
        </row>
        <row r="2814">
          <cell r="BT2814">
            <v>2180</v>
          </cell>
          <cell r="BY2814">
            <v>2180</v>
          </cell>
        </row>
        <row r="2815">
          <cell r="BT2815">
            <v>-109</v>
          </cell>
          <cell r="BY2815">
            <v>109</v>
          </cell>
        </row>
        <row r="2816">
          <cell r="BT2816">
            <v>6066</v>
          </cell>
          <cell r="BY2816">
            <v>6066</v>
          </cell>
        </row>
        <row r="2817">
          <cell r="BT2817">
            <v>-303.3</v>
          </cell>
          <cell r="BY2817">
            <v>303.3</v>
          </cell>
        </row>
        <row r="2818">
          <cell r="BT2818">
            <v>823</v>
          </cell>
          <cell r="BY2818">
            <v>823</v>
          </cell>
        </row>
        <row r="2819">
          <cell r="BT2819">
            <v>-41.15</v>
          </cell>
          <cell r="BY2819">
            <v>41.15</v>
          </cell>
        </row>
        <row r="2820">
          <cell r="BT2820">
            <v>486.72</v>
          </cell>
          <cell r="BY2820">
            <v>486.72</v>
          </cell>
        </row>
        <row r="2821">
          <cell r="BT2821">
            <v>-24.34</v>
          </cell>
          <cell r="BY2821">
            <v>24.34</v>
          </cell>
        </row>
        <row r="2822">
          <cell r="BT2822">
            <v>1430</v>
          </cell>
          <cell r="BY2822">
            <v>1430</v>
          </cell>
        </row>
        <row r="2823">
          <cell r="BT2823">
            <v>5530</v>
          </cell>
          <cell r="BY2823">
            <v>5530</v>
          </cell>
        </row>
        <row r="2824">
          <cell r="BT2824">
            <v>537.5</v>
          </cell>
          <cell r="BY2824">
            <v>537.5</v>
          </cell>
        </row>
        <row r="2825">
          <cell r="BT2825">
            <v>963</v>
          </cell>
          <cell r="BY2825">
            <v>963</v>
          </cell>
        </row>
        <row r="2826">
          <cell r="BT2826">
            <v>3810</v>
          </cell>
          <cell r="BY2826">
            <v>3810</v>
          </cell>
        </row>
        <row r="2827">
          <cell r="BT2827">
            <v>346.5</v>
          </cell>
          <cell r="BY2827">
            <v>346.5</v>
          </cell>
        </row>
        <row r="2828">
          <cell r="BT2828">
            <v>2124</v>
          </cell>
          <cell r="BY2828">
            <v>2124</v>
          </cell>
        </row>
        <row r="2829">
          <cell r="BT2829">
            <v>2400</v>
          </cell>
          <cell r="BY2829">
            <v>2400</v>
          </cell>
        </row>
        <row r="2830">
          <cell r="BT2830">
            <v>-565.20000000000005</v>
          </cell>
          <cell r="BY2830">
            <v>565.20000000000005</v>
          </cell>
        </row>
        <row r="2831">
          <cell r="BT2831">
            <v>-24128</v>
          </cell>
          <cell r="BY2831">
            <v>24128</v>
          </cell>
        </row>
        <row r="2832">
          <cell r="BT2832">
            <v>-2068.4</v>
          </cell>
          <cell r="BY2832">
            <v>2068.4</v>
          </cell>
        </row>
        <row r="2833">
          <cell r="BT2833">
            <v>299.95</v>
          </cell>
          <cell r="BY2833">
            <v>299.95</v>
          </cell>
        </row>
        <row r="2834">
          <cell r="BT2834">
            <v>1314</v>
          </cell>
          <cell r="BY2834">
            <v>1314</v>
          </cell>
        </row>
        <row r="2835">
          <cell r="BT2835">
            <v>2376</v>
          </cell>
          <cell r="BY2835">
            <v>2376</v>
          </cell>
        </row>
        <row r="2836">
          <cell r="BT2836">
            <v>1720</v>
          </cell>
          <cell r="BY2836">
            <v>1720</v>
          </cell>
        </row>
        <row r="2837">
          <cell r="BT2837">
            <v>988.8</v>
          </cell>
          <cell r="BY2837">
            <v>988.8</v>
          </cell>
        </row>
        <row r="2838">
          <cell r="BT2838">
            <v>3652</v>
          </cell>
          <cell r="BY2838">
            <v>3652</v>
          </cell>
        </row>
        <row r="2839">
          <cell r="BT2839">
            <v>308.39999999999998</v>
          </cell>
          <cell r="BY2839">
            <v>308.39999999999998</v>
          </cell>
        </row>
        <row r="2840">
          <cell r="BT2840">
            <v>1647</v>
          </cell>
          <cell r="BY2840">
            <v>1647</v>
          </cell>
        </row>
        <row r="2841">
          <cell r="BT2841">
            <v>6010.2</v>
          </cell>
          <cell r="BY2841">
            <v>6010.2</v>
          </cell>
        </row>
        <row r="2842">
          <cell r="BT2842">
            <v>-300.51</v>
          </cell>
          <cell r="BY2842">
            <v>300.51</v>
          </cell>
        </row>
        <row r="2843">
          <cell r="BT2843">
            <v>367.2</v>
          </cell>
          <cell r="BY2843">
            <v>367.2</v>
          </cell>
        </row>
        <row r="2844">
          <cell r="BT2844">
            <v>-18.36</v>
          </cell>
          <cell r="BY2844">
            <v>18.36</v>
          </cell>
        </row>
        <row r="2845">
          <cell r="BT2845">
            <v>2168</v>
          </cell>
          <cell r="BY2845">
            <v>2168</v>
          </cell>
        </row>
        <row r="2846">
          <cell r="BT2846">
            <v>-108.4</v>
          </cell>
          <cell r="BY2846">
            <v>108.4</v>
          </cell>
        </row>
        <row r="2847">
          <cell r="BT2847">
            <v>6796.4</v>
          </cell>
          <cell r="BY2847">
            <v>6796.4</v>
          </cell>
        </row>
        <row r="2848">
          <cell r="BT2848">
            <v>-339.82</v>
          </cell>
          <cell r="BY2848">
            <v>339.82</v>
          </cell>
        </row>
        <row r="2849">
          <cell r="BT2849">
            <v>3102</v>
          </cell>
          <cell r="BY2849">
            <v>3102</v>
          </cell>
        </row>
        <row r="2850">
          <cell r="BT2850">
            <v>-155.1</v>
          </cell>
          <cell r="BY2850">
            <v>155.1</v>
          </cell>
        </row>
        <row r="2851">
          <cell r="BT2851">
            <v>3465</v>
          </cell>
          <cell r="BY2851">
            <v>3465</v>
          </cell>
        </row>
        <row r="2852">
          <cell r="BT2852">
            <v>204.75</v>
          </cell>
          <cell r="BY2852">
            <v>204.75</v>
          </cell>
        </row>
        <row r="2853">
          <cell r="BT2853">
            <v>47316</v>
          </cell>
          <cell r="BY2853">
            <v>47316</v>
          </cell>
        </row>
        <row r="2854">
          <cell r="BT2854">
            <v>1740</v>
          </cell>
          <cell r="BY2854">
            <v>1740</v>
          </cell>
        </row>
        <row r="2855">
          <cell r="BT2855">
            <v>565.20000000000005</v>
          </cell>
          <cell r="BY2855">
            <v>565.20000000000005</v>
          </cell>
        </row>
        <row r="2856">
          <cell r="BT2856">
            <v>24128</v>
          </cell>
          <cell r="BY2856">
            <v>24128</v>
          </cell>
        </row>
        <row r="2857">
          <cell r="BT2857">
            <v>2068.4</v>
          </cell>
          <cell r="BY2857">
            <v>2068.4</v>
          </cell>
        </row>
        <row r="2858">
          <cell r="BT2858">
            <v>299.95</v>
          </cell>
          <cell r="BY2858">
            <v>299.95</v>
          </cell>
        </row>
        <row r="2859">
          <cell r="BT2859">
            <v>1314</v>
          </cell>
          <cell r="BY2859">
            <v>1314</v>
          </cell>
        </row>
        <row r="2860">
          <cell r="BT2860">
            <v>2376</v>
          </cell>
          <cell r="BY2860">
            <v>2376</v>
          </cell>
        </row>
        <row r="2861">
          <cell r="BT2861">
            <v>1720</v>
          </cell>
          <cell r="BY2861">
            <v>1720</v>
          </cell>
        </row>
        <row r="2862">
          <cell r="BT2862">
            <v>-859.52</v>
          </cell>
          <cell r="BY2862">
            <v>859.52</v>
          </cell>
        </row>
        <row r="2863">
          <cell r="BT2863">
            <v>-20740</v>
          </cell>
          <cell r="BY2863">
            <v>20740</v>
          </cell>
        </row>
        <row r="2864">
          <cell r="BT2864">
            <v>-17864.509999999998</v>
          </cell>
          <cell r="BY2864">
            <v>17864.509999999998</v>
          </cell>
        </row>
        <row r="2865">
          <cell r="BT2865">
            <v>-15650.74</v>
          </cell>
          <cell r="BY2865">
            <v>15650.74</v>
          </cell>
        </row>
        <row r="2866">
          <cell r="BT2866">
            <v>-2604.16</v>
          </cell>
          <cell r="BY2866">
            <v>2604.16</v>
          </cell>
        </row>
        <row r="2867">
          <cell r="BT2867">
            <v>-3930.07</v>
          </cell>
          <cell r="BY2867">
            <v>3930.07</v>
          </cell>
        </row>
        <row r="2868">
          <cell r="BT2868">
            <v>-768.53</v>
          </cell>
          <cell r="BY2868">
            <v>768.53</v>
          </cell>
        </row>
        <row r="2869">
          <cell r="BT2869">
            <v>-3000.15</v>
          </cell>
          <cell r="BY2869">
            <v>3000.15</v>
          </cell>
        </row>
        <row r="2870">
          <cell r="BT2870">
            <v>-17600.73</v>
          </cell>
          <cell r="BY2870">
            <v>17600.73</v>
          </cell>
        </row>
        <row r="2871">
          <cell r="BT2871">
            <v>7825.36</v>
          </cell>
          <cell r="BY2871">
            <v>7825.36</v>
          </cell>
        </row>
        <row r="2872">
          <cell r="BT2872">
            <v>-782.54</v>
          </cell>
          <cell r="BY2872">
            <v>782.54</v>
          </cell>
        </row>
        <row r="2873">
          <cell r="BT2873">
            <v>1429.99</v>
          </cell>
          <cell r="BY2873">
            <v>1429.99</v>
          </cell>
        </row>
        <row r="2874">
          <cell r="BT2874">
            <v>-143</v>
          </cell>
          <cell r="BY2874">
            <v>143</v>
          </cell>
        </row>
        <row r="2875">
          <cell r="BT2875">
            <v>1760.07</v>
          </cell>
          <cell r="BY2875">
            <v>1760.07</v>
          </cell>
        </row>
        <row r="2876">
          <cell r="BT2876">
            <v>-176.01</v>
          </cell>
          <cell r="BY2876">
            <v>176.01</v>
          </cell>
        </row>
        <row r="2877">
          <cell r="BT2877">
            <v>1837.97</v>
          </cell>
          <cell r="BY2877">
            <v>1837.97</v>
          </cell>
        </row>
        <row r="2878">
          <cell r="BT2878">
            <v>-183.8</v>
          </cell>
          <cell r="BY2878">
            <v>183.8</v>
          </cell>
        </row>
        <row r="2879">
          <cell r="BT2879">
            <v>475.03</v>
          </cell>
          <cell r="BY2879">
            <v>475.03</v>
          </cell>
        </row>
        <row r="2880">
          <cell r="BT2880">
            <v>-47.5</v>
          </cell>
          <cell r="BY2880">
            <v>47.5</v>
          </cell>
        </row>
        <row r="2881">
          <cell r="BT2881">
            <v>988.8</v>
          </cell>
          <cell r="BY2881">
            <v>988.8</v>
          </cell>
        </row>
        <row r="2882">
          <cell r="BT2882">
            <v>3652</v>
          </cell>
          <cell r="BY2882">
            <v>3652</v>
          </cell>
        </row>
        <row r="2883">
          <cell r="BT2883">
            <v>308.39999999999998</v>
          </cell>
          <cell r="BY2883">
            <v>308.39999999999998</v>
          </cell>
        </row>
        <row r="2884">
          <cell r="BT2884">
            <v>1647</v>
          </cell>
          <cell r="BY2884">
            <v>1647</v>
          </cell>
        </row>
        <row r="2885">
          <cell r="BT2885">
            <v>3465</v>
          </cell>
          <cell r="BY2885">
            <v>3465</v>
          </cell>
        </row>
        <row r="2886">
          <cell r="BT2886">
            <v>204.75</v>
          </cell>
          <cell r="BY2886">
            <v>204.75</v>
          </cell>
        </row>
        <row r="2887">
          <cell r="BT2887">
            <v>47316</v>
          </cell>
          <cell r="BY2887">
            <v>47316</v>
          </cell>
        </row>
        <row r="2888">
          <cell r="BT2888">
            <v>1740</v>
          </cell>
          <cell r="BY2888">
            <v>1740</v>
          </cell>
        </row>
        <row r="2889">
          <cell r="BT2889">
            <v>565.20000000000005</v>
          </cell>
          <cell r="BY2889">
            <v>565.20000000000005</v>
          </cell>
        </row>
        <row r="2890">
          <cell r="BT2890">
            <v>24128</v>
          </cell>
          <cell r="BY2890">
            <v>24128</v>
          </cell>
        </row>
        <row r="2891">
          <cell r="BT2891">
            <v>2068.4</v>
          </cell>
          <cell r="BY2891">
            <v>2068.4</v>
          </cell>
        </row>
        <row r="2892">
          <cell r="BT2892">
            <v>-918.98</v>
          </cell>
          <cell r="BY2892">
            <v>918.98</v>
          </cell>
        </row>
        <row r="2893">
          <cell r="BT2893">
            <v>-950.05</v>
          </cell>
          <cell r="BY2893">
            <v>950.05</v>
          </cell>
        </row>
        <row r="2894">
          <cell r="BT2894">
            <v>-5250.13</v>
          </cell>
          <cell r="BY2894">
            <v>5250.13</v>
          </cell>
        </row>
        <row r="2895">
          <cell r="BT2895">
            <v>-20792.62</v>
          </cell>
          <cell r="BY2895">
            <v>20792.62</v>
          </cell>
        </row>
        <row r="2896">
          <cell r="BT2896">
            <v>-6564.32</v>
          </cell>
          <cell r="BY2896">
            <v>6564.32</v>
          </cell>
        </row>
        <row r="2897">
          <cell r="BT2897">
            <v>-15359.61</v>
          </cell>
          <cell r="BY2897">
            <v>15359.61</v>
          </cell>
        </row>
        <row r="2898">
          <cell r="BT2898">
            <v>-9548.7099999999991</v>
          </cell>
          <cell r="BY2898">
            <v>9548.7099999999991</v>
          </cell>
        </row>
        <row r="2899">
          <cell r="BT2899">
            <v>-8485.14</v>
          </cell>
          <cell r="BY2899">
            <v>8485.14</v>
          </cell>
        </row>
        <row r="2900">
          <cell r="BT2900">
            <v>-12224.64</v>
          </cell>
          <cell r="BY2900">
            <v>12224.64</v>
          </cell>
        </row>
        <row r="2901">
          <cell r="BT2901">
            <v>-4299.88</v>
          </cell>
          <cell r="BY2901">
            <v>4299.88</v>
          </cell>
        </row>
        <row r="2902">
          <cell r="BT2902">
            <v>1050.03</v>
          </cell>
          <cell r="BY2902">
            <v>1050.03</v>
          </cell>
        </row>
        <row r="2903">
          <cell r="BT2903">
            <v>-105</v>
          </cell>
          <cell r="BY2903">
            <v>105</v>
          </cell>
        </row>
        <row r="2904">
          <cell r="BT2904">
            <v>6143.84</v>
          </cell>
          <cell r="BY2904">
            <v>6143.84</v>
          </cell>
        </row>
        <row r="2905">
          <cell r="BT2905">
            <v>-614.38</v>
          </cell>
          <cell r="BY2905">
            <v>614.38</v>
          </cell>
        </row>
        <row r="2906">
          <cell r="BT2906">
            <v>848.51</v>
          </cell>
          <cell r="BY2906">
            <v>848.51</v>
          </cell>
        </row>
        <row r="2907">
          <cell r="BT2907">
            <v>-84.85</v>
          </cell>
          <cell r="BY2907">
            <v>84.85</v>
          </cell>
        </row>
        <row r="2908">
          <cell r="BT2908">
            <v>1129.55</v>
          </cell>
          <cell r="BY2908">
            <v>1129.55</v>
          </cell>
        </row>
        <row r="2909">
          <cell r="BT2909">
            <v>-112.95</v>
          </cell>
          <cell r="BY2909">
            <v>112.95</v>
          </cell>
        </row>
        <row r="2910">
          <cell r="BT2910">
            <v>3600.13</v>
          </cell>
          <cell r="BY2910">
            <v>3600.13</v>
          </cell>
        </row>
        <row r="2911">
          <cell r="BT2911">
            <v>-360.01</v>
          </cell>
          <cell r="BY2911">
            <v>360.01</v>
          </cell>
        </row>
        <row r="2912">
          <cell r="BT2912">
            <v>11520.19</v>
          </cell>
          <cell r="BY2912">
            <v>11520.19</v>
          </cell>
        </row>
        <row r="2913">
          <cell r="BT2913">
            <v>-30.6</v>
          </cell>
          <cell r="BY2913">
            <v>30.6</v>
          </cell>
        </row>
        <row r="2914">
          <cell r="BT2914">
            <v>1.53</v>
          </cell>
          <cell r="BY2914">
            <v>1.53</v>
          </cell>
        </row>
        <row r="2915">
          <cell r="BT2915">
            <v>-1017.45</v>
          </cell>
          <cell r="BY2915">
            <v>1017.45</v>
          </cell>
        </row>
        <row r="2916">
          <cell r="BT2916">
            <v>50.87</v>
          </cell>
          <cell r="BY2916">
            <v>50.87</v>
          </cell>
        </row>
        <row r="2917">
          <cell r="BT2917">
            <v>-708.75</v>
          </cell>
          <cell r="BY2917">
            <v>708.75</v>
          </cell>
        </row>
        <row r="2918">
          <cell r="BT2918">
            <v>35.44</v>
          </cell>
          <cell r="BY2918">
            <v>35.44</v>
          </cell>
        </row>
        <row r="2919">
          <cell r="BT2919">
            <v>-537.5</v>
          </cell>
          <cell r="BY2919">
            <v>537.5</v>
          </cell>
        </row>
        <row r="2920">
          <cell r="BT2920">
            <v>26.88</v>
          </cell>
          <cell r="BY2920">
            <v>26.88</v>
          </cell>
        </row>
        <row r="2921">
          <cell r="BT2921">
            <v>-512.5</v>
          </cell>
          <cell r="BY2921">
            <v>512.5</v>
          </cell>
        </row>
        <row r="2922">
          <cell r="BT2922">
            <v>25.63</v>
          </cell>
          <cell r="BY2922">
            <v>25.63</v>
          </cell>
        </row>
        <row r="2923">
          <cell r="BT2923">
            <v>-357</v>
          </cell>
          <cell r="BY2923">
            <v>357</v>
          </cell>
        </row>
        <row r="2924">
          <cell r="BT2924">
            <v>-5940</v>
          </cell>
          <cell r="BY2924">
            <v>5940</v>
          </cell>
        </row>
        <row r="2925">
          <cell r="BT2925">
            <v>-8100</v>
          </cell>
          <cell r="BY2925">
            <v>8100</v>
          </cell>
        </row>
        <row r="2926">
          <cell r="BT2926">
            <v>859.52</v>
          </cell>
          <cell r="BY2926">
            <v>859.52</v>
          </cell>
        </row>
        <row r="2927">
          <cell r="BT2927">
            <v>20740</v>
          </cell>
          <cell r="BY2927">
            <v>20740</v>
          </cell>
        </row>
        <row r="2928">
          <cell r="BT2928">
            <v>17864.509999999998</v>
          </cell>
          <cell r="BY2928">
            <v>17864.509999999998</v>
          </cell>
        </row>
        <row r="2929">
          <cell r="BT2929">
            <v>15650.74</v>
          </cell>
          <cell r="BY2929">
            <v>15650.74</v>
          </cell>
        </row>
        <row r="2930">
          <cell r="BT2930">
            <v>2604.16</v>
          </cell>
          <cell r="BY2930">
            <v>2604.16</v>
          </cell>
        </row>
        <row r="2931">
          <cell r="BT2931">
            <v>3930.07</v>
          </cell>
          <cell r="BY2931">
            <v>3930.07</v>
          </cell>
        </row>
        <row r="2932">
          <cell r="BT2932">
            <v>768.53</v>
          </cell>
          <cell r="BY2932">
            <v>768.53</v>
          </cell>
        </row>
        <row r="2933">
          <cell r="BT2933">
            <v>3000.15</v>
          </cell>
          <cell r="BY2933">
            <v>3000.15</v>
          </cell>
        </row>
        <row r="2934">
          <cell r="BT2934">
            <v>17600.73</v>
          </cell>
          <cell r="BY2934">
            <v>17600.73</v>
          </cell>
        </row>
        <row r="2935">
          <cell r="BT2935">
            <v>918.98</v>
          </cell>
          <cell r="BY2935">
            <v>918.98</v>
          </cell>
        </row>
        <row r="2936">
          <cell r="BT2936">
            <v>950.05</v>
          </cell>
          <cell r="BY2936">
            <v>950.05</v>
          </cell>
        </row>
        <row r="2937">
          <cell r="BT2937">
            <v>5250.13</v>
          </cell>
          <cell r="BY2937">
            <v>5250.13</v>
          </cell>
        </row>
        <row r="2938">
          <cell r="BT2938">
            <v>20792.62</v>
          </cell>
          <cell r="BY2938">
            <v>20792.62</v>
          </cell>
        </row>
        <row r="2939">
          <cell r="BT2939">
            <v>6564.32</v>
          </cell>
          <cell r="BY2939">
            <v>6564.32</v>
          </cell>
        </row>
        <row r="2940">
          <cell r="BT2940">
            <v>15359.61</v>
          </cell>
          <cell r="BY2940">
            <v>15359.61</v>
          </cell>
        </row>
        <row r="2941">
          <cell r="BT2941">
            <v>9548.7099999999991</v>
          </cell>
          <cell r="BY2941">
            <v>9548.7099999999991</v>
          </cell>
        </row>
        <row r="2942">
          <cell r="BT2942">
            <v>8485.14</v>
          </cell>
          <cell r="BY2942">
            <v>8485.14</v>
          </cell>
        </row>
        <row r="2943">
          <cell r="BT2943">
            <v>12224.64</v>
          </cell>
          <cell r="BY2943">
            <v>12224.64</v>
          </cell>
        </row>
        <row r="2944">
          <cell r="BT2944">
            <v>4299.88</v>
          </cell>
          <cell r="BY2944">
            <v>4299.88</v>
          </cell>
        </row>
        <row r="2945">
          <cell r="BT2945">
            <v>10704.25</v>
          </cell>
          <cell r="BY2945">
            <v>10704.25</v>
          </cell>
        </row>
        <row r="2946">
          <cell r="BT2946">
            <v>18000.63</v>
          </cell>
          <cell r="BY2946">
            <v>18000.63</v>
          </cell>
        </row>
        <row r="2947">
          <cell r="BT2947">
            <v>57600.97</v>
          </cell>
          <cell r="BY2947">
            <v>57600.97</v>
          </cell>
        </row>
        <row r="2948">
          <cell r="BT2948">
            <v>571.05999999999995</v>
          </cell>
          <cell r="BY2948">
            <v>571.05999999999995</v>
          </cell>
        </row>
        <row r="2949">
          <cell r="BT2949">
            <v>1826.9</v>
          </cell>
          <cell r="BY2949">
            <v>1826.9</v>
          </cell>
        </row>
        <row r="2950">
          <cell r="BT2950">
            <v>4499.83</v>
          </cell>
          <cell r="BY2950">
            <v>4499.83</v>
          </cell>
        </row>
        <row r="2951">
          <cell r="BT2951">
            <v>4750.0600000000004</v>
          </cell>
          <cell r="BY2951">
            <v>4750.0600000000004</v>
          </cell>
        </row>
        <row r="2952">
          <cell r="BT2952">
            <v>5940.15</v>
          </cell>
          <cell r="BY2952">
            <v>5940.15</v>
          </cell>
        </row>
        <row r="2953">
          <cell r="BT2953">
            <v>8100.09</v>
          </cell>
          <cell r="BY2953">
            <v>8100.09</v>
          </cell>
        </row>
        <row r="2954">
          <cell r="BT2954">
            <v>-39000</v>
          </cell>
          <cell r="BY2954">
            <v>39000</v>
          </cell>
        </row>
        <row r="2955">
          <cell r="BT2955">
            <v>-1200</v>
          </cell>
          <cell r="BY2955">
            <v>1200</v>
          </cell>
        </row>
        <row r="2956">
          <cell r="BT2956">
            <v>-2400</v>
          </cell>
          <cell r="BY2956">
            <v>2400</v>
          </cell>
        </row>
        <row r="2957">
          <cell r="BT2957">
            <v>-1200</v>
          </cell>
          <cell r="BY2957">
            <v>1200</v>
          </cell>
        </row>
        <row r="2958">
          <cell r="BT2958">
            <v>-5500</v>
          </cell>
          <cell r="BY2958">
            <v>5500</v>
          </cell>
        </row>
        <row r="2959">
          <cell r="BT2959">
            <v>-2480</v>
          </cell>
          <cell r="BY2959">
            <v>2480</v>
          </cell>
        </row>
        <row r="2960">
          <cell r="BT2960">
            <v>-10100</v>
          </cell>
          <cell r="BY2960">
            <v>10100</v>
          </cell>
        </row>
        <row r="2961">
          <cell r="BT2961">
            <v>-900</v>
          </cell>
          <cell r="BY2961">
            <v>900</v>
          </cell>
        </row>
        <row r="2962">
          <cell r="BT2962">
            <v>-980</v>
          </cell>
          <cell r="BY2962">
            <v>980</v>
          </cell>
        </row>
        <row r="2963">
          <cell r="BT2963">
            <v>-833.56</v>
          </cell>
          <cell r="BY2963">
            <v>833.56</v>
          </cell>
        </row>
        <row r="2964">
          <cell r="BT2964">
            <v>-490</v>
          </cell>
          <cell r="BY2964">
            <v>490</v>
          </cell>
        </row>
        <row r="2965">
          <cell r="BT2965">
            <v>-8400</v>
          </cell>
          <cell r="BY2965">
            <v>8400</v>
          </cell>
        </row>
        <row r="2966">
          <cell r="BT2966">
            <v>-859.5</v>
          </cell>
          <cell r="BY2966">
            <v>859.5</v>
          </cell>
        </row>
        <row r="2967">
          <cell r="BT2967">
            <v>-20740</v>
          </cell>
          <cell r="BY2967">
            <v>20740</v>
          </cell>
        </row>
        <row r="2968">
          <cell r="BT2968">
            <v>-17865</v>
          </cell>
          <cell r="BY2968">
            <v>17865</v>
          </cell>
        </row>
        <row r="2969">
          <cell r="BT2969">
            <v>-15650</v>
          </cell>
          <cell r="BY2969">
            <v>15650</v>
          </cell>
        </row>
        <row r="2970">
          <cell r="BT2970">
            <v>-2604</v>
          </cell>
          <cell r="BY2970">
            <v>2604</v>
          </cell>
        </row>
        <row r="2971">
          <cell r="BT2971">
            <v>-3930</v>
          </cell>
          <cell r="BY2971">
            <v>3930</v>
          </cell>
        </row>
        <row r="2972">
          <cell r="BT2972">
            <v>-5900</v>
          </cell>
          <cell r="BY2972">
            <v>5900</v>
          </cell>
        </row>
        <row r="2973">
          <cell r="BT2973">
            <v>-3000</v>
          </cell>
          <cell r="BY2973">
            <v>3000</v>
          </cell>
        </row>
        <row r="2974">
          <cell r="BT2974">
            <v>-17600</v>
          </cell>
          <cell r="BY2974">
            <v>17600</v>
          </cell>
        </row>
        <row r="2975">
          <cell r="BT2975">
            <v>-919</v>
          </cell>
          <cell r="BY2975">
            <v>919</v>
          </cell>
        </row>
        <row r="2976">
          <cell r="BT2976">
            <v>-950</v>
          </cell>
          <cell r="BY2976">
            <v>950</v>
          </cell>
        </row>
        <row r="2977">
          <cell r="BT2977">
            <v>-5250</v>
          </cell>
          <cell r="BY2977">
            <v>5250</v>
          </cell>
        </row>
        <row r="2978">
          <cell r="BT2978">
            <v>-20792</v>
          </cell>
          <cell r="BY2978">
            <v>20792</v>
          </cell>
        </row>
        <row r="2979">
          <cell r="BT2979">
            <v>-6564</v>
          </cell>
          <cell r="BY2979">
            <v>6564</v>
          </cell>
        </row>
        <row r="2980">
          <cell r="BT2980">
            <v>-15360</v>
          </cell>
          <cell r="BY2980">
            <v>15360</v>
          </cell>
        </row>
        <row r="2981">
          <cell r="BT2981">
            <v>-9549</v>
          </cell>
          <cell r="BY2981">
            <v>9549</v>
          </cell>
        </row>
        <row r="2982">
          <cell r="BT2982">
            <v>-8485</v>
          </cell>
          <cell r="BY2982">
            <v>8485</v>
          </cell>
        </row>
        <row r="2983">
          <cell r="BT2983">
            <v>-12224</v>
          </cell>
          <cell r="BY2983">
            <v>12224</v>
          </cell>
        </row>
        <row r="2984">
          <cell r="BT2984">
            <v>-4300</v>
          </cell>
          <cell r="BY2984">
            <v>4300</v>
          </cell>
        </row>
        <row r="2985">
          <cell r="BT2985">
            <v>-10704</v>
          </cell>
          <cell r="BY2985">
            <v>10704</v>
          </cell>
        </row>
        <row r="2986">
          <cell r="BT2986">
            <v>-18000</v>
          </cell>
          <cell r="BY2986">
            <v>18000</v>
          </cell>
        </row>
        <row r="2987">
          <cell r="BT2987">
            <v>-57600</v>
          </cell>
          <cell r="BY2987">
            <v>57600</v>
          </cell>
        </row>
        <row r="2988">
          <cell r="BT2988">
            <v>-571</v>
          </cell>
          <cell r="BY2988">
            <v>571</v>
          </cell>
        </row>
        <row r="2989">
          <cell r="BT2989">
            <v>-1827</v>
          </cell>
          <cell r="BY2989">
            <v>1827</v>
          </cell>
        </row>
        <row r="2990">
          <cell r="BT2990">
            <v>-4500</v>
          </cell>
          <cell r="BY2990">
            <v>4500</v>
          </cell>
        </row>
        <row r="2991">
          <cell r="BT2991">
            <v>-4750</v>
          </cell>
          <cell r="BY2991">
            <v>4750</v>
          </cell>
        </row>
        <row r="2992">
          <cell r="BT2992">
            <v>2.13</v>
          </cell>
          <cell r="BY2992">
            <v>2.13</v>
          </cell>
        </row>
        <row r="2993">
          <cell r="BT2993">
            <v>-36.5</v>
          </cell>
          <cell r="BY2993">
            <v>36.5</v>
          </cell>
        </row>
        <row r="2994">
          <cell r="BT2994">
            <v>1.46</v>
          </cell>
          <cell r="BY2994">
            <v>1.46</v>
          </cell>
        </row>
        <row r="2995">
          <cell r="BT2995">
            <v>-85.2</v>
          </cell>
          <cell r="BY2995">
            <v>85.2</v>
          </cell>
        </row>
        <row r="2996">
          <cell r="BT2996">
            <v>3.41</v>
          </cell>
          <cell r="BY2996">
            <v>3.41</v>
          </cell>
        </row>
        <row r="2997">
          <cell r="BT2997">
            <v>-735</v>
          </cell>
          <cell r="BY2997">
            <v>735</v>
          </cell>
        </row>
        <row r="2998">
          <cell r="BT2998">
            <v>-684</v>
          </cell>
          <cell r="BY2998">
            <v>684</v>
          </cell>
        </row>
        <row r="2999">
          <cell r="BT2999">
            <v>-750</v>
          </cell>
          <cell r="BY2999">
            <v>750</v>
          </cell>
        </row>
        <row r="3000">
          <cell r="BT3000">
            <v>-1490</v>
          </cell>
          <cell r="BY3000">
            <v>1490</v>
          </cell>
        </row>
        <row r="3001">
          <cell r="BT3001">
            <v>-1000</v>
          </cell>
          <cell r="BY3001">
            <v>1000</v>
          </cell>
        </row>
        <row r="3002">
          <cell r="BT3002">
            <v>-247.5</v>
          </cell>
          <cell r="BY3002">
            <v>247.5</v>
          </cell>
        </row>
        <row r="3003">
          <cell r="BT3003">
            <v>-3150</v>
          </cell>
          <cell r="BY3003">
            <v>3150</v>
          </cell>
        </row>
        <row r="3004">
          <cell r="BT3004">
            <v>-23140</v>
          </cell>
          <cell r="BY3004">
            <v>23140</v>
          </cell>
        </row>
        <row r="3005">
          <cell r="BT3005">
            <v>-2940</v>
          </cell>
          <cell r="BY3005">
            <v>2940</v>
          </cell>
        </row>
        <row r="3006">
          <cell r="BT3006">
            <v>-1430</v>
          </cell>
          <cell r="BY3006">
            <v>1430</v>
          </cell>
        </row>
        <row r="3007">
          <cell r="BT3007">
            <v>-1800</v>
          </cell>
          <cell r="BY3007">
            <v>1800</v>
          </cell>
        </row>
        <row r="3008">
          <cell r="BT3008">
            <v>-520</v>
          </cell>
          <cell r="BY3008">
            <v>520</v>
          </cell>
        </row>
        <row r="3009">
          <cell r="BT3009">
            <v>-1712</v>
          </cell>
          <cell r="BY3009">
            <v>1712</v>
          </cell>
        </row>
        <row r="3010">
          <cell r="BT3010">
            <v>-3600</v>
          </cell>
          <cell r="BY3010">
            <v>3600</v>
          </cell>
        </row>
        <row r="3011">
          <cell r="BT3011">
            <v>-895</v>
          </cell>
          <cell r="BY3011">
            <v>895</v>
          </cell>
        </row>
        <row r="3012">
          <cell r="BT3012">
            <v>-10120</v>
          </cell>
          <cell r="BY3012">
            <v>10120</v>
          </cell>
        </row>
        <row r="3013">
          <cell r="BT3013">
            <v>-245</v>
          </cell>
          <cell r="BY3013">
            <v>245</v>
          </cell>
        </row>
        <row r="3014">
          <cell r="BT3014">
            <v>-324</v>
          </cell>
          <cell r="BY3014">
            <v>324</v>
          </cell>
        </row>
        <row r="3015">
          <cell r="BT3015">
            <v>-540</v>
          </cell>
          <cell r="BY3015">
            <v>540</v>
          </cell>
        </row>
        <row r="3016">
          <cell r="BT3016">
            <v>-24000</v>
          </cell>
          <cell r="BY3016">
            <v>24000</v>
          </cell>
        </row>
        <row r="3017">
          <cell r="BT3017">
            <v>-490</v>
          </cell>
          <cell r="BY3017">
            <v>490</v>
          </cell>
        </row>
        <row r="3018">
          <cell r="BT3018">
            <v>-515</v>
          </cell>
          <cell r="BY3018">
            <v>515</v>
          </cell>
        </row>
        <row r="3019">
          <cell r="BT3019">
            <v>-4750</v>
          </cell>
          <cell r="BY3019">
            <v>4750</v>
          </cell>
        </row>
        <row r="3020">
          <cell r="BT3020">
            <v>-1152.02</v>
          </cell>
          <cell r="BY3020">
            <v>1152.02</v>
          </cell>
        </row>
        <row r="3021">
          <cell r="BT3021">
            <v>608.97</v>
          </cell>
          <cell r="BY3021">
            <v>608.97</v>
          </cell>
        </row>
        <row r="3022">
          <cell r="BT3022">
            <v>-60.9</v>
          </cell>
          <cell r="BY3022">
            <v>60.9</v>
          </cell>
        </row>
        <row r="3023">
          <cell r="BT3023">
            <v>-4900</v>
          </cell>
          <cell r="BY3023">
            <v>4900</v>
          </cell>
        </row>
        <row r="3024">
          <cell r="BT3024">
            <v>612</v>
          </cell>
          <cell r="BY3024">
            <v>612</v>
          </cell>
        </row>
        <row r="3025">
          <cell r="BT3025">
            <v>1430</v>
          </cell>
          <cell r="BY3025">
            <v>1430</v>
          </cell>
        </row>
        <row r="3026">
          <cell r="BT3026">
            <v>5530</v>
          </cell>
          <cell r="BY3026">
            <v>5530</v>
          </cell>
        </row>
        <row r="3027">
          <cell r="BT3027">
            <v>537.5</v>
          </cell>
          <cell r="BY3027">
            <v>537.5</v>
          </cell>
        </row>
        <row r="3028">
          <cell r="BT3028">
            <v>963</v>
          </cell>
          <cell r="BY3028">
            <v>963</v>
          </cell>
        </row>
        <row r="3029">
          <cell r="BT3029">
            <v>3810</v>
          </cell>
          <cell r="BY3029">
            <v>3810</v>
          </cell>
        </row>
        <row r="3030">
          <cell r="BT3030">
            <v>346.5</v>
          </cell>
          <cell r="BY3030">
            <v>346.5</v>
          </cell>
        </row>
        <row r="3031">
          <cell r="BT3031">
            <v>2124</v>
          </cell>
          <cell r="BY3031">
            <v>2124</v>
          </cell>
        </row>
        <row r="3032">
          <cell r="BT3032">
            <v>-1260</v>
          </cell>
          <cell r="BY3032">
            <v>1260</v>
          </cell>
        </row>
        <row r="3033">
          <cell r="BT3033">
            <v>-2700</v>
          </cell>
          <cell r="BY3033">
            <v>2700</v>
          </cell>
        </row>
        <row r="3034">
          <cell r="BT3034">
            <v>-980</v>
          </cell>
          <cell r="BY3034">
            <v>980</v>
          </cell>
        </row>
        <row r="3035">
          <cell r="BT3035">
            <v>-3094</v>
          </cell>
          <cell r="BY3035">
            <v>3094</v>
          </cell>
        </row>
        <row r="3036">
          <cell r="BT3036">
            <v>-840</v>
          </cell>
          <cell r="BY3036">
            <v>840</v>
          </cell>
        </row>
        <row r="3037">
          <cell r="BT3037">
            <v>-4074</v>
          </cell>
          <cell r="BY3037">
            <v>4074</v>
          </cell>
        </row>
        <row r="3038">
          <cell r="BT3038">
            <v>-2940</v>
          </cell>
          <cell r="BY3038">
            <v>2940</v>
          </cell>
        </row>
        <row r="3039">
          <cell r="BT3039">
            <v>-612</v>
          </cell>
          <cell r="BY3039">
            <v>612</v>
          </cell>
        </row>
        <row r="3040">
          <cell r="BT3040">
            <v>30.6</v>
          </cell>
          <cell r="BY3040">
            <v>30.6</v>
          </cell>
        </row>
        <row r="3041">
          <cell r="BT3041">
            <v>-1430</v>
          </cell>
          <cell r="BY3041">
            <v>1430</v>
          </cell>
        </row>
        <row r="3042">
          <cell r="BT3042">
            <v>71.5</v>
          </cell>
          <cell r="BY3042">
            <v>71.5</v>
          </cell>
        </row>
        <row r="3043">
          <cell r="BT3043">
            <v>-5530</v>
          </cell>
          <cell r="BY3043">
            <v>5530</v>
          </cell>
        </row>
        <row r="3044">
          <cell r="BT3044">
            <v>276.49</v>
          </cell>
          <cell r="BY3044">
            <v>276.49</v>
          </cell>
        </row>
        <row r="3045">
          <cell r="BT3045">
            <v>-537.5</v>
          </cell>
          <cell r="BY3045">
            <v>537.5</v>
          </cell>
        </row>
        <row r="3046">
          <cell r="BT3046">
            <v>26.88</v>
          </cell>
          <cell r="BY3046">
            <v>26.88</v>
          </cell>
        </row>
        <row r="3047">
          <cell r="BT3047">
            <v>-963</v>
          </cell>
          <cell r="BY3047">
            <v>963</v>
          </cell>
        </row>
        <row r="3048">
          <cell r="BT3048">
            <v>48.15</v>
          </cell>
          <cell r="BY3048">
            <v>48.15</v>
          </cell>
        </row>
        <row r="3049">
          <cell r="BT3049">
            <v>-3810</v>
          </cell>
          <cell r="BY3049">
            <v>3810</v>
          </cell>
        </row>
        <row r="3050">
          <cell r="BT3050">
            <v>190.5</v>
          </cell>
          <cell r="BY3050">
            <v>190.5</v>
          </cell>
        </row>
        <row r="3051">
          <cell r="BT3051">
            <v>-346.5</v>
          </cell>
          <cell r="BY3051">
            <v>346.5</v>
          </cell>
        </row>
        <row r="3052">
          <cell r="BT3052">
            <v>17.329999999999998</v>
          </cell>
          <cell r="BY3052">
            <v>17.329999999999998</v>
          </cell>
        </row>
        <row r="3053">
          <cell r="BT3053">
            <v>-2124</v>
          </cell>
          <cell r="BY3053">
            <v>2124</v>
          </cell>
        </row>
        <row r="3054">
          <cell r="BT3054">
            <v>-129</v>
          </cell>
          <cell r="BY3054">
            <v>129</v>
          </cell>
        </row>
        <row r="3055">
          <cell r="BT3055">
            <v>5.16</v>
          </cell>
          <cell r="BY3055">
            <v>5.16</v>
          </cell>
        </row>
        <row r="3056">
          <cell r="BT3056">
            <v>-720</v>
          </cell>
          <cell r="BY3056">
            <v>720</v>
          </cell>
        </row>
        <row r="3057">
          <cell r="BT3057">
            <v>28.8</v>
          </cell>
          <cell r="BY3057">
            <v>28.8</v>
          </cell>
        </row>
        <row r="3058">
          <cell r="BT3058">
            <v>-425</v>
          </cell>
          <cell r="BY3058">
            <v>425</v>
          </cell>
        </row>
        <row r="3059">
          <cell r="BT3059">
            <v>17</v>
          </cell>
          <cell r="BY3059">
            <v>17</v>
          </cell>
        </row>
        <row r="3060">
          <cell r="BT3060">
            <v>-2201.6</v>
          </cell>
          <cell r="BY3060">
            <v>2201.6</v>
          </cell>
        </row>
        <row r="3061">
          <cell r="BT3061">
            <v>88.06</v>
          </cell>
          <cell r="BY3061">
            <v>88.06</v>
          </cell>
        </row>
        <row r="3062">
          <cell r="BT3062">
            <v>-5070</v>
          </cell>
          <cell r="BY3062">
            <v>5070</v>
          </cell>
        </row>
        <row r="3063">
          <cell r="BT3063">
            <v>7825.36</v>
          </cell>
          <cell r="BY3063">
            <v>7825.36</v>
          </cell>
        </row>
        <row r="3064">
          <cell r="BT3064">
            <v>-782.54</v>
          </cell>
          <cell r="BY3064">
            <v>782.54</v>
          </cell>
        </row>
        <row r="3065">
          <cell r="BT3065">
            <v>1429.99</v>
          </cell>
          <cell r="BY3065">
            <v>1429.99</v>
          </cell>
        </row>
        <row r="3066">
          <cell r="BT3066">
            <v>-143</v>
          </cell>
          <cell r="BY3066">
            <v>143</v>
          </cell>
        </row>
        <row r="3067">
          <cell r="BT3067">
            <v>1760.07</v>
          </cell>
          <cell r="BY3067">
            <v>1760.07</v>
          </cell>
        </row>
        <row r="3068">
          <cell r="BT3068">
            <v>-176.01</v>
          </cell>
          <cell r="BY3068">
            <v>176.01</v>
          </cell>
        </row>
        <row r="3069">
          <cell r="BT3069">
            <v>1837.97</v>
          </cell>
          <cell r="BY3069">
            <v>1837.97</v>
          </cell>
        </row>
        <row r="3070">
          <cell r="BT3070">
            <v>-183.8</v>
          </cell>
          <cell r="BY3070">
            <v>183.8</v>
          </cell>
        </row>
        <row r="3071">
          <cell r="BT3071">
            <v>475.03</v>
          </cell>
          <cell r="BY3071">
            <v>475.03</v>
          </cell>
        </row>
        <row r="3072">
          <cell r="BT3072">
            <v>-47.5</v>
          </cell>
          <cell r="BY3072">
            <v>47.5</v>
          </cell>
        </row>
        <row r="3073">
          <cell r="BT3073">
            <v>106.2</v>
          </cell>
          <cell r="BY3073">
            <v>106.2</v>
          </cell>
        </row>
        <row r="3074">
          <cell r="BT3074">
            <v>202.8</v>
          </cell>
          <cell r="BY3074">
            <v>202.8</v>
          </cell>
        </row>
        <row r="3075">
          <cell r="BT3075">
            <v>-750</v>
          </cell>
          <cell r="BY3075">
            <v>750</v>
          </cell>
        </row>
        <row r="3076">
          <cell r="BT3076">
            <v>30</v>
          </cell>
          <cell r="BY3076">
            <v>30</v>
          </cell>
        </row>
        <row r="3077">
          <cell r="BT3077">
            <v>-540</v>
          </cell>
          <cell r="BY3077">
            <v>540</v>
          </cell>
        </row>
        <row r="3078">
          <cell r="BT3078">
            <v>21.6</v>
          </cell>
          <cell r="BY3078">
            <v>21.6</v>
          </cell>
        </row>
        <row r="3079">
          <cell r="BT3079">
            <v>-510</v>
          </cell>
          <cell r="BY3079">
            <v>510</v>
          </cell>
        </row>
        <row r="3080">
          <cell r="BT3080">
            <v>20.399999999999999</v>
          </cell>
          <cell r="BY3080">
            <v>20.399999999999999</v>
          </cell>
        </row>
        <row r="3081">
          <cell r="BT3081">
            <v>-1860</v>
          </cell>
          <cell r="BY3081">
            <v>1860</v>
          </cell>
        </row>
        <row r="3082">
          <cell r="BT3082">
            <v>74.400000000000006</v>
          </cell>
          <cell r="BY3082">
            <v>74.400000000000006</v>
          </cell>
        </row>
        <row r="3083">
          <cell r="BT3083">
            <v>-2584</v>
          </cell>
          <cell r="BY3083">
            <v>2584</v>
          </cell>
        </row>
        <row r="3084">
          <cell r="BT3084">
            <v>103.36</v>
          </cell>
          <cell r="BY3084">
            <v>103.36</v>
          </cell>
        </row>
        <row r="3085">
          <cell r="BT3085">
            <v>1050.03</v>
          </cell>
          <cell r="BY3085">
            <v>1050.03</v>
          </cell>
        </row>
        <row r="3086">
          <cell r="BT3086">
            <v>-105</v>
          </cell>
          <cell r="BY3086">
            <v>105</v>
          </cell>
        </row>
        <row r="3087">
          <cell r="BT3087">
            <v>6143.84</v>
          </cell>
          <cell r="BY3087">
            <v>6143.84</v>
          </cell>
        </row>
        <row r="3088">
          <cell r="BT3088">
            <v>-614.38</v>
          </cell>
          <cell r="BY3088">
            <v>614.38</v>
          </cell>
        </row>
        <row r="3089">
          <cell r="BT3089">
            <v>848.51</v>
          </cell>
          <cell r="BY3089">
            <v>848.51</v>
          </cell>
        </row>
        <row r="3090">
          <cell r="BT3090">
            <v>-84.85</v>
          </cell>
          <cell r="BY3090">
            <v>84.85</v>
          </cell>
        </row>
        <row r="3091">
          <cell r="BT3091">
            <v>1129.55</v>
          </cell>
          <cell r="BY3091">
            <v>1129.55</v>
          </cell>
        </row>
        <row r="3092">
          <cell r="BT3092">
            <v>-112.95</v>
          </cell>
          <cell r="BY3092">
            <v>112.95</v>
          </cell>
        </row>
        <row r="3093">
          <cell r="BT3093">
            <v>3600.13</v>
          </cell>
          <cell r="BY3093">
            <v>3600.13</v>
          </cell>
        </row>
        <row r="3094">
          <cell r="BT3094">
            <v>-360.01</v>
          </cell>
          <cell r="BY3094">
            <v>360.01</v>
          </cell>
        </row>
        <row r="3095">
          <cell r="BT3095">
            <v>11520.19</v>
          </cell>
          <cell r="BY3095">
            <v>11520.19</v>
          </cell>
        </row>
        <row r="3096">
          <cell r="BT3096">
            <v>-220</v>
          </cell>
          <cell r="BY3096">
            <v>220</v>
          </cell>
        </row>
        <row r="3097">
          <cell r="BT3097">
            <v>8.8000000000000007</v>
          </cell>
          <cell r="BY3097">
            <v>8.8000000000000007</v>
          </cell>
        </row>
        <row r="3098">
          <cell r="BT3098">
            <v>-415</v>
          </cell>
          <cell r="BY3098">
            <v>415</v>
          </cell>
        </row>
        <row r="3099">
          <cell r="BT3099">
            <v>16.600000000000001</v>
          </cell>
          <cell r="BY3099">
            <v>16.600000000000001</v>
          </cell>
        </row>
        <row r="3100">
          <cell r="BT3100">
            <v>-11127.6</v>
          </cell>
          <cell r="BY3100">
            <v>11127.6</v>
          </cell>
        </row>
        <row r="3101">
          <cell r="BT3101">
            <v>445.1</v>
          </cell>
          <cell r="BY3101">
            <v>445.1</v>
          </cell>
        </row>
        <row r="3102">
          <cell r="BT3102">
            <v>-257</v>
          </cell>
          <cell r="BY3102">
            <v>257</v>
          </cell>
        </row>
        <row r="3103">
          <cell r="BT3103">
            <v>10.28</v>
          </cell>
          <cell r="BY3103">
            <v>10.28</v>
          </cell>
        </row>
        <row r="3104">
          <cell r="BT3104">
            <v>-409.5</v>
          </cell>
          <cell r="BY3104">
            <v>409.5</v>
          </cell>
        </row>
        <row r="3105">
          <cell r="BT3105">
            <v>16.38</v>
          </cell>
          <cell r="BY3105">
            <v>16.38</v>
          </cell>
        </row>
        <row r="3106">
          <cell r="BT3106">
            <v>-53.2</v>
          </cell>
          <cell r="BY3106">
            <v>53.2</v>
          </cell>
        </row>
        <row r="3107">
          <cell r="BT3107">
            <v>-225</v>
          </cell>
          <cell r="BY3107">
            <v>225</v>
          </cell>
        </row>
        <row r="3108">
          <cell r="BT3108">
            <v>-700</v>
          </cell>
          <cell r="BY3108">
            <v>700</v>
          </cell>
        </row>
        <row r="3109">
          <cell r="BT3109">
            <v>38674</v>
          </cell>
          <cell r="BY3109">
            <v>38674</v>
          </cell>
        </row>
        <row r="3110">
          <cell r="BT3110">
            <v>396.5</v>
          </cell>
          <cell r="BY3110">
            <v>396.5</v>
          </cell>
        </row>
        <row r="3111">
          <cell r="BT3111">
            <v>-396.5</v>
          </cell>
          <cell r="BY3111">
            <v>396.5</v>
          </cell>
        </row>
        <row r="3112">
          <cell r="BT3112">
            <v>-38674</v>
          </cell>
          <cell r="BY3112">
            <v>38674</v>
          </cell>
        </row>
        <row r="3113">
          <cell r="BT3113">
            <v>-396.5</v>
          </cell>
          <cell r="BY3113">
            <v>396.5</v>
          </cell>
        </row>
        <row r="3114">
          <cell r="BT3114">
            <v>396.5</v>
          </cell>
          <cell r="BY3114">
            <v>396.5</v>
          </cell>
        </row>
        <row r="3115">
          <cell r="BT3115">
            <v>38674</v>
          </cell>
          <cell r="BY3115">
            <v>38674</v>
          </cell>
        </row>
        <row r="3116">
          <cell r="BT3116">
            <v>396.5</v>
          </cell>
          <cell r="BY3116">
            <v>396.5</v>
          </cell>
        </row>
        <row r="3117">
          <cell r="BT3117">
            <v>-396.5</v>
          </cell>
          <cell r="BY3117">
            <v>396.5</v>
          </cell>
        </row>
        <row r="3118">
          <cell r="BT3118">
            <v>38674</v>
          </cell>
          <cell r="BY3118">
            <v>38674</v>
          </cell>
        </row>
        <row r="3119">
          <cell r="BT3119">
            <v>-712.5</v>
          </cell>
          <cell r="BY3119">
            <v>712.5</v>
          </cell>
        </row>
        <row r="3120">
          <cell r="BT3120">
            <v>-3550</v>
          </cell>
          <cell r="BY3120">
            <v>3550</v>
          </cell>
        </row>
        <row r="3121">
          <cell r="BT3121">
            <v>-2331</v>
          </cell>
          <cell r="BY3121">
            <v>2331</v>
          </cell>
        </row>
        <row r="3122">
          <cell r="BT3122">
            <v>-2331</v>
          </cell>
          <cell r="BY3122">
            <v>2331</v>
          </cell>
        </row>
        <row r="3123">
          <cell r="BT3123">
            <v>2331</v>
          </cell>
          <cell r="BY3123">
            <v>2331</v>
          </cell>
        </row>
        <row r="3124">
          <cell r="BT3124">
            <v>-552.5</v>
          </cell>
          <cell r="BY3124">
            <v>552.5</v>
          </cell>
        </row>
        <row r="3125">
          <cell r="BT3125">
            <v>-412.5</v>
          </cell>
          <cell r="BY3125">
            <v>412.5</v>
          </cell>
        </row>
        <row r="3126">
          <cell r="BT3126">
            <v>-2000</v>
          </cell>
          <cell r="BY3126">
            <v>2000</v>
          </cell>
        </row>
        <row r="3127">
          <cell r="BT3127">
            <v>-2000</v>
          </cell>
          <cell r="BY3127">
            <v>2000</v>
          </cell>
        </row>
        <row r="3128">
          <cell r="BT3128">
            <v>-12800</v>
          </cell>
          <cell r="BY3128">
            <v>12800</v>
          </cell>
        </row>
        <row r="3129">
          <cell r="BT3129">
            <v>-137</v>
          </cell>
          <cell r="BY3129">
            <v>137</v>
          </cell>
        </row>
        <row r="3130">
          <cell r="BT3130">
            <v>396.5</v>
          </cell>
          <cell r="BY3130">
            <v>396.5</v>
          </cell>
        </row>
        <row r="3131">
          <cell r="BT3131">
            <v>-396.5</v>
          </cell>
          <cell r="BY3131">
            <v>396.5</v>
          </cell>
        </row>
        <row r="3132">
          <cell r="BT3132">
            <v>-38674</v>
          </cell>
          <cell r="BY3132">
            <v>38674</v>
          </cell>
        </row>
        <row r="3133">
          <cell r="BT3133">
            <v>-396.5</v>
          </cell>
          <cell r="BY3133">
            <v>396.5</v>
          </cell>
        </row>
        <row r="3134">
          <cell r="BT3134">
            <v>396.5</v>
          </cell>
          <cell r="BY3134">
            <v>396.5</v>
          </cell>
        </row>
        <row r="3135">
          <cell r="BT3135">
            <v>38674</v>
          </cell>
          <cell r="BY3135">
            <v>38674</v>
          </cell>
        </row>
        <row r="3136">
          <cell r="BT3136">
            <v>396.5</v>
          </cell>
          <cell r="BY3136">
            <v>396.5</v>
          </cell>
        </row>
        <row r="3137">
          <cell r="BT3137">
            <v>-396.5</v>
          </cell>
          <cell r="BY3137">
            <v>396.5</v>
          </cell>
        </row>
        <row r="3138">
          <cell r="BT3138">
            <v>-639</v>
          </cell>
          <cell r="BY3138">
            <v>639</v>
          </cell>
        </row>
        <row r="3139">
          <cell r="BT3139">
            <v>-639</v>
          </cell>
          <cell r="BY3139">
            <v>639</v>
          </cell>
        </row>
        <row r="3140">
          <cell r="BT3140">
            <v>639</v>
          </cell>
          <cell r="BY3140">
            <v>639</v>
          </cell>
        </row>
        <row r="3141">
          <cell r="BT3141">
            <v>-274.2</v>
          </cell>
          <cell r="BY3141">
            <v>274.2</v>
          </cell>
        </row>
        <row r="3142">
          <cell r="BT3142">
            <v>-274.2</v>
          </cell>
          <cell r="BY3142">
            <v>274.2</v>
          </cell>
        </row>
        <row r="3143">
          <cell r="BT3143">
            <v>274.2</v>
          </cell>
          <cell r="BY3143">
            <v>274.2</v>
          </cell>
        </row>
        <row r="3144">
          <cell r="BT3144">
            <v>-967.5</v>
          </cell>
          <cell r="BY3144">
            <v>967.5</v>
          </cell>
        </row>
        <row r="3145">
          <cell r="BT3145">
            <v>-1890</v>
          </cell>
          <cell r="BY3145">
            <v>1890</v>
          </cell>
        </row>
        <row r="3146">
          <cell r="BT3146">
            <v>-5340</v>
          </cell>
          <cell r="BY3146">
            <v>5340</v>
          </cell>
        </row>
        <row r="3147">
          <cell r="BT3147">
            <v>-980</v>
          </cell>
          <cell r="BY3147">
            <v>980</v>
          </cell>
        </row>
        <row r="3148">
          <cell r="BT3148">
            <v>-960</v>
          </cell>
          <cell r="BY3148">
            <v>960</v>
          </cell>
        </row>
        <row r="3149">
          <cell r="BT3149">
            <v>-500</v>
          </cell>
          <cell r="BY3149">
            <v>500</v>
          </cell>
        </row>
        <row r="3150">
          <cell r="BT3150">
            <v>-3580</v>
          </cell>
          <cell r="BY3150">
            <v>3580</v>
          </cell>
        </row>
        <row r="3151">
          <cell r="BT3151">
            <v>-3680</v>
          </cell>
          <cell r="BY3151">
            <v>3680</v>
          </cell>
        </row>
        <row r="3152">
          <cell r="BT3152">
            <v>-665</v>
          </cell>
          <cell r="BY3152">
            <v>665</v>
          </cell>
        </row>
        <row r="3153">
          <cell r="BT3153">
            <v>-4600</v>
          </cell>
          <cell r="BY3153">
            <v>4600</v>
          </cell>
        </row>
        <row r="3154">
          <cell r="BT3154">
            <v>-15000</v>
          </cell>
          <cell r="BY3154">
            <v>15000</v>
          </cell>
        </row>
        <row r="3155">
          <cell r="BT3155">
            <v>-617.5</v>
          </cell>
          <cell r="BY3155">
            <v>617.5</v>
          </cell>
        </row>
        <row r="3156">
          <cell r="BT3156">
            <v>-4235</v>
          </cell>
          <cell r="BY3156">
            <v>4235</v>
          </cell>
        </row>
        <row r="3157">
          <cell r="BT3157">
            <v>-282.60000000000002</v>
          </cell>
          <cell r="BY3157">
            <v>282.60000000000002</v>
          </cell>
        </row>
        <row r="3158">
          <cell r="BT3158">
            <v>-458.5</v>
          </cell>
          <cell r="BY3158">
            <v>458.5</v>
          </cell>
        </row>
        <row r="3159">
          <cell r="BT3159">
            <v>-1179.3599999999999</v>
          </cell>
          <cell r="BY3159">
            <v>1179.3599999999999</v>
          </cell>
        </row>
        <row r="3160">
          <cell r="BT3160">
            <v>-1362</v>
          </cell>
          <cell r="BY3160">
            <v>1362</v>
          </cell>
        </row>
        <row r="3161">
          <cell r="BT3161">
            <v>-330.75</v>
          </cell>
          <cell r="BY3161">
            <v>330.75</v>
          </cell>
        </row>
        <row r="3162">
          <cell r="BT3162">
            <v>-8537.4</v>
          </cell>
          <cell r="BY3162">
            <v>8537.4</v>
          </cell>
        </row>
        <row r="3163">
          <cell r="BT3163">
            <v>-544</v>
          </cell>
          <cell r="BY3163">
            <v>544</v>
          </cell>
        </row>
        <row r="3164">
          <cell r="BT3164">
            <v>-712.8</v>
          </cell>
          <cell r="BY3164">
            <v>712.8</v>
          </cell>
        </row>
        <row r="3165">
          <cell r="BT3165">
            <v>-548.85</v>
          </cell>
          <cell r="BY3165">
            <v>548.85</v>
          </cell>
        </row>
        <row r="3166">
          <cell r="BT3166">
            <v>-257.5</v>
          </cell>
          <cell r="BY3166">
            <v>257.5</v>
          </cell>
        </row>
        <row r="3167">
          <cell r="BT3167">
            <v>-4600</v>
          </cell>
          <cell r="BY3167">
            <v>4600</v>
          </cell>
        </row>
        <row r="3168">
          <cell r="BT3168">
            <v>-258</v>
          </cell>
          <cell r="BY3168">
            <v>258</v>
          </cell>
        </row>
        <row r="3169">
          <cell r="BT3169">
            <v>12.9</v>
          </cell>
          <cell r="BY3169">
            <v>12.9</v>
          </cell>
        </row>
        <row r="3170">
          <cell r="BT3170">
            <v>-600</v>
          </cell>
          <cell r="BY3170">
            <v>600</v>
          </cell>
        </row>
        <row r="3171">
          <cell r="BT3171">
            <v>30</v>
          </cell>
          <cell r="BY3171">
            <v>30</v>
          </cell>
        </row>
        <row r="3172">
          <cell r="BT3172">
            <v>-2400</v>
          </cell>
          <cell r="BY3172">
            <v>2400</v>
          </cell>
        </row>
        <row r="3173">
          <cell r="BT3173">
            <v>120</v>
          </cell>
          <cell r="BY3173">
            <v>120</v>
          </cell>
        </row>
        <row r="3174">
          <cell r="BT3174">
            <v>-1200</v>
          </cell>
          <cell r="BY3174">
            <v>1200</v>
          </cell>
        </row>
        <row r="3175">
          <cell r="BT3175">
            <v>60</v>
          </cell>
          <cell r="BY3175">
            <v>60</v>
          </cell>
        </row>
        <row r="3176">
          <cell r="BT3176">
            <v>-860</v>
          </cell>
          <cell r="BY3176">
            <v>860</v>
          </cell>
        </row>
        <row r="3177">
          <cell r="BT3177">
            <v>-1345</v>
          </cell>
          <cell r="BY3177">
            <v>1345</v>
          </cell>
        </row>
        <row r="3178">
          <cell r="BT3178">
            <v>-185.2</v>
          </cell>
          <cell r="BY3178">
            <v>185.2</v>
          </cell>
        </row>
        <row r="3179">
          <cell r="BT3179">
            <v>-880</v>
          </cell>
          <cell r="BY3179">
            <v>880</v>
          </cell>
        </row>
        <row r="3180">
          <cell r="BT3180">
            <v>-643.54</v>
          </cell>
          <cell r="BY3180">
            <v>643.54</v>
          </cell>
        </row>
        <row r="3181">
          <cell r="BT3181">
            <v>43</v>
          </cell>
          <cell r="BY3181">
            <v>43</v>
          </cell>
        </row>
        <row r="3182">
          <cell r="BT3182">
            <v>-9750</v>
          </cell>
          <cell r="BY3182">
            <v>9750</v>
          </cell>
        </row>
        <row r="3183">
          <cell r="BT3183">
            <v>487.5</v>
          </cell>
          <cell r="BY3183">
            <v>487.5</v>
          </cell>
        </row>
        <row r="3184">
          <cell r="BT3184">
            <v>-10000</v>
          </cell>
          <cell r="BY3184">
            <v>10000</v>
          </cell>
        </row>
        <row r="3185">
          <cell r="BT3185">
            <v>500</v>
          </cell>
          <cell r="BY3185">
            <v>500</v>
          </cell>
        </row>
        <row r="3186">
          <cell r="BT3186">
            <v>-1100</v>
          </cell>
          <cell r="BY3186">
            <v>1100</v>
          </cell>
        </row>
        <row r="3187">
          <cell r="BT3187">
            <v>55</v>
          </cell>
          <cell r="BY3187">
            <v>55</v>
          </cell>
        </row>
        <row r="3188">
          <cell r="BT3188">
            <v>-6800</v>
          </cell>
          <cell r="BY3188">
            <v>6800</v>
          </cell>
        </row>
        <row r="3189">
          <cell r="BT3189">
            <v>340</v>
          </cell>
          <cell r="BY3189">
            <v>340</v>
          </cell>
        </row>
        <row r="3190">
          <cell r="BT3190">
            <v>-2170</v>
          </cell>
          <cell r="BY3190">
            <v>2170</v>
          </cell>
        </row>
        <row r="3191">
          <cell r="BT3191">
            <v>108.5</v>
          </cell>
          <cell r="BY3191">
            <v>108.5</v>
          </cell>
        </row>
        <row r="3192">
          <cell r="BT3192">
            <v>-11240</v>
          </cell>
          <cell r="BY3192">
            <v>11240</v>
          </cell>
        </row>
        <row r="3193">
          <cell r="BT3193">
            <v>562</v>
          </cell>
          <cell r="BY3193">
            <v>562</v>
          </cell>
        </row>
        <row r="3194">
          <cell r="BT3194">
            <v>-1092</v>
          </cell>
          <cell r="BY3194">
            <v>1092</v>
          </cell>
        </row>
        <row r="3195">
          <cell r="BT3195">
            <v>54.6</v>
          </cell>
          <cell r="BY3195">
            <v>54.6</v>
          </cell>
        </row>
        <row r="3196">
          <cell r="BT3196">
            <v>-2130</v>
          </cell>
          <cell r="BY3196">
            <v>2130</v>
          </cell>
        </row>
        <row r="3197">
          <cell r="BT3197">
            <v>106.5</v>
          </cell>
          <cell r="BY3197">
            <v>106.5</v>
          </cell>
        </row>
        <row r="3198">
          <cell r="BT3198">
            <v>-30.6</v>
          </cell>
          <cell r="BY3198">
            <v>30.6</v>
          </cell>
        </row>
        <row r="3199">
          <cell r="BT3199">
            <v>1.53</v>
          </cell>
          <cell r="BY3199">
            <v>1.53</v>
          </cell>
        </row>
        <row r="3200">
          <cell r="BT3200">
            <v>-1001.3</v>
          </cell>
          <cell r="BY3200">
            <v>1001.3</v>
          </cell>
        </row>
        <row r="3201">
          <cell r="BT3201">
            <v>50.07</v>
          </cell>
          <cell r="BY3201">
            <v>50.07</v>
          </cell>
        </row>
        <row r="3202">
          <cell r="BT3202">
            <v>-708.75</v>
          </cell>
          <cell r="BY3202">
            <v>708.75</v>
          </cell>
        </row>
        <row r="3203">
          <cell r="BT3203">
            <v>35.44</v>
          </cell>
          <cell r="BY3203">
            <v>35.44</v>
          </cell>
        </row>
        <row r="3204">
          <cell r="BT3204">
            <v>-537.5</v>
          </cell>
          <cell r="BY3204">
            <v>537.5</v>
          </cell>
        </row>
        <row r="3205">
          <cell r="BT3205">
            <v>26.88</v>
          </cell>
          <cell r="BY3205">
            <v>26.88</v>
          </cell>
        </row>
        <row r="3206">
          <cell r="BT3206">
            <v>-512.5</v>
          </cell>
          <cell r="BY3206">
            <v>512.5</v>
          </cell>
        </row>
        <row r="3207">
          <cell r="BT3207">
            <v>25.63</v>
          </cell>
          <cell r="BY3207">
            <v>25.63</v>
          </cell>
        </row>
        <row r="3208">
          <cell r="BT3208">
            <v>-357</v>
          </cell>
          <cell r="BY3208">
            <v>357</v>
          </cell>
        </row>
        <row r="3209">
          <cell r="BT3209">
            <v>17.850000000000001</v>
          </cell>
          <cell r="BY3209">
            <v>17.850000000000001</v>
          </cell>
        </row>
        <row r="3210">
          <cell r="BT3210">
            <v>-1386</v>
          </cell>
          <cell r="BY3210">
            <v>1386</v>
          </cell>
        </row>
        <row r="3211">
          <cell r="BT3211">
            <v>69.3</v>
          </cell>
          <cell r="BY3211">
            <v>69.3</v>
          </cell>
        </row>
        <row r="3212">
          <cell r="BT3212">
            <v>-20425</v>
          </cell>
          <cell r="BY3212">
            <v>20425</v>
          </cell>
        </row>
        <row r="3213">
          <cell r="BT3213">
            <v>1021.22</v>
          </cell>
          <cell r="BY3213">
            <v>1021.22</v>
          </cell>
        </row>
        <row r="3214">
          <cell r="BT3214">
            <v>-550</v>
          </cell>
          <cell r="BY3214">
            <v>550</v>
          </cell>
        </row>
        <row r="3215">
          <cell r="BT3215">
            <v>27.5</v>
          </cell>
          <cell r="BY3215">
            <v>27.5</v>
          </cell>
        </row>
        <row r="3216">
          <cell r="BT3216">
            <v>-240.75</v>
          </cell>
          <cell r="BY3216">
            <v>240.75</v>
          </cell>
        </row>
        <row r="3217">
          <cell r="BT3217">
            <v>12.04</v>
          </cell>
          <cell r="BY3217">
            <v>12.04</v>
          </cell>
        </row>
        <row r="3218">
          <cell r="BT3218">
            <v>-1230</v>
          </cell>
          <cell r="BY3218">
            <v>1230</v>
          </cell>
        </row>
        <row r="3219">
          <cell r="BT3219">
            <v>61.5</v>
          </cell>
          <cell r="BY3219">
            <v>61.5</v>
          </cell>
        </row>
        <row r="3220">
          <cell r="BT3220">
            <v>-505.3</v>
          </cell>
          <cell r="BY3220">
            <v>505.3</v>
          </cell>
        </row>
        <row r="3221">
          <cell r="BT3221">
            <v>25.27</v>
          </cell>
          <cell r="BY3221">
            <v>25.27</v>
          </cell>
        </row>
        <row r="3222">
          <cell r="BT3222">
            <v>-4762.5</v>
          </cell>
          <cell r="BY3222">
            <v>4762.5</v>
          </cell>
        </row>
        <row r="3223">
          <cell r="BT3223">
            <v>238.13</v>
          </cell>
          <cell r="BY3223">
            <v>238.13</v>
          </cell>
        </row>
        <row r="3224">
          <cell r="BT3224">
            <v>-401.25</v>
          </cell>
          <cell r="BY3224">
            <v>401.25</v>
          </cell>
        </row>
        <row r="3225">
          <cell r="BT3225">
            <v>129</v>
          </cell>
          <cell r="BY3225">
            <v>129</v>
          </cell>
        </row>
        <row r="3226">
          <cell r="BT3226">
            <v>-5.16</v>
          </cell>
          <cell r="BY3226">
            <v>5.16</v>
          </cell>
        </row>
        <row r="3227">
          <cell r="BT3227">
            <v>720</v>
          </cell>
          <cell r="BY3227">
            <v>720</v>
          </cell>
        </row>
        <row r="3228">
          <cell r="BT3228">
            <v>-28.8</v>
          </cell>
          <cell r="BY3228">
            <v>28.8</v>
          </cell>
        </row>
        <row r="3229">
          <cell r="BT3229">
            <v>425</v>
          </cell>
          <cell r="BY3229">
            <v>425</v>
          </cell>
        </row>
        <row r="3230">
          <cell r="BT3230">
            <v>-17</v>
          </cell>
          <cell r="BY3230">
            <v>17</v>
          </cell>
        </row>
        <row r="3231">
          <cell r="BT3231">
            <v>2201.6</v>
          </cell>
          <cell r="BY3231">
            <v>2201.6</v>
          </cell>
        </row>
        <row r="3232">
          <cell r="BT3232">
            <v>-88.06</v>
          </cell>
          <cell r="BY3232">
            <v>88.06</v>
          </cell>
        </row>
        <row r="3233">
          <cell r="BT3233">
            <v>20.059999999999999</v>
          </cell>
          <cell r="BY3233">
            <v>20.059999999999999</v>
          </cell>
        </row>
        <row r="3234">
          <cell r="BT3234">
            <v>-6440</v>
          </cell>
          <cell r="BY3234">
            <v>6440</v>
          </cell>
        </row>
        <row r="3235">
          <cell r="BT3235">
            <v>322</v>
          </cell>
          <cell r="BY3235">
            <v>322</v>
          </cell>
        </row>
        <row r="3236">
          <cell r="BT3236">
            <v>-300</v>
          </cell>
          <cell r="BY3236">
            <v>300</v>
          </cell>
        </row>
        <row r="3237">
          <cell r="BT3237">
            <v>15</v>
          </cell>
          <cell r="BY3237">
            <v>15</v>
          </cell>
        </row>
        <row r="3238">
          <cell r="BT3238">
            <v>-1906.5</v>
          </cell>
          <cell r="BY3238">
            <v>1906.5</v>
          </cell>
        </row>
        <row r="3239">
          <cell r="BT3239">
            <v>95.33</v>
          </cell>
          <cell r="BY3239">
            <v>95.33</v>
          </cell>
        </row>
        <row r="3240">
          <cell r="BT3240">
            <v>-12690</v>
          </cell>
          <cell r="BY3240">
            <v>12690</v>
          </cell>
        </row>
        <row r="3241">
          <cell r="BT3241">
            <v>634.5</v>
          </cell>
          <cell r="BY3241">
            <v>634.5</v>
          </cell>
        </row>
        <row r="3242">
          <cell r="BT3242">
            <v>-1213</v>
          </cell>
          <cell r="BY3242">
            <v>1213</v>
          </cell>
        </row>
        <row r="3243">
          <cell r="BT3243">
            <v>60.65</v>
          </cell>
          <cell r="BY3243">
            <v>60.65</v>
          </cell>
        </row>
        <row r="3244">
          <cell r="BT3244">
            <v>5070</v>
          </cell>
          <cell r="BY3244">
            <v>5070</v>
          </cell>
        </row>
        <row r="3245">
          <cell r="BT3245">
            <v>-202.8</v>
          </cell>
          <cell r="BY3245">
            <v>202.8</v>
          </cell>
        </row>
        <row r="3246">
          <cell r="BT3246">
            <v>750</v>
          </cell>
          <cell r="BY3246">
            <v>750</v>
          </cell>
        </row>
        <row r="3247">
          <cell r="BT3247">
            <v>-30</v>
          </cell>
          <cell r="BY3247">
            <v>30</v>
          </cell>
        </row>
        <row r="3248">
          <cell r="BT3248">
            <v>540</v>
          </cell>
          <cell r="BY3248">
            <v>540</v>
          </cell>
        </row>
        <row r="3249">
          <cell r="BT3249">
            <v>-21.6</v>
          </cell>
          <cell r="BY3249">
            <v>21.6</v>
          </cell>
        </row>
        <row r="3250">
          <cell r="BT3250">
            <v>510</v>
          </cell>
          <cell r="BY3250">
            <v>510</v>
          </cell>
        </row>
        <row r="3251">
          <cell r="BT3251">
            <v>-20.399999999999999</v>
          </cell>
          <cell r="BY3251">
            <v>20.399999999999999</v>
          </cell>
        </row>
        <row r="3252">
          <cell r="BT3252">
            <v>1860</v>
          </cell>
          <cell r="BY3252">
            <v>1860</v>
          </cell>
        </row>
        <row r="3253">
          <cell r="BT3253">
            <v>-74.400000000000006</v>
          </cell>
          <cell r="BY3253">
            <v>74.400000000000006</v>
          </cell>
        </row>
        <row r="3254">
          <cell r="BT3254">
            <v>2584</v>
          </cell>
          <cell r="BY3254">
            <v>2584</v>
          </cell>
        </row>
        <row r="3255">
          <cell r="BT3255">
            <v>-449</v>
          </cell>
          <cell r="BY3255">
            <v>449</v>
          </cell>
        </row>
        <row r="3256">
          <cell r="BT3256">
            <v>22.45</v>
          </cell>
          <cell r="BY3256">
            <v>22.45</v>
          </cell>
        </row>
        <row r="3257">
          <cell r="BT3257">
            <v>-971.75</v>
          </cell>
          <cell r="BY3257">
            <v>971.75</v>
          </cell>
        </row>
        <row r="3258">
          <cell r="BT3258">
            <v>48.59</v>
          </cell>
          <cell r="BY3258">
            <v>48.59</v>
          </cell>
        </row>
        <row r="3259">
          <cell r="BT3259">
            <v>-2100</v>
          </cell>
          <cell r="BY3259">
            <v>2100</v>
          </cell>
        </row>
        <row r="3260">
          <cell r="BT3260">
            <v>105</v>
          </cell>
          <cell r="BY3260">
            <v>105</v>
          </cell>
        </row>
        <row r="3261">
          <cell r="BT3261">
            <v>-370</v>
          </cell>
          <cell r="BY3261">
            <v>370</v>
          </cell>
        </row>
        <row r="3262">
          <cell r="BT3262">
            <v>18.5</v>
          </cell>
          <cell r="BY3262">
            <v>18.5</v>
          </cell>
        </row>
        <row r="3263">
          <cell r="BT3263">
            <v>-817</v>
          </cell>
          <cell r="BY3263">
            <v>817</v>
          </cell>
        </row>
        <row r="3264">
          <cell r="BT3264">
            <v>24.51</v>
          </cell>
          <cell r="BY3264">
            <v>24.51</v>
          </cell>
        </row>
        <row r="3265">
          <cell r="BT3265">
            <v>-1644</v>
          </cell>
          <cell r="BY3265">
            <v>1644</v>
          </cell>
        </row>
        <row r="3266">
          <cell r="BT3266">
            <v>49.32</v>
          </cell>
          <cell r="BY3266">
            <v>49.32</v>
          </cell>
        </row>
        <row r="3267">
          <cell r="BT3267">
            <v>-324</v>
          </cell>
          <cell r="BY3267">
            <v>324</v>
          </cell>
        </row>
        <row r="3268">
          <cell r="BT3268">
            <v>9.7200000000000006</v>
          </cell>
          <cell r="BY3268">
            <v>9.7200000000000006</v>
          </cell>
        </row>
        <row r="3269">
          <cell r="BT3269">
            <v>314.27999999999997</v>
          </cell>
          <cell r="BY3269">
            <v>314.27999999999997</v>
          </cell>
        </row>
        <row r="3270">
          <cell r="BT3270">
            <v>-1068</v>
          </cell>
          <cell r="BY3270">
            <v>1068</v>
          </cell>
        </row>
        <row r="3271">
          <cell r="BT3271">
            <v>32.04</v>
          </cell>
          <cell r="BY3271">
            <v>32.04</v>
          </cell>
        </row>
        <row r="3272">
          <cell r="BT3272">
            <v>-2890</v>
          </cell>
          <cell r="BY3272">
            <v>2890</v>
          </cell>
        </row>
        <row r="3273">
          <cell r="BT3273">
            <v>86.7</v>
          </cell>
          <cell r="BY3273">
            <v>86.7</v>
          </cell>
        </row>
        <row r="3274">
          <cell r="BT3274">
            <v>-103.36</v>
          </cell>
          <cell r="BY3274">
            <v>103.36</v>
          </cell>
        </row>
        <row r="3275">
          <cell r="BT3275">
            <v>220</v>
          </cell>
          <cell r="BY3275">
            <v>220</v>
          </cell>
        </row>
        <row r="3276">
          <cell r="BT3276">
            <v>-8.8000000000000007</v>
          </cell>
          <cell r="BY3276">
            <v>8.8000000000000007</v>
          </cell>
        </row>
        <row r="3277">
          <cell r="BT3277">
            <v>415</v>
          </cell>
          <cell r="BY3277">
            <v>415</v>
          </cell>
        </row>
        <row r="3278">
          <cell r="BT3278">
            <v>-16.600000000000001</v>
          </cell>
          <cell r="BY3278">
            <v>16.600000000000001</v>
          </cell>
        </row>
        <row r="3279">
          <cell r="BT3279">
            <v>11127.6</v>
          </cell>
          <cell r="BY3279">
            <v>11127.6</v>
          </cell>
        </row>
        <row r="3280">
          <cell r="BT3280">
            <v>-445.1</v>
          </cell>
          <cell r="BY3280">
            <v>445.1</v>
          </cell>
        </row>
        <row r="3281">
          <cell r="BT3281">
            <v>257</v>
          </cell>
          <cell r="BY3281">
            <v>257</v>
          </cell>
        </row>
        <row r="3282">
          <cell r="BT3282">
            <v>-10.28</v>
          </cell>
          <cell r="BY3282">
            <v>10.28</v>
          </cell>
        </row>
        <row r="3283">
          <cell r="BT3283">
            <v>409.5</v>
          </cell>
          <cell r="BY3283">
            <v>409.5</v>
          </cell>
        </row>
        <row r="3284">
          <cell r="BT3284">
            <v>-16.38</v>
          </cell>
          <cell r="BY3284">
            <v>16.38</v>
          </cell>
        </row>
        <row r="3285">
          <cell r="BT3285">
            <v>-30.6</v>
          </cell>
          <cell r="BY3285">
            <v>30.6</v>
          </cell>
        </row>
        <row r="3286">
          <cell r="BT3286">
            <v>1.53</v>
          </cell>
          <cell r="BY3286">
            <v>1.53</v>
          </cell>
        </row>
        <row r="3287">
          <cell r="BT3287">
            <v>-1017.45</v>
          </cell>
          <cell r="BY3287">
            <v>1017.45</v>
          </cell>
        </row>
        <row r="3288">
          <cell r="BT3288">
            <v>50.87</v>
          </cell>
          <cell r="BY3288">
            <v>50.87</v>
          </cell>
        </row>
        <row r="3289">
          <cell r="BT3289">
            <v>-708.75</v>
          </cell>
          <cell r="BY3289">
            <v>708.75</v>
          </cell>
        </row>
        <row r="3290">
          <cell r="BT3290">
            <v>35.44</v>
          </cell>
          <cell r="BY3290">
            <v>35.44</v>
          </cell>
        </row>
        <row r="3291">
          <cell r="BT3291">
            <v>-537.5</v>
          </cell>
          <cell r="BY3291">
            <v>537.5</v>
          </cell>
        </row>
        <row r="3292">
          <cell r="BT3292">
            <v>-2614.4</v>
          </cell>
          <cell r="BY3292">
            <v>2614.4</v>
          </cell>
        </row>
        <row r="3293">
          <cell r="BT3293">
            <v>78.430000000000007</v>
          </cell>
          <cell r="BY3293">
            <v>78.430000000000007</v>
          </cell>
        </row>
        <row r="3294">
          <cell r="BT3294">
            <v>-240.3</v>
          </cell>
          <cell r="BY3294">
            <v>240.3</v>
          </cell>
        </row>
        <row r="3295">
          <cell r="BT3295">
            <v>7.21</v>
          </cell>
          <cell r="BY3295">
            <v>7.21</v>
          </cell>
        </row>
        <row r="3296">
          <cell r="BT3296">
            <v>-645</v>
          </cell>
          <cell r="BY3296">
            <v>645</v>
          </cell>
        </row>
        <row r="3297">
          <cell r="BT3297">
            <v>19.350000000000001</v>
          </cell>
          <cell r="BY3297">
            <v>19.350000000000001</v>
          </cell>
        </row>
        <row r="3298">
          <cell r="BT3298">
            <v>-852</v>
          </cell>
          <cell r="BY3298">
            <v>852</v>
          </cell>
        </row>
        <row r="3299">
          <cell r="BT3299">
            <v>25.56</v>
          </cell>
          <cell r="BY3299">
            <v>25.56</v>
          </cell>
        </row>
        <row r="3300">
          <cell r="BT3300">
            <v>-1300</v>
          </cell>
          <cell r="BY3300">
            <v>1300</v>
          </cell>
        </row>
        <row r="3301">
          <cell r="BT3301">
            <v>39</v>
          </cell>
          <cell r="BY3301">
            <v>39</v>
          </cell>
        </row>
        <row r="3302">
          <cell r="BT3302">
            <v>-765</v>
          </cell>
          <cell r="BY3302">
            <v>765</v>
          </cell>
        </row>
        <row r="3303">
          <cell r="BT3303">
            <v>53.2</v>
          </cell>
          <cell r="BY3303">
            <v>53.2</v>
          </cell>
        </row>
        <row r="3304">
          <cell r="BT3304">
            <v>-2.13</v>
          </cell>
          <cell r="BY3304">
            <v>2.13</v>
          </cell>
        </row>
        <row r="3305">
          <cell r="BT3305">
            <v>36.5</v>
          </cell>
          <cell r="BY3305">
            <v>36.5</v>
          </cell>
        </row>
        <row r="3306">
          <cell r="BT3306">
            <v>-1.46</v>
          </cell>
          <cell r="BY3306">
            <v>1.46</v>
          </cell>
        </row>
        <row r="3307">
          <cell r="BT3307">
            <v>85.2</v>
          </cell>
          <cell r="BY3307">
            <v>85.2</v>
          </cell>
        </row>
        <row r="3308">
          <cell r="BT3308">
            <v>-3.41</v>
          </cell>
          <cell r="BY3308">
            <v>3.41</v>
          </cell>
        </row>
        <row r="3309">
          <cell r="BT3309">
            <v>-1500</v>
          </cell>
          <cell r="BY3309">
            <v>1500</v>
          </cell>
        </row>
        <row r="3310">
          <cell r="BT3310">
            <v>-1500</v>
          </cell>
          <cell r="BY3310">
            <v>1500</v>
          </cell>
        </row>
        <row r="3311">
          <cell r="BT3311">
            <v>1500</v>
          </cell>
          <cell r="BY3311">
            <v>1500</v>
          </cell>
        </row>
        <row r="3312">
          <cell r="BT3312">
            <v>-1500</v>
          </cell>
          <cell r="BY3312">
            <v>1500</v>
          </cell>
        </row>
        <row r="3313">
          <cell r="BT3313">
            <v>1500</v>
          </cell>
          <cell r="BY3313">
            <v>1500</v>
          </cell>
        </row>
        <row r="3314">
          <cell r="BT3314">
            <v>-1500</v>
          </cell>
          <cell r="BY3314">
            <v>1500</v>
          </cell>
        </row>
        <row r="3315">
          <cell r="BT3315">
            <v>-400</v>
          </cell>
          <cell r="BY3315">
            <v>400</v>
          </cell>
        </row>
        <row r="3316">
          <cell r="BT3316">
            <v>-2000</v>
          </cell>
          <cell r="BY3316">
            <v>2000</v>
          </cell>
        </row>
        <row r="3317">
          <cell r="BT3317">
            <v>26.88</v>
          </cell>
          <cell r="BY3317">
            <v>26.88</v>
          </cell>
        </row>
        <row r="3318">
          <cell r="BT3318">
            <v>-512.5</v>
          </cell>
          <cell r="BY3318">
            <v>512.5</v>
          </cell>
        </row>
        <row r="3319">
          <cell r="BT3319">
            <v>25.63</v>
          </cell>
          <cell r="BY3319">
            <v>25.63</v>
          </cell>
        </row>
        <row r="3320">
          <cell r="BT3320">
            <v>-357</v>
          </cell>
          <cell r="BY3320">
            <v>357</v>
          </cell>
        </row>
        <row r="3321">
          <cell r="BT3321">
            <v>17.850000000000001</v>
          </cell>
          <cell r="BY3321">
            <v>17.850000000000001</v>
          </cell>
        </row>
        <row r="3322">
          <cell r="BT3322">
            <v>-1386</v>
          </cell>
          <cell r="BY3322">
            <v>1386</v>
          </cell>
        </row>
        <row r="3323">
          <cell r="BT3323">
            <v>69.3</v>
          </cell>
          <cell r="BY3323">
            <v>69.3</v>
          </cell>
        </row>
        <row r="3324">
          <cell r="BT3324">
            <v>-20425</v>
          </cell>
          <cell r="BY3324">
            <v>20425</v>
          </cell>
        </row>
        <row r="3325">
          <cell r="BT3325">
            <v>1021.23</v>
          </cell>
          <cell r="BY3325">
            <v>1021.23</v>
          </cell>
        </row>
        <row r="3326">
          <cell r="BT3326">
            <v>-550</v>
          </cell>
          <cell r="BY3326">
            <v>550</v>
          </cell>
        </row>
        <row r="3327">
          <cell r="BT3327">
            <v>27.5</v>
          </cell>
          <cell r="BY3327">
            <v>27.5</v>
          </cell>
        </row>
        <row r="3328">
          <cell r="BT3328">
            <v>22.95</v>
          </cell>
          <cell r="BY3328">
            <v>22.95</v>
          </cell>
        </row>
        <row r="3329">
          <cell r="BT3329">
            <v>-10205</v>
          </cell>
          <cell r="BY3329">
            <v>10205</v>
          </cell>
        </row>
        <row r="3330">
          <cell r="BT3330">
            <v>306.14999999999998</v>
          </cell>
          <cell r="BY3330">
            <v>306.14999999999998</v>
          </cell>
        </row>
        <row r="3331">
          <cell r="BT3331">
            <v>-142.5</v>
          </cell>
          <cell r="BY3331">
            <v>142.5</v>
          </cell>
        </row>
        <row r="3332">
          <cell r="BT3332">
            <v>4.28</v>
          </cell>
          <cell r="BY3332">
            <v>4.28</v>
          </cell>
        </row>
        <row r="3333">
          <cell r="BT3333">
            <v>-833</v>
          </cell>
          <cell r="BY3333">
            <v>833</v>
          </cell>
        </row>
        <row r="3334">
          <cell r="BT3334">
            <v>24.99</v>
          </cell>
          <cell r="BY3334">
            <v>24.99</v>
          </cell>
        </row>
        <row r="3335">
          <cell r="BT3335">
            <v>-632.5</v>
          </cell>
          <cell r="BY3335">
            <v>632.5</v>
          </cell>
        </row>
        <row r="3336">
          <cell r="BT3336">
            <v>18.98</v>
          </cell>
          <cell r="BY3336">
            <v>18.98</v>
          </cell>
        </row>
        <row r="3337">
          <cell r="BT3337">
            <v>-5394</v>
          </cell>
          <cell r="BY3337">
            <v>5394</v>
          </cell>
        </row>
        <row r="3338">
          <cell r="BT3338">
            <v>161.82</v>
          </cell>
          <cell r="BY3338">
            <v>161.82</v>
          </cell>
        </row>
        <row r="3339">
          <cell r="BT3339">
            <v>-240.75</v>
          </cell>
          <cell r="BY3339">
            <v>240.75</v>
          </cell>
        </row>
        <row r="3340">
          <cell r="BT3340">
            <v>12.04</v>
          </cell>
          <cell r="BY3340">
            <v>12.04</v>
          </cell>
        </row>
        <row r="3341">
          <cell r="BT3341">
            <v>-1230</v>
          </cell>
          <cell r="BY3341">
            <v>1230</v>
          </cell>
        </row>
        <row r="3342">
          <cell r="BT3342">
            <v>61.5</v>
          </cell>
          <cell r="BY3342">
            <v>61.5</v>
          </cell>
        </row>
        <row r="3343">
          <cell r="BT3343">
            <v>-513.45000000000005</v>
          </cell>
          <cell r="BY3343">
            <v>513.45000000000005</v>
          </cell>
        </row>
        <row r="3344">
          <cell r="BT3344">
            <v>25.67</v>
          </cell>
          <cell r="BY3344">
            <v>25.67</v>
          </cell>
        </row>
        <row r="3345">
          <cell r="BT3345">
            <v>-4762.5</v>
          </cell>
          <cell r="BY3345">
            <v>4762.5</v>
          </cell>
        </row>
        <row r="3346">
          <cell r="BT3346">
            <v>238.13</v>
          </cell>
          <cell r="BY3346">
            <v>238.13</v>
          </cell>
        </row>
        <row r="3347">
          <cell r="BT3347">
            <v>-401.25</v>
          </cell>
          <cell r="BY3347">
            <v>401.25</v>
          </cell>
        </row>
        <row r="3348">
          <cell r="BT3348">
            <v>20.059999999999999</v>
          </cell>
          <cell r="BY3348">
            <v>20.059999999999999</v>
          </cell>
        </row>
        <row r="3349">
          <cell r="BT3349">
            <v>-6440</v>
          </cell>
          <cell r="BY3349">
            <v>6440</v>
          </cell>
        </row>
        <row r="3350">
          <cell r="BT3350">
            <v>-770</v>
          </cell>
          <cell r="BY3350">
            <v>770</v>
          </cell>
        </row>
        <row r="3351">
          <cell r="BT3351">
            <v>23.1</v>
          </cell>
          <cell r="BY3351">
            <v>23.1</v>
          </cell>
        </row>
        <row r="3352">
          <cell r="BT3352">
            <v>-7548</v>
          </cell>
          <cell r="BY3352">
            <v>7548</v>
          </cell>
        </row>
        <row r="3353">
          <cell r="BT3353">
            <v>226.44</v>
          </cell>
          <cell r="BY3353">
            <v>226.44</v>
          </cell>
        </row>
        <row r="3354">
          <cell r="BT3354">
            <v>-25514.799999999999</v>
          </cell>
          <cell r="BY3354">
            <v>25514.799999999999</v>
          </cell>
        </row>
        <row r="3355">
          <cell r="BT3355">
            <v>765.43</v>
          </cell>
          <cell r="BY3355">
            <v>765.43</v>
          </cell>
        </row>
        <row r="3356">
          <cell r="BT3356">
            <v>-539.70000000000005</v>
          </cell>
          <cell r="BY3356">
            <v>539.70000000000005</v>
          </cell>
        </row>
        <row r="3357">
          <cell r="BT3357">
            <v>16.190000000000001</v>
          </cell>
          <cell r="BY3357">
            <v>16.190000000000001</v>
          </cell>
        </row>
        <row r="3358">
          <cell r="BT3358">
            <v>-791.7</v>
          </cell>
          <cell r="BY3358">
            <v>791.7</v>
          </cell>
        </row>
        <row r="3359">
          <cell r="BT3359">
            <v>23.75</v>
          </cell>
          <cell r="BY3359">
            <v>23.75</v>
          </cell>
        </row>
        <row r="3360">
          <cell r="BT3360">
            <v>-182.5</v>
          </cell>
          <cell r="BY3360">
            <v>182.5</v>
          </cell>
        </row>
        <row r="3361">
          <cell r="BT3361">
            <v>322</v>
          </cell>
          <cell r="BY3361">
            <v>322</v>
          </cell>
        </row>
        <row r="3362">
          <cell r="BT3362">
            <v>-300</v>
          </cell>
          <cell r="BY3362">
            <v>300</v>
          </cell>
        </row>
        <row r="3363">
          <cell r="BT3363">
            <v>15</v>
          </cell>
          <cell r="BY3363">
            <v>15</v>
          </cell>
        </row>
        <row r="3364">
          <cell r="BT3364">
            <v>-1906.5</v>
          </cell>
          <cell r="BY3364">
            <v>1906.5</v>
          </cell>
        </row>
        <row r="3365">
          <cell r="BT3365">
            <v>95.33</v>
          </cell>
          <cell r="BY3365">
            <v>95.33</v>
          </cell>
        </row>
        <row r="3366">
          <cell r="BT3366">
            <v>-12690</v>
          </cell>
          <cell r="BY3366">
            <v>12690</v>
          </cell>
        </row>
        <row r="3367">
          <cell r="BT3367">
            <v>634.5</v>
          </cell>
          <cell r="BY3367">
            <v>634.5</v>
          </cell>
        </row>
        <row r="3368">
          <cell r="BT3368">
            <v>-1213</v>
          </cell>
          <cell r="BY3368">
            <v>1213</v>
          </cell>
        </row>
        <row r="3369">
          <cell r="BT3369">
            <v>60.65</v>
          </cell>
          <cell r="BY3369">
            <v>60.65</v>
          </cell>
        </row>
        <row r="3370">
          <cell r="BT3370">
            <v>-449</v>
          </cell>
          <cell r="BY3370">
            <v>449</v>
          </cell>
        </row>
        <row r="3371">
          <cell r="BT3371">
            <v>22.45</v>
          </cell>
          <cell r="BY3371">
            <v>22.45</v>
          </cell>
        </row>
        <row r="3372">
          <cell r="BT3372">
            <v>5.48</v>
          </cell>
          <cell r="BY3372">
            <v>5.48</v>
          </cell>
        </row>
        <row r="3373">
          <cell r="BT3373">
            <v>-1590.4</v>
          </cell>
          <cell r="BY3373">
            <v>1590.4</v>
          </cell>
        </row>
        <row r="3374">
          <cell r="BT3374">
            <v>47.71</v>
          </cell>
          <cell r="BY3374">
            <v>47.71</v>
          </cell>
        </row>
        <row r="3375">
          <cell r="BT3375">
            <v>-41</v>
          </cell>
          <cell r="BY3375">
            <v>41</v>
          </cell>
        </row>
        <row r="3376">
          <cell r="BT3376">
            <v>1.23</v>
          </cell>
          <cell r="BY3376">
            <v>1.23</v>
          </cell>
        </row>
        <row r="3377">
          <cell r="BT3377">
            <v>-971.75</v>
          </cell>
          <cell r="BY3377">
            <v>971.75</v>
          </cell>
        </row>
        <row r="3378">
          <cell r="BT3378">
            <v>48.59</v>
          </cell>
          <cell r="BY3378">
            <v>48.59</v>
          </cell>
        </row>
        <row r="3379">
          <cell r="BT3379">
            <v>-2100</v>
          </cell>
          <cell r="BY3379">
            <v>2100</v>
          </cell>
        </row>
        <row r="3380">
          <cell r="BT3380">
            <v>105</v>
          </cell>
          <cell r="BY3380">
            <v>105</v>
          </cell>
        </row>
        <row r="3381">
          <cell r="BT3381">
            <v>-370</v>
          </cell>
          <cell r="BY3381">
            <v>370</v>
          </cell>
        </row>
        <row r="3382">
          <cell r="BT3382">
            <v>18.5</v>
          </cell>
          <cell r="BY3382">
            <v>18.5</v>
          </cell>
        </row>
        <row r="3383">
          <cell r="BT3383">
            <v>-38674</v>
          </cell>
          <cell r="BY3383">
            <v>38674</v>
          </cell>
        </row>
        <row r="3384">
          <cell r="BT3384">
            <v>-396.5</v>
          </cell>
          <cell r="BY3384">
            <v>396.5</v>
          </cell>
        </row>
        <row r="3385">
          <cell r="BT3385">
            <v>396.5</v>
          </cell>
          <cell r="BY3385">
            <v>396.5</v>
          </cell>
        </row>
        <row r="3386">
          <cell r="BT3386">
            <v>38674</v>
          </cell>
          <cell r="BY3386">
            <v>38674</v>
          </cell>
        </row>
        <row r="3387">
          <cell r="BT3387">
            <v>396.5</v>
          </cell>
          <cell r="BY3387">
            <v>396.5</v>
          </cell>
        </row>
        <row r="3388">
          <cell r="BT3388">
            <v>-396.5</v>
          </cell>
          <cell r="BY3388">
            <v>396.5</v>
          </cell>
        </row>
        <row r="3389">
          <cell r="BT3389">
            <v>-38674</v>
          </cell>
          <cell r="BY3389">
            <v>38674</v>
          </cell>
        </row>
        <row r="3390">
          <cell r="BT3390">
            <v>-396.5</v>
          </cell>
          <cell r="BY3390">
            <v>396.5</v>
          </cell>
        </row>
        <row r="3391">
          <cell r="BT3391">
            <v>396.5</v>
          </cell>
          <cell r="BY3391">
            <v>396.5</v>
          </cell>
        </row>
        <row r="3392">
          <cell r="BT3392">
            <v>-38674</v>
          </cell>
          <cell r="BY3392">
            <v>38674</v>
          </cell>
        </row>
        <row r="3393">
          <cell r="BT3393">
            <v>39000</v>
          </cell>
          <cell r="BY3393">
            <v>39000</v>
          </cell>
        </row>
        <row r="3394">
          <cell r="BT3394">
            <v>-396.5</v>
          </cell>
          <cell r="BY3394">
            <v>396.5</v>
          </cell>
        </row>
        <row r="3395">
          <cell r="BT3395">
            <v>396.5</v>
          </cell>
          <cell r="BY3395">
            <v>396.5</v>
          </cell>
        </row>
        <row r="3396">
          <cell r="BT3396">
            <v>38674</v>
          </cell>
          <cell r="BY3396">
            <v>38674</v>
          </cell>
        </row>
        <row r="3397">
          <cell r="BT3397">
            <v>396.5</v>
          </cell>
          <cell r="BY3397">
            <v>396.5</v>
          </cell>
        </row>
        <row r="3398">
          <cell r="BT3398">
            <v>-396.5</v>
          </cell>
          <cell r="BY3398">
            <v>396.5</v>
          </cell>
        </row>
        <row r="3399">
          <cell r="BT3399">
            <v>38674</v>
          </cell>
          <cell r="BY3399">
            <v>38674</v>
          </cell>
        </row>
        <row r="3400">
          <cell r="BT3400">
            <v>396.5</v>
          </cell>
          <cell r="BY3400">
            <v>396.5</v>
          </cell>
        </row>
        <row r="3401">
          <cell r="BT3401">
            <v>-396.5</v>
          </cell>
          <cell r="BY3401">
            <v>396.5</v>
          </cell>
        </row>
        <row r="3402">
          <cell r="BT3402">
            <v>-4200</v>
          </cell>
          <cell r="BY3402">
            <v>4200</v>
          </cell>
        </row>
        <row r="3403">
          <cell r="BT3403">
            <v>-46760</v>
          </cell>
          <cell r="BY3403">
            <v>46760</v>
          </cell>
        </row>
        <row r="3404">
          <cell r="BT3404">
            <v>-4.0999999999999996</v>
          </cell>
          <cell r="BY3404">
            <v>0</v>
          </cell>
        </row>
        <row r="3405">
          <cell r="BT3405">
            <v>6230.55</v>
          </cell>
          <cell r="BY3405">
            <v>6230.55</v>
          </cell>
        </row>
        <row r="3406">
          <cell r="BT3406">
            <v>216.98</v>
          </cell>
          <cell r="BY3406">
            <v>216.98</v>
          </cell>
        </row>
        <row r="3407">
          <cell r="BT3407">
            <v>19755.91</v>
          </cell>
          <cell r="BY3407">
            <v>19755.91</v>
          </cell>
        </row>
        <row r="3408">
          <cell r="BT3408">
            <v>268.64999999999998</v>
          </cell>
          <cell r="BY3408">
            <v>268.64999999999998</v>
          </cell>
        </row>
        <row r="3409">
          <cell r="BT3409">
            <v>5609.57</v>
          </cell>
          <cell r="BY3409">
            <v>5609.57</v>
          </cell>
        </row>
        <row r="3410">
          <cell r="BT3410">
            <v>-5713.11</v>
          </cell>
          <cell r="BY3410">
            <v>5713.11</v>
          </cell>
        </row>
        <row r="3411">
          <cell r="BT3411">
            <v>-17562.2</v>
          </cell>
          <cell r="BY3411">
            <v>17562.2</v>
          </cell>
        </row>
        <row r="3412">
          <cell r="BT3412">
            <v>-357.41</v>
          </cell>
          <cell r="BY3412">
            <v>357.41</v>
          </cell>
        </row>
        <row r="3413">
          <cell r="BT3413">
            <v>-125.81</v>
          </cell>
          <cell r="BY3413">
            <v>125.81</v>
          </cell>
        </row>
        <row r="3414">
          <cell r="BT3414">
            <v>-325.54000000000002</v>
          </cell>
          <cell r="BY3414">
            <v>325.54000000000002</v>
          </cell>
        </row>
        <row r="3415">
          <cell r="BT3415">
            <v>-1087.5899999999999</v>
          </cell>
          <cell r="BY3415">
            <v>1087.5899999999999</v>
          </cell>
        </row>
        <row r="3416">
          <cell r="BT3416">
            <v>-4263.1899999999996</v>
          </cell>
          <cell r="BY3416">
            <v>4263.1899999999996</v>
          </cell>
        </row>
        <row r="3417">
          <cell r="BT3417">
            <v>-1281.3399999999999</v>
          </cell>
          <cell r="BY3417">
            <v>1281.3399999999999</v>
          </cell>
        </row>
        <row r="3418">
          <cell r="BT3418">
            <v>-5172.22</v>
          </cell>
          <cell r="BY3418">
            <v>5172.22</v>
          </cell>
        </row>
        <row r="3419">
          <cell r="BT3419">
            <v>-4.8499999999999996</v>
          </cell>
          <cell r="BY3419">
            <v>4.8499999999999996</v>
          </cell>
        </row>
        <row r="3420">
          <cell r="BT3420">
            <v>-75.31</v>
          </cell>
          <cell r="BY3420">
            <v>75.31</v>
          </cell>
        </row>
        <row r="3421">
          <cell r="BT3421">
            <v>-8423.17</v>
          </cell>
          <cell r="BY3421">
            <v>8423.17</v>
          </cell>
        </row>
        <row r="3422">
          <cell r="BT3422">
            <v>3.82</v>
          </cell>
          <cell r="BY3422">
            <v>3.82</v>
          </cell>
        </row>
        <row r="3423">
          <cell r="BT3423">
            <v>-286.88</v>
          </cell>
          <cell r="BY3423">
            <v>286.88</v>
          </cell>
        </row>
        <row r="3424">
          <cell r="BT3424">
            <v>-47.81</v>
          </cell>
          <cell r="BY3424">
            <v>47.81</v>
          </cell>
        </row>
        <row r="3425">
          <cell r="BT3425">
            <v>-71.72</v>
          </cell>
          <cell r="BY3425">
            <v>71.72</v>
          </cell>
        </row>
        <row r="3426">
          <cell r="BT3426">
            <v>-239.06</v>
          </cell>
          <cell r="BY3426">
            <v>239.06</v>
          </cell>
        </row>
        <row r="3427">
          <cell r="BT3427">
            <v>-286.88</v>
          </cell>
          <cell r="BY3427">
            <v>286.88</v>
          </cell>
        </row>
        <row r="3428">
          <cell r="BT3428">
            <v>-103.59</v>
          </cell>
          <cell r="BY3428">
            <v>103.59</v>
          </cell>
        </row>
        <row r="3429">
          <cell r="BT3429">
            <v>-3442.5</v>
          </cell>
          <cell r="BY3429">
            <v>3442.5</v>
          </cell>
        </row>
        <row r="3430">
          <cell r="BT3430">
            <v>-573.75</v>
          </cell>
          <cell r="BY3430">
            <v>573.75</v>
          </cell>
        </row>
        <row r="3431">
          <cell r="BT3431">
            <v>-152.19999999999999</v>
          </cell>
          <cell r="BY3431">
            <v>152.19999999999999</v>
          </cell>
        </row>
        <row r="3432">
          <cell r="BT3432">
            <v>-8.77</v>
          </cell>
          <cell r="BY3432">
            <v>8.77</v>
          </cell>
        </row>
        <row r="3433">
          <cell r="BT3433">
            <v>-675.18</v>
          </cell>
          <cell r="BY3433">
            <v>675.18</v>
          </cell>
        </row>
        <row r="3434">
          <cell r="BT3434">
            <v>-455.82</v>
          </cell>
          <cell r="BY3434">
            <v>455.82</v>
          </cell>
        </row>
        <row r="3435">
          <cell r="BT3435">
            <v>-2377.16</v>
          </cell>
          <cell r="BY3435">
            <v>2377.16</v>
          </cell>
        </row>
        <row r="3436">
          <cell r="BT3436">
            <v>-9651.5400000000009</v>
          </cell>
          <cell r="BY3436">
            <v>9651.5400000000009</v>
          </cell>
        </row>
        <row r="3437">
          <cell r="BT3437">
            <v>-870.1</v>
          </cell>
          <cell r="BY3437">
            <v>870.1</v>
          </cell>
        </row>
        <row r="3438">
          <cell r="BT3438">
            <v>-86.48</v>
          </cell>
          <cell r="BY3438">
            <v>86.48</v>
          </cell>
        </row>
        <row r="3439">
          <cell r="BT3439">
            <v>-1023.17</v>
          </cell>
          <cell r="BY3439">
            <v>1023.17</v>
          </cell>
        </row>
        <row r="3440">
          <cell r="BT3440">
            <v>-1.07</v>
          </cell>
          <cell r="BY3440">
            <v>1.07</v>
          </cell>
        </row>
        <row r="3441">
          <cell r="BT3441">
            <v>-746.38</v>
          </cell>
          <cell r="BY3441">
            <v>746.38</v>
          </cell>
        </row>
        <row r="3442">
          <cell r="BT3442">
            <v>-111.56</v>
          </cell>
          <cell r="BY3442">
            <v>111.56</v>
          </cell>
        </row>
        <row r="3443">
          <cell r="BT3443">
            <v>-2484.65</v>
          </cell>
          <cell r="BY3443">
            <v>2484.65</v>
          </cell>
        </row>
        <row r="3444">
          <cell r="BT3444">
            <v>-159.37</v>
          </cell>
          <cell r="BY3444">
            <v>159.37</v>
          </cell>
        </row>
        <row r="3445">
          <cell r="BT3445">
            <v>-4730.45</v>
          </cell>
          <cell r="BY3445">
            <v>4730.45</v>
          </cell>
        </row>
        <row r="3446">
          <cell r="BT3446">
            <v>-247.64</v>
          </cell>
          <cell r="BY3446">
            <v>247.64</v>
          </cell>
        </row>
        <row r="3447">
          <cell r="BT3447">
            <v>-41.85</v>
          </cell>
          <cell r="BY3447">
            <v>41.85</v>
          </cell>
        </row>
        <row r="3448">
          <cell r="BT3448">
            <v>214.5</v>
          </cell>
          <cell r="BY3448">
            <v>214.5</v>
          </cell>
        </row>
        <row r="3449">
          <cell r="BT3449">
            <v>1181.5899999999999</v>
          </cell>
          <cell r="BY3449">
            <v>1181.5899999999999</v>
          </cell>
        </row>
        <row r="3450">
          <cell r="BT3450">
            <v>633.33000000000004</v>
          </cell>
          <cell r="BY3450">
            <v>633.33000000000004</v>
          </cell>
        </row>
        <row r="3451">
          <cell r="BT3451">
            <v>992.82</v>
          </cell>
          <cell r="BY3451">
            <v>992.82</v>
          </cell>
        </row>
        <row r="3452">
          <cell r="BT3452">
            <v>684.32</v>
          </cell>
          <cell r="BY3452">
            <v>684.32</v>
          </cell>
        </row>
        <row r="3453">
          <cell r="BT3453">
            <v>866.13</v>
          </cell>
          <cell r="BY3453">
            <v>866.13</v>
          </cell>
        </row>
        <row r="3454">
          <cell r="BT3454">
            <v>866.14</v>
          </cell>
          <cell r="BY3454">
            <v>866.14</v>
          </cell>
        </row>
        <row r="3455">
          <cell r="BT3455">
            <v>816.4</v>
          </cell>
          <cell r="BY3455">
            <v>816.4</v>
          </cell>
        </row>
        <row r="3456">
          <cell r="BT3456">
            <v>816.4</v>
          </cell>
          <cell r="BY3456">
            <v>816.4</v>
          </cell>
        </row>
        <row r="3457">
          <cell r="BT3457">
            <v>1920.91</v>
          </cell>
          <cell r="BY3457">
            <v>1920.91</v>
          </cell>
        </row>
        <row r="3458">
          <cell r="BT3458">
            <v>40623.410000000003</v>
          </cell>
          <cell r="BY3458">
            <v>40623.410000000003</v>
          </cell>
        </row>
        <row r="3459">
          <cell r="BT3459">
            <v>200</v>
          </cell>
          <cell r="BY3459">
            <v>26.03</v>
          </cell>
        </row>
        <row r="3460">
          <cell r="BT3460">
            <v>200</v>
          </cell>
          <cell r="BY3460">
            <v>26.03</v>
          </cell>
        </row>
        <row r="3461">
          <cell r="BT3461">
            <v>200</v>
          </cell>
          <cell r="BY3461">
            <v>26.03</v>
          </cell>
        </row>
        <row r="3462">
          <cell r="BT3462">
            <v>133.93</v>
          </cell>
          <cell r="BY3462">
            <v>17.52</v>
          </cell>
        </row>
        <row r="3463">
          <cell r="BT3463">
            <v>2397.3200000000002</v>
          </cell>
          <cell r="BY3463">
            <v>314.31</v>
          </cell>
        </row>
        <row r="3464">
          <cell r="BT3464">
            <v>369.12</v>
          </cell>
          <cell r="BY3464">
            <v>48.27</v>
          </cell>
        </row>
        <row r="3465">
          <cell r="BT3465">
            <v>982.08</v>
          </cell>
          <cell r="BY3465">
            <v>127.93</v>
          </cell>
        </row>
        <row r="3466">
          <cell r="BT3466">
            <v>15187.5</v>
          </cell>
          <cell r="BY3466">
            <v>1978.32</v>
          </cell>
        </row>
        <row r="3467">
          <cell r="BT3467">
            <v>1162.5</v>
          </cell>
          <cell r="BY3467">
            <v>151.43</v>
          </cell>
        </row>
        <row r="3468">
          <cell r="BT3468">
            <v>7678.57</v>
          </cell>
          <cell r="BY3468">
            <v>1003.05</v>
          </cell>
        </row>
        <row r="3469">
          <cell r="BT3469">
            <v>100</v>
          </cell>
          <cell r="BY3469">
            <v>13.08</v>
          </cell>
        </row>
        <row r="3470">
          <cell r="BT3470">
            <v>3870</v>
          </cell>
          <cell r="BY3470">
            <v>505.89</v>
          </cell>
        </row>
        <row r="3471">
          <cell r="BT3471">
            <v>2867.35</v>
          </cell>
          <cell r="BY3471">
            <v>374.99</v>
          </cell>
        </row>
        <row r="3472">
          <cell r="BT3472">
            <v>133.93</v>
          </cell>
          <cell r="BY3472">
            <v>17.52</v>
          </cell>
        </row>
        <row r="3473">
          <cell r="BT3473">
            <v>300</v>
          </cell>
          <cell r="BY3473">
            <v>39.08</v>
          </cell>
        </row>
        <row r="3474">
          <cell r="BT3474">
            <v>153.54</v>
          </cell>
          <cell r="BY3474">
            <v>20.010000000000002</v>
          </cell>
        </row>
        <row r="3475">
          <cell r="BT3475">
            <v>66.959999999999994</v>
          </cell>
          <cell r="BY3475">
            <v>8.76</v>
          </cell>
        </row>
        <row r="3476">
          <cell r="BT3476">
            <v>300</v>
          </cell>
          <cell r="BY3476">
            <v>39.08</v>
          </cell>
        </row>
        <row r="3477">
          <cell r="BT3477">
            <v>460.63</v>
          </cell>
          <cell r="BY3477">
            <v>60</v>
          </cell>
        </row>
        <row r="3478">
          <cell r="BT3478">
            <v>66.959999999999994</v>
          </cell>
          <cell r="BY3478">
            <v>8.76</v>
          </cell>
        </row>
        <row r="3479">
          <cell r="BT3479">
            <v>300</v>
          </cell>
          <cell r="BY3479">
            <v>39.08</v>
          </cell>
        </row>
        <row r="3480">
          <cell r="BT3480">
            <v>575.78</v>
          </cell>
          <cell r="BY3480">
            <v>75</v>
          </cell>
        </row>
        <row r="3481">
          <cell r="BT3481">
            <v>133.93</v>
          </cell>
          <cell r="BY3481">
            <v>17.52</v>
          </cell>
        </row>
        <row r="3482">
          <cell r="BT3482">
            <v>300</v>
          </cell>
          <cell r="BY3482">
            <v>39.229999999999997</v>
          </cell>
        </row>
        <row r="3483">
          <cell r="BT3483">
            <v>412.5</v>
          </cell>
          <cell r="BY3483">
            <v>53.73</v>
          </cell>
        </row>
        <row r="3484">
          <cell r="BT3484">
            <v>1228.3399999999999</v>
          </cell>
          <cell r="BY3484">
            <v>160</v>
          </cell>
        </row>
        <row r="3485">
          <cell r="BT3485">
            <v>200.9</v>
          </cell>
          <cell r="BY3485">
            <v>26.27</v>
          </cell>
        </row>
        <row r="3486">
          <cell r="BT3486">
            <v>150</v>
          </cell>
          <cell r="BY3486">
            <v>19.62</v>
          </cell>
        </row>
        <row r="3487">
          <cell r="BT3487">
            <v>150</v>
          </cell>
          <cell r="BY3487">
            <v>19.54</v>
          </cell>
        </row>
        <row r="3488">
          <cell r="BT3488">
            <v>921.26</v>
          </cell>
          <cell r="BY3488">
            <v>120</v>
          </cell>
        </row>
        <row r="3489">
          <cell r="BT3489">
            <v>2037.3</v>
          </cell>
          <cell r="BY3489">
            <v>266.42</v>
          </cell>
        </row>
        <row r="3490">
          <cell r="BT3490">
            <v>2378.61</v>
          </cell>
          <cell r="BY3490">
            <v>311.05</v>
          </cell>
        </row>
        <row r="3491">
          <cell r="BT3491">
            <v>1544.42</v>
          </cell>
          <cell r="BY3491">
            <v>201.96</v>
          </cell>
        </row>
        <row r="3492">
          <cell r="BT3492">
            <v>2037.08</v>
          </cell>
          <cell r="BY3492">
            <v>266.39</v>
          </cell>
        </row>
        <row r="3493">
          <cell r="BT3493">
            <v>2037.85</v>
          </cell>
          <cell r="BY3493">
            <v>266.49</v>
          </cell>
        </row>
        <row r="3494">
          <cell r="BT3494">
            <v>-16501.22</v>
          </cell>
          <cell r="BY3494">
            <v>2157.86</v>
          </cell>
        </row>
        <row r="3495">
          <cell r="BT3495">
            <v>2063.0300000000002</v>
          </cell>
          <cell r="BY3495">
            <v>269.79000000000002</v>
          </cell>
        </row>
        <row r="3496">
          <cell r="BT3496">
            <v>2314.96</v>
          </cell>
          <cell r="BY3496">
            <v>302.73</v>
          </cell>
        </row>
        <row r="3497">
          <cell r="BT3497">
            <v>2087.9699999999998</v>
          </cell>
          <cell r="BY3497">
            <v>273.04000000000002</v>
          </cell>
        </row>
        <row r="3498">
          <cell r="BT3498">
            <v>19906.73</v>
          </cell>
          <cell r="BY3498">
            <v>2593.0500000000002</v>
          </cell>
        </row>
        <row r="3499">
          <cell r="BT3499">
            <v>4836.59</v>
          </cell>
          <cell r="BY3499">
            <v>630.01</v>
          </cell>
        </row>
        <row r="3500">
          <cell r="BT3500">
            <v>1970.76</v>
          </cell>
          <cell r="BY3500">
            <v>258.20999999999998</v>
          </cell>
        </row>
        <row r="3501">
          <cell r="BT3501">
            <v>17.62</v>
          </cell>
          <cell r="BY3501">
            <v>2.2999999999999998</v>
          </cell>
        </row>
        <row r="3502">
          <cell r="BT3502">
            <v>10000</v>
          </cell>
          <cell r="BY3502">
            <v>1302.5999999999999</v>
          </cell>
        </row>
        <row r="3503">
          <cell r="BT3503">
            <v>833.33</v>
          </cell>
          <cell r="BY3503">
            <v>108.55</v>
          </cell>
        </row>
        <row r="3504">
          <cell r="BT3504">
            <v>833.33</v>
          </cell>
          <cell r="BY3504">
            <v>108.55</v>
          </cell>
        </row>
        <row r="3505">
          <cell r="BT3505">
            <v>1300</v>
          </cell>
          <cell r="BY3505">
            <v>169.34</v>
          </cell>
        </row>
        <row r="3506">
          <cell r="BT3506">
            <v>1267</v>
          </cell>
          <cell r="BY3506">
            <v>165.04</v>
          </cell>
        </row>
        <row r="3507">
          <cell r="BT3507">
            <v>714.28</v>
          </cell>
          <cell r="BY3507">
            <v>93.04</v>
          </cell>
        </row>
        <row r="3508">
          <cell r="BT3508">
            <v>0</v>
          </cell>
          <cell r="BY3508">
            <v>1.2</v>
          </cell>
        </row>
        <row r="3509">
          <cell r="BT3509">
            <v>0</v>
          </cell>
          <cell r="BY3509">
            <v>0</v>
          </cell>
        </row>
        <row r="3510">
          <cell r="BT3510">
            <v>0</v>
          </cell>
          <cell r="BY3510">
            <v>2.83</v>
          </cell>
        </row>
        <row r="3511">
          <cell r="BT3511">
            <v>0</v>
          </cell>
          <cell r="BY3511">
            <v>0</v>
          </cell>
        </row>
        <row r="3512">
          <cell r="BT3512">
            <v>0</v>
          </cell>
          <cell r="BY3512">
            <v>2.89</v>
          </cell>
        </row>
        <row r="3513">
          <cell r="BT3513">
            <v>0</v>
          </cell>
          <cell r="BY3513">
            <v>0</v>
          </cell>
        </row>
        <row r="3514">
          <cell r="BT3514">
            <v>20830.810000000001</v>
          </cell>
          <cell r="BY3514">
            <v>2729.46</v>
          </cell>
        </row>
        <row r="3515">
          <cell r="BT3515">
            <v>0</v>
          </cell>
          <cell r="BY3515">
            <v>1.37</v>
          </cell>
        </row>
        <row r="3516">
          <cell r="BT3516">
            <v>0</v>
          </cell>
          <cell r="BY3516">
            <v>1.04</v>
          </cell>
        </row>
        <row r="3517">
          <cell r="BT3517">
            <v>0</v>
          </cell>
          <cell r="BY3517">
            <v>0.83</v>
          </cell>
        </row>
        <row r="3518">
          <cell r="BT3518">
            <v>0.52</v>
          </cell>
          <cell r="BY3518">
            <v>7.0000000000000007E-2</v>
          </cell>
        </row>
        <row r="3519">
          <cell r="BT3519">
            <v>0</v>
          </cell>
          <cell r="BY3519">
            <v>2.2599999999999998</v>
          </cell>
        </row>
        <row r="3520">
          <cell r="BT3520">
            <v>0</v>
          </cell>
          <cell r="BY3520">
            <v>6.32</v>
          </cell>
        </row>
        <row r="3521">
          <cell r="BT3521">
            <v>31.28</v>
          </cell>
          <cell r="BY3521">
            <v>4.0999999999999996</v>
          </cell>
        </row>
        <row r="3522">
          <cell r="BT3522">
            <v>0</v>
          </cell>
          <cell r="BY3522">
            <v>0.74</v>
          </cell>
        </row>
        <row r="3523">
          <cell r="BT3523">
            <v>0</v>
          </cell>
          <cell r="BY3523">
            <v>0.02</v>
          </cell>
        </row>
        <row r="3524">
          <cell r="BT3524">
            <v>0</v>
          </cell>
          <cell r="BY3524">
            <v>0.7</v>
          </cell>
        </row>
        <row r="3525">
          <cell r="BT3525">
            <v>0</v>
          </cell>
          <cell r="BY3525">
            <v>0.77</v>
          </cell>
        </row>
        <row r="3526">
          <cell r="BT3526">
            <v>0</v>
          </cell>
          <cell r="BY3526">
            <v>0.16</v>
          </cell>
        </row>
        <row r="3527">
          <cell r="BT3527">
            <v>0</v>
          </cell>
          <cell r="BY3527">
            <v>0.23</v>
          </cell>
        </row>
        <row r="3528">
          <cell r="BT3528">
            <v>0</v>
          </cell>
          <cell r="BY3528">
            <v>0.3</v>
          </cell>
        </row>
        <row r="3529">
          <cell r="BT3529">
            <v>0</v>
          </cell>
          <cell r="BY3529">
            <v>0.2</v>
          </cell>
        </row>
        <row r="3530">
          <cell r="BT3530">
            <v>0</v>
          </cell>
          <cell r="BY3530">
            <v>0.46</v>
          </cell>
        </row>
        <row r="3531">
          <cell r="BT3531">
            <v>0</v>
          </cell>
          <cell r="BY3531">
            <v>0.01</v>
          </cell>
        </row>
        <row r="3532">
          <cell r="BT3532">
            <v>0</v>
          </cell>
          <cell r="BY3532">
            <v>0.03</v>
          </cell>
        </row>
        <row r="3533">
          <cell r="BT3533">
            <v>0</v>
          </cell>
          <cell r="BY3533">
            <v>0</v>
          </cell>
        </row>
        <row r="3534">
          <cell r="BT3534">
            <v>54.17</v>
          </cell>
          <cell r="BY3534">
            <v>7.06</v>
          </cell>
        </row>
        <row r="3535">
          <cell r="BT3535">
            <v>0</v>
          </cell>
          <cell r="BY3535">
            <v>4.63</v>
          </cell>
        </row>
        <row r="3536">
          <cell r="BT3536">
            <v>0.12</v>
          </cell>
          <cell r="BY3536">
            <v>0.02</v>
          </cell>
        </row>
        <row r="3537">
          <cell r="BT3537">
            <v>5271.73</v>
          </cell>
          <cell r="BY3537">
            <v>686.7</v>
          </cell>
        </row>
        <row r="3538">
          <cell r="BT3538">
            <v>904.97</v>
          </cell>
          <cell r="BY3538">
            <v>117.88</v>
          </cell>
        </row>
        <row r="3539">
          <cell r="BT3539">
            <v>0</v>
          </cell>
          <cell r="BY3539">
            <v>0</v>
          </cell>
        </row>
        <row r="3540">
          <cell r="BT3540">
            <v>319.69</v>
          </cell>
          <cell r="BY3540">
            <v>0</v>
          </cell>
        </row>
        <row r="3541">
          <cell r="BT3541">
            <v>6158.25</v>
          </cell>
          <cell r="BY3541">
            <v>802.17</v>
          </cell>
        </row>
        <row r="3542">
          <cell r="BT3542">
            <v>-6158.25</v>
          </cell>
          <cell r="BY3542">
            <v>802.17</v>
          </cell>
        </row>
        <row r="3543">
          <cell r="BT3543">
            <v>-6158.25</v>
          </cell>
          <cell r="BY3543">
            <v>802.17</v>
          </cell>
        </row>
        <row r="3544">
          <cell r="BT3544">
            <v>-2483</v>
          </cell>
          <cell r="BY3544">
            <v>323.44</v>
          </cell>
        </row>
        <row r="3545">
          <cell r="BT3545">
            <v>0.76</v>
          </cell>
          <cell r="BY3545">
            <v>0.1</v>
          </cell>
        </row>
        <row r="3546">
          <cell r="BT3546">
            <v>-4</v>
          </cell>
          <cell r="BY3546">
            <v>0.52</v>
          </cell>
        </row>
        <row r="3547">
          <cell r="BT3547">
            <v>-176.2</v>
          </cell>
          <cell r="BY3547">
            <v>22.96</v>
          </cell>
        </row>
        <row r="3548">
          <cell r="BT3548">
            <v>0</v>
          </cell>
          <cell r="BY3548">
            <v>0.37</v>
          </cell>
        </row>
        <row r="3549">
          <cell r="BT3549">
            <v>0.06</v>
          </cell>
          <cell r="BY3549">
            <v>0.01</v>
          </cell>
        </row>
        <row r="3550">
          <cell r="BT3550">
            <v>0</v>
          </cell>
          <cell r="BY3550">
            <v>0.03</v>
          </cell>
        </row>
        <row r="3551">
          <cell r="BT3551">
            <v>0</v>
          </cell>
          <cell r="BY3551">
            <v>1.87</v>
          </cell>
        </row>
        <row r="3552">
          <cell r="BT3552">
            <v>-214.97</v>
          </cell>
          <cell r="BY3552">
            <v>28.17</v>
          </cell>
        </row>
        <row r="3553">
          <cell r="BT3553">
            <v>0</v>
          </cell>
          <cell r="BY3553">
            <v>2.2799999999999998</v>
          </cell>
        </row>
        <row r="3554">
          <cell r="BT3554">
            <v>0</v>
          </cell>
          <cell r="BY3554">
            <v>0.52</v>
          </cell>
        </row>
        <row r="3555">
          <cell r="BT3555">
            <v>0</v>
          </cell>
          <cell r="BY3555">
            <v>0.6</v>
          </cell>
        </row>
        <row r="3556">
          <cell r="BT3556">
            <v>0</v>
          </cell>
          <cell r="BY3556">
            <v>2.1800000000000002</v>
          </cell>
        </row>
        <row r="3557">
          <cell r="BT3557">
            <v>0</v>
          </cell>
          <cell r="BY3557">
            <v>2.4500000000000002</v>
          </cell>
        </row>
        <row r="3558">
          <cell r="BT3558">
            <v>0</v>
          </cell>
          <cell r="BY3558">
            <v>4.9000000000000004</v>
          </cell>
        </row>
        <row r="3559">
          <cell r="BT3559">
            <v>0</v>
          </cell>
          <cell r="BY3559">
            <v>2.6</v>
          </cell>
        </row>
        <row r="3560">
          <cell r="BT3560">
            <v>0</v>
          </cell>
          <cell r="BY3560">
            <v>0.02</v>
          </cell>
        </row>
        <row r="3561">
          <cell r="BT3561">
            <v>0</v>
          </cell>
          <cell r="BY3561">
            <v>0.91</v>
          </cell>
        </row>
        <row r="3562">
          <cell r="BT3562">
            <v>0</v>
          </cell>
          <cell r="BY3562">
            <v>0.44</v>
          </cell>
        </row>
        <row r="3563">
          <cell r="BT3563">
            <v>0</v>
          </cell>
          <cell r="BY3563">
            <v>0.05</v>
          </cell>
        </row>
        <row r="3564">
          <cell r="BT3564">
            <v>0</v>
          </cell>
          <cell r="BY3564">
            <v>0.26</v>
          </cell>
        </row>
        <row r="3565">
          <cell r="BT3565">
            <v>0</v>
          </cell>
          <cell r="BY3565">
            <v>0.06</v>
          </cell>
        </row>
        <row r="3566">
          <cell r="BT3566">
            <v>0</v>
          </cell>
          <cell r="BY3566">
            <v>0.63</v>
          </cell>
        </row>
        <row r="3567">
          <cell r="BT3567">
            <v>0</v>
          </cell>
          <cell r="BY3567">
            <v>0.01</v>
          </cell>
        </row>
        <row r="3568">
          <cell r="BT3568">
            <v>0</v>
          </cell>
          <cell r="BY3568">
            <v>0.11</v>
          </cell>
        </row>
        <row r="3569">
          <cell r="BT3569">
            <v>0</v>
          </cell>
          <cell r="BY3569">
            <v>0.08</v>
          </cell>
        </row>
        <row r="3570">
          <cell r="BT3570">
            <v>0</v>
          </cell>
          <cell r="BY3570">
            <v>1.49</v>
          </cell>
        </row>
        <row r="3571">
          <cell r="BT3571">
            <v>0</v>
          </cell>
          <cell r="BY3571">
            <v>1.07</v>
          </cell>
        </row>
        <row r="3572">
          <cell r="BT3572">
            <v>0</v>
          </cell>
          <cell r="BY3572">
            <v>4.79</v>
          </cell>
        </row>
        <row r="3573">
          <cell r="BT3573">
            <v>0</v>
          </cell>
          <cell r="BY3573">
            <v>3.45</v>
          </cell>
        </row>
        <row r="3574">
          <cell r="BT3574">
            <v>0</v>
          </cell>
          <cell r="BY3574">
            <v>0.01</v>
          </cell>
        </row>
        <row r="3575">
          <cell r="BT3575">
            <v>0</v>
          </cell>
          <cell r="BY3575">
            <v>0.09</v>
          </cell>
        </row>
        <row r="3576">
          <cell r="BT3576">
            <v>0</v>
          </cell>
          <cell r="BY3576">
            <v>2.58</v>
          </cell>
        </row>
        <row r="3577">
          <cell r="BT3577">
            <v>0</v>
          </cell>
          <cell r="BY3577">
            <v>0.49</v>
          </cell>
        </row>
        <row r="3578">
          <cell r="BT3578">
            <v>0</v>
          </cell>
          <cell r="BY3578">
            <v>0.01</v>
          </cell>
        </row>
        <row r="3579">
          <cell r="BT3579">
            <v>-167.2</v>
          </cell>
          <cell r="BY3579">
            <v>21.78</v>
          </cell>
        </row>
        <row r="3580">
          <cell r="BT3580">
            <v>0</v>
          </cell>
          <cell r="BY3580">
            <v>0</v>
          </cell>
        </row>
        <row r="3581">
          <cell r="BT3581">
            <v>0</v>
          </cell>
          <cell r="BY3581">
            <v>0</v>
          </cell>
        </row>
        <row r="3582">
          <cell r="BT3582">
            <v>0</v>
          </cell>
          <cell r="BY3582">
            <v>0</v>
          </cell>
        </row>
        <row r="3583">
          <cell r="BT3583">
            <v>0</v>
          </cell>
          <cell r="BY3583">
            <v>0.2</v>
          </cell>
        </row>
        <row r="3584">
          <cell r="BT3584">
            <v>0</v>
          </cell>
          <cell r="BY3584">
            <v>0.37</v>
          </cell>
        </row>
        <row r="3585">
          <cell r="BT3585">
            <v>0</v>
          </cell>
          <cell r="BY3585">
            <v>0.23</v>
          </cell>
        </row>
        <row r="3586">
          <cell r="BT3586">
            <v>0</v>
          </cell>
          <cell r="BY3586">
            <v>0.7</v>
          </cell>
        </row>
        <row r="3587">
          <cell r="BT3587">
            <v>0</v>
          </cell>
          <cell r="BY3587">
            <v>22.26</v>
          </cell>
        </row>
        <row r="3588">
          <cell r="BT3588">
            <v>0</v>
          </cell>
          <cell r="BY3588">
            <v>0</v>
          </cell>
        </row>
        <row r="3589">
          <cell r="BT3589">
            <v>0</v>
          </cell>
          <cell r="BY3589">
            <v>0.79</v>
          </cell>
        </row>
        <row r="3590">
          <cell r="BT3590">
            <v>0</v>
          </cell>
          <cell r="BY3590">
            <v>0.42</v>
          </cell>
        </row>
        <row r="3591">
          <cell r="BT3591">
            <v>0</v>
          </cell>
          <cell r="BY3591">
            <v>0.09</v>
          </cell>
        </row>
        <row r="3592">
          <cell r="BT3592">
            <v>0</v>
          </cell>
          <cell r="BY3592">
            <v>4.46</v>
          </cell>
        </row>
        <row r="3593">
          <cell r="BT3593">
            <v>0</v>
          </cell>
          <cell r="BY3593">
            <v>2.0299999999999998</v>
          </cell>
        </row>
        <row r="3594">
          <cell r="BT3594">
            <v>0</v>
          </cell>
          <cell r="BY3594">
            <v>0.85</v>
          </cell>
        </row>
        <row r="3595">
          <cell r="BT3595">
            <v>0</v>
          </cell>
          <cell r="BY3595">
            <v>0.21</v>
          </cell>
        </row>
        <row r="3596">
          <cell r="BT3596">
            <v>0</v>
          </cell>
          <cell r="BY3596">
            <v>3.8</v>
          </cell>
        </row>
        <row r="3597">
          <cell r="BT3597">
            <v>0</v>
          </cell>
          <cell r="BY3597">
            <v>107.11</v>
          </cell>
        </row>
        <row r="3598">
          <cell r="BT3598">
            <v>0</v>
          </cell>
          <cell r="BY3598">
            <v>3.47</v>
          </cell>
        </row>
        <row r="3599">
          <cell r="BT3599">
            <v>-28.22</v>
          </cell>
          <cell r="BY3599">
            <v>3.7</v>
          </cell>
        </row>
        <row r="3600">
          <cell r="BT3600">
            <v>0</v>
          </cell>
          <cell r="BY3600">
            <v>47.54</v>
          </cell>
        </row>
        <row r="3601">
          <cell r="BT3601">
            <v>0</v>
          </cell>
          <cell r="BY3601">
            <v>5.91</v>
          </cell>
        </row>
        <row r="3602">
          <cell r="BT3602">
            <v>0</v>
          </cell>
          <cell r="BY3602">
            <v>55.65</v>
          </cell>
        </row>
        <row r="3603">
          <cell r="BT3603">
            <v>0</v>
          </cell>
          <cell r="BY3603">
            <v>0.01</v>
          </cell>
        </row>
        <row r="3604">
          <cell r="BT3604">
            <v>0</v>
          </cell>
          <cell r="BY3604">
            <v>110.34</v>
          </cell>
        </row>
        <row r="3605">
          <cell r="BT3605">
            <v>0</v>
          </cell>
          <cell r="BY3605">
            <v>0.08</v>
          </cell>
        </row>
        <row r="3606">
          <cell r="BT3606">
            <v>0</v>
          </cell>
          <cell r="BY3606">
            <v>4.99</v>
          </cell>
        </row>
        <row r="3607">
          <cell r="BT3607">
            <v>0</v>
          </cell>
          <cell r="BY3607">
            <v>6.6</v>
          </cell>
        </row>
        <row r="3608">
          <cell r="BT3608">
            <v>0</v>
          </cell>
          <cell r="BY3608">
            <v>4.82</v>
          </cell>
        </row>
        <row r="3609">
          <cell r="BT3609">
            <v>0</v>
          </cell>
          <cell r="BY3609">
            <v>0.08</v>
          </cell>
        </row>
        <row r="3610">
          <cell r="BT3610">
            <v>0</v>
          </cell>
          <cell r="BY3610">
            <v>0.28000000000000003</v>
          </cell>
        </row>
        <row r="3611">
          <cell r="BT3611">
            <v>0</v>
          </cell>
          <cell r="BY3611">
            <v>0.36</v>
          </cell>
        </row>
        <row r="3612">
          <cell r="BT3612">
            <v>0</v>
          </cell>
          <cell r="BY3612">
            <v>0.5</v>
          </cell>
        </row>
        <row r="3613">
          <cell r="BT3613">
            <v>0</v>
          </cell>
          <cell r="BY3613">
            <v>0.06</v>
          </cell>
        </row>
        <row r="3614">
          <cell r="BT3614">
            <v>0</v>
          </cell>
          <cell r="BY3614">
            <v>0.23</v>
          </cell>
        </row>
        <row r="3615">
          <cell r="BT3615">
            <v>0</v>
          </cell>
          <cell r="BY3615">
            <v>0.2</v>
          </cell>
        </row>
        <row r="3616">
          <cell r="BT3616">
            <v>0</v>
          </cell>
          <cell r="BY3616">
            <v>2.7</v>
          </cell>
        </row>
        <row r="3617">
          <cell r="BT3617">
            <v>0</v>
          </cell>
          <cell r="BY3617">
            <v>14.72</v>
          </cell>
        </row>
        <row r="3618">
          <cell r="BT3618">
            <v>-88111.02</v>
          </cell>
          <cell r="BY3618">
            <v>11477.34</v>
          </cell>
        </row>
        <row r="3619">
          <cell r="BT3619">
            <v>150</v>
          </cell>
          <cell r="BY3619">
            <v>19.62</v>
          </cell>
        </row>
        <row r="3620">
          <cell r="BT3620">
            <v>338.86</v>
          </cell>
          <cell r="BY3620">
            <v>44.39</v>
          </cell>
        </row>
        <row r="3621">
          <cell r="BT3621">
            <v>30.94</v>
          </cell>
          <cell r="BY3621">
            <v>0</v>
          </cell>
        </row>
        <row r="3622">
          <cell r="BT3622">
            <v>256.98</v>
          </cell>
          <cell r="BY3622">
            <v>0</v>
          </cell>
        </row>
        <row r="3623">
          <cell r="BT3623">
            <v>103.26</v>
          </cell>
          <cell r="BY3623">
            <v>0</v>
          </cell>
        </row>
        <row r="3624">
          <cell r="BT3624">
            <v>3365.86</v>
          </cell>
          <cell r="BY3624">
            <v>0</v>
          </cell>
        </row>
        <row r="3625">
          <cell r="BT3625">
            <v>117.04</v>
          </cell>
          <cell r="BY3625">
            <v>15.29</v>
          </cell>
        </row>
        <row r="3626">
          <cell r="BT3626">
            <v>127.61</v>
          </cell>
          <cell r="BY3626">
            <v>16.690000000000001</v>
          </cell>
        </row>
        <row r="3627">
          <cell r="BT3627">
            <v>190.13</v>
          </cell>
          <cell r="BY3627">
            <v>24.77</v>
          </cell>
        </row>
        <row r="3628">
          <cell r="BT3628">
            <v>2142.86</v>
          </cell>
          <cell r="BY3628">
            <v>280.07</v>
          </cell>
        </row>
        <row r="3629">
          <cell r="BT3629">
            <v>720.71</v>
          </cell>
          <cell r="BY3629">
            <v>94.2</v>
          </cell>
        </row>
        <row r="3630">
          <cell r="BT3630">
            <v>2000</v>
          </cell>
          <cell r="BY3630">
            <v>262.2</v>
          </cell>
        </row>
        <row r="3631">
          <cell r="BT3631">
            <v>-720.71</v>
          </cell>
          <cell r="BY3631">
            <v>94.2</v>
          </cell>
        </row>
        <row r="3632">
          <cell r="BT3632">
            <v>89.29</v>
          </cell>
          <cell r="BY3632">
            <v>11.67</v>
          </cell>
        </row>
        <row r="3633">
          <cell r="BT3633">
            <v>48.65</v>
          </cell>
          <cell r="BY3633">
            <v>6.36</v>
          </cell>
        </row>
        <row r="3634">
          <cell r="BT3634">
            <v>16.5</v>
          </cell>
          <cell r="BY3634">
            <v>2.16</v>
          </cell>
        </row>
        <row r="3635">
          <cell r="BT3635">
            <v>37.9</v>
          </cell>
          <cell r="BY3635">
            <v>4.95</v>
          </cell>
        </row>
        <row r="3636">
          <cell r="BT3636">
            <v>720.72</v>
          </cell>
          <cell r="BY3636">
            <v>94.2</v>
          </cell>
        </row>
        <row r="3637">
          <cell r="BT3637">
            <v>-720.71</v>
          </cell>
          <cell r="BY3637">
            <v>94.2</v>
          </cell>
        </row>
        <row r="3638">
          <cell r="BT3638">
            <v>720.71</v>
          </cell>
          <cell r="BY3638">
            <v>94.2</v>
          </cell>
        </row>
        <row r="3639">
          <cell r="BT3639">
            <v>720.71</v>
          </cell>
          <cell r="BY3639">
            <v>94.2</v>
          </cell>
        </row>
        <row r="3640">
          <cell r="BT3640">
            <v>89.29</v>
          </cell>
          <cell r="BY3640">
            <v>11.67</v>
          </cell>
        </row>
        <row r="3641">
          <cell r="BT3641">
            <v>89.29</v>
          </cell>
          <cell r="BY3641">
            <v>11.67</v>
          </cell>
        </row>
        <row r="3642">
          <cell r="BT3642">
            <v>-2000</v>
          </cell>
          <cell r="BY3642">
            <v>262.2</v>
          </cell>
        </row>
        <row r="3643">
          <cell r="BT3643">
            <v>15</v>
          </cell>
          <cell r="BY3643">
            <v>1.96</v>
          </cell>
        </row>
        <row r="3644">
          <cell r="BT3644">
            <v>2000</v>
          </cell>
          <cell r="BY3644">
            <v>262.2</v>
          </cell>
        </row>
        <row r="3645">
          <cell r="BT3645">
            <v>2000</v>
          </cell>
          <cell r="BY3645">
            <v>262.2</v>
          </cell>
        </row>
        <row r="3646">
          <cell r="BT3646">
            <v>720.71</v>
          </cell>
          <cell r="BY3646">
            <v>94.2</v>
          </cell>
        </row>
        <row r="3647">
          <cell r="BT3647">
            <v>232.21</v>
          </cell>
          <cell r="BY3647">
            <v>30.33</v>
          </cell>
        </row>
        <row r="3648">
          <cell r="BT3648">
            <v>232.21</v>
          </cell>
          <cell r="BY3648">
            <v>30.33</v>
          </cell>
        </row>
        <row r="3649">
          <cell r="BT3649">
            <v>-232.21</v>
          </cell>
          <cell r="BY3649">
            <v>30.33</v>
          </cell>
        </row>
        <row r="3650">
          <cell r="BT3650">
            <v>232.21</v>
          </cell>
          <cell r="BY3650">
            <v>30.33</v>
          </cell>
        </row>
        <row r="3651">
          <cell r="BT3651">
            <v>892.86</v>
          </cell>
          <cell r="BY3651">
            <v>116.98</v>
          </cell>
        </row>
        <row r="3652">
          <cell r="BT3652">
            <v>1000</v>
          </cell>
          <cell r="BY3652">
            <v>131.02000000000001</v>
          </cell>
        </row>
        <row r="3653">
          <cell r="BT3653">
            <v>-892.86</v>
          </cell>
          <cell r="BY3653">
            <v>116.98</v>
          </cell>
        </row>
        <row r="3654">
          <cell r="BT3654">
            <v>2053.5700000000002</v>
          </cell>
          <cell r="BY3654">
            <v>268.57</v>
          </cell>
        </row>
        <row r="3655">
          <cell r="BT3655">
            <v>7313.62</v>
          </cell>
          <cell r="BY3655">
            <v>956.48</v>
          </cell>
        </row>
        <row r="3656">
          <cell r="BT3656">
            <v>37339.56</v>
          </cell>
          <cell r="BY3656">
            <v>4863.8500000000004</v>
          </cell>
        </row>
        <row r="3657">
          <cell r="BT3657">
            <v>300</v>
          </cell>
          <cell r="BY3657">
            <v>39.22</v>
          </cell>
        </row>
        <row r="3658">
          <cell r="BT3658">
            <v>300</v>
          </cell>
          <cell r="BY3658">
            <v>39.08</v>
          </cell>
        </row>
        <row r="3659">
          <cell r="BT3659">
            <v>-300</v>
          </cell>
          <cell r="BY3659">
            <v>39.22</v>
          </cell>
        </row>
        <row r="3660">
          <cell r="BT3660">
            <v>1726.84</v>
          </cell>
          <cell r="BY3660">
            <v>226.25</v>
          </cell>
        </row>
        <row r="3661">
          <cell r="BT3661">
            <v>29400</v>
          </cell>
          <cell r="BY3661">
            <v>3829.64</v>
          </cell>
        </row>
        <row r="3662">
          <cell r="BT3662">
            <v>2450</v>
          </cell>
          <cell r="BY3662">
            <v>319.14</v>
          </cell>
        </row>
        <row r="3663">
          <cell r="BT3663">
            <v>2450</v>
          </cell>
          <cell r="BY3663">
            <v>319.14</v>
          </cell>
        </row>
        <row r="3664">
          <cell r="BT3664">
            <v>1500</v>
          </cell>
          <cell r="BY3664">
            <v>195.39</v>
          </cell>
        </row>
        <row r="3665">
          <cell r="BT3665">
            <v>3724.98</v>
          </cell>
          <cell r="BY3665">
            <v>485.22</v>
          </cell>
        </row>
        <row r="3666">
          <cell r="BT3666">
            <v>678.58</v>
          </cell>
          <cell r="BY3666">
            <v>88.39</v>
          </cell>
        </row>
        <row r="3667">
          <cell r="BT3667">
            <v>13404.35</v>
          </cell>
          <cell r="BY3667">
            <v>0</v>
          </cell>
        </row>
        <row r="3668">
          <cell r="BT3668">
            <v>87.8</v>
          </cell>
          <cell r="BY3668">
            <v>0</v>
          </cell>
        </row>
        <row r="3669">
          <cell r="BT3669">
            <v>65.37</v>
          </cell>
          <cell r="BY3669">
            <v>0</v>
          </cell>
        </row>
        <row r="3670">
          <cell r="BT3670">
            <v>132.07</v>
          </cell>
          <cell r="BY3670">
            <v>0</v>
          </cell>
        </row>
        <row r="3671">
          <cell r="BT3671">
            <v>103.33</v>
          </cell>
          <cell r="BY3671">
            <v>13.55</v>
          </cell>
        </row>
        <row r="3672">
          <cell r="BT3672">
            <v>13.75</v>
          </cell>
          <cell r="BY3672">
            <v>1.8</v>
          </cell>
        </row>
        <row r="3673">
          <cell r="BT3673">
            <v>54.75</v>
          </cell>
          <cell r="BY3673">
            <v>7.18</v>
          </cell>
        </row>
        <row r="3674">
          <cell r="BT3674">
            <v>18.170000000000002</v>
          </cell>
          <cell r="BY3674">
            <v>2.38</v>
          </cell>
        </row>
        <row r="3675">
          <cell r="BT3675">
            <v>441.07</v>
          </cell>
          <cell r="BY3675">
            <v>57.45</v>
          </cell>
        </row>
        <row r="3676">
          <cell r="BT3676">
            <v>1400</v>
          </cell>
          <cell r="BY3676">
            <v>182.36</v>
          </cell>
        </row>
        <row r="3677">
          <cell r="BT3677">
            <v>852.68</v>
          </cell>
          <cell r="BY3677">
            <v>111.07</v>
          </cell>
        </row>
        <row r="3678">
          <cell r="BT3678">
            <v>4892.3999999999996</v>
          </cell>
          <cell r="BY3678">
            <v>639.83000000000004</v>
          </cell>
        </row>
        <row r="3679">
          <cell r="BT3679">
            <v>1080.21</v>
          </cell>
          <cell r="BY3679">
            <v>140.71</v>
          </cell>
        </row>
        <row r="3680">
          <cell r="BT3680">
            <v>6480</v>
          </cell>
          <cell r="BY3680">
            <v>847.45</v>
          </cell>
        </row>
        <row r="3681">
          <cell r="BT3681">
            <v>1366.5</v>
          </cell>
          <cell r="BY3681">
            <v>178.56</v>
          </cell>
        </row>
        <row r="3682">
          <cell r="BT3682">
            <v>1400</v>
          </cell>
          <cell r="BY3682">
            <v>182.36</v>
          </cell>
        </row>
        <row r="3683">
          <cell r="BT3683">
            <v>-91.36</v>
          </cell>
          <cell r="BY3683">
            <v>11.93</v>
          </cell>
        </row>
        <row r="3684">
          <cell r="BT3684">
            <v>52.93</v>
          </cell>
          <cell r="BY3684">
            <v>6.91</v>
          </cell>
        </row>
        <row r="3685">
          <cell r="BT3685">
            <v>598.20000000000005</v>
          </cell>
          <cell r="BY3685">
            <v>77.92</v>
          </cell>
        </row>
        <row r="3686">
          <cell r="BT3686">
            <v>0.01</v>
          </cell>
          <cell r="BY3686">
            <v>0</v>
          </cell>
        </row>
        <row r="3687">
          <cell r="BT3687">
            <v>5768.3</v>
          </cell>
          <cell r="BY3687">
            <v>751.38</v>
          </cell>
        </row>
        <row r="3688">
          <cell r="BT3688">
            <v>1077.31</v>
          </cell>
          <cell r="BY3688">
            <v>140.33000000000001</v>
          </cell>
        </row>
        <row r="3689">
          <cell r="BT3689">
            <v>27250.79</v>
          </cell>
          <cell r="BY3689">
            <v>3560.86</v>
          </cell>
        </row>
        <row r="3690">
          <cell r="BT3690">
            <v>-27250.79</v>
          </cell>
          <cell r="BY3690">
            <v>3560.86</v>
          </cell>
        </row>
        <row r="3691">
          <cell r="BT3691">
            <v>466.96</v>
          </cell>
          <cell r="BY3691">
            <v>61.07</v>
          </cell>
        </row>
        <row r="3692">
          <cell r="BT3692">
            <v>1080.6099999999999</v>
          </cell>
          <cell r="BY3692">
            <v>141.26</v>
          </cell>
        </row>
        <row r="3693">
          <cell r="BT3693">
            <v>5491.07</v>
          </cell>
          <cell r="BY3693">
            <v>719.93</v>
          </cell>
        </row>
        <row r="3694">
          <cell r="BT3694">
            <v>406</v>
          </cell>
          <cell r="BY3694">
            <v>52.89</v>
          </cell>
        </row>
        <row r="3695">
          <cell r="BT3695">
            <v>-1170</v>
          </cell>
          <cell r="BY3695">
            <v>152.4</v>
          </cell>
        </row>
        <row r="3696">
          <cell r="BT3696">
            <v>1170</v>
          </cell>
          <cell r="BY3696">
            <v>152.4</v>
          </cell>
        </row>
        <row r="3697">
          <cell r="BT3697">
            <v>1170</v>
          </cell>
          <cell r="BY3697">
            <v>152.4</v>
          </cell>
        </row>
        <row r="3698">
          <cell r="BT3698">
            <v>-1044.6400000000001</v>
          </cell>
          <cell r="BY3698">
            <v>136.07</v>
          </cell>
        </row>
        <row r="3699">
          <cell r="BT3699">
            <v>-1170</v>
          </cell>
          <cell r="BY3699">
            <v>152.4</v>
          </cell>
        </row>
        <row r="3700">
          <cell r="BT3700">
            <v>1044.6400000000001</v>
          </cell>
          <cell r="BY3700">
            <v>136.07</v>
          </cell>
        </row>
        <row r="3701">
          <cell r="BT3701">
            <v>2125</v>
          </cell>
          <cell r="BY3701">
            <v>276.8</v>
          </cell>
        </row>
        <row r="3702">
          <cell r="BT3702">
            <v>2125</v>
          </cell>
          <cell r="BY3702">
            <v>276.8</v>
          </cell>
        </row>
        <row r="3703">
          <cell r="BT3703">
            <v>-2125</v>
          </cell>
          <cell r="BY3703">
            <v>276.8</v>
          </cell>
        </row>
        <row r="3704">
          <cell r="BT3704">
            <v>-2125</v>
          </cell>
          <cell r="BY3704">
            <v>276.8</v>
          </cell>
        </row>
        <row r="3705">
          <cell r="BT3705">
            <v>1669.64</v>
          </cell>
          <cell r="BY3705">
            <v>217.49</v>
          </cell>
        </row>
        <row r="3706">
          <cell r="BT3706">
            <v>-1669.64</v>
          </cell>
          <cell r="BY3706">
            <v>217.49</v>
          </cell>
        </row>
        <row r="3707">
          <cell r="BT3707">
            <v>1669.64</v>
          </cell>
          <cell r="BY3707">
            <v>217.49</v>
          </cell>
        </row>
        <row r="3708">
          <cell r="BT3708">
            <v>1065.75</v>
          </cell>
          <cell r="BY3708">
            <v>139.31</v>
          </cell>
        </row>
        <row r="3709">
          <cell r="BT3709">
            <v>15777.28</v>
          </cell>
          <cell r="BY3709">
            <v>2055.15</v>
          </cell>
        </row>
        <row r="3710">
          <cell r="BT3710">
            <v>1470.54</v>
          </cell>
          <cell r="BY3710">
            <v>191.55</v>
          </cell>
        </row>
        <row r="3711">
          <cell r="BT3711">
            <v>600</v>
          </cell>
          <cell r="BY3711">
            <v>78.16</v>
          </cell>
        </row>
        <row r="3712">
          <cell r="BT3712">
            <v>150</v>
          </cell>
          <cell r="BY3712">
            <v>19.54</v>
          </cell>
        </row>
        <row r="3713">
          <cell r="BT3713">
            <v>2550</v>
          </cell>
          <cell r="BY3713">
            <v>332.16</v>
          </cell>
        </row>
        <row r="3714">
          <cell r="BT3714">
            <v>964.29</v>
          </cell>
          <cell r="BY3714">
            <v>125.61</v>
          </cell>
        </row>
        <row r="3715">
          <cell r="BT3715">
            <v>3482.14</v>
          </cell>
          <cell r="BY3715">
            <v>453.58</v>
          </cell>
        </row>
        <row r="3716">
          <cell r="BT3716">
            <v>482.15</v>
          </cell>
          <cell r="BY3716">
            <v>62.8</v>
          </cell>
        </row>
        <row r="3717">
          <cell r="BT3717">
            <v>602.66999999999996</v>
          </cell>
          <cell r="BY3717">
            <v>78.5</v>
          </cell>
        </row>
        <row r="3718">
          <cell r="BT3718">
            <v>-273.20999999999998</v>
          </cell>
          <cell r="BY3718">
            <v>35.71</v>
          </cell>
        </row>
        <row r="3719">
          <cell r="BT3719">
            <v>-16.07</v>
          </cell>
          <cell r="BY3719">
            <v>2.1</v>
          </cell>
        </row>
        <row r="3720">
          <cell r="BT3720">
            <v>-0.01</v>
          </cell>
          <cell r="BY3720">
            <v>0</v>
          </cell>
        </row>
        <row r="3721">
          <cell r="BT3721">
            <v>0.01</v>
          </cell>
          <cell r="BY3721">
            <v>0</v>
          </cell>
        </row>
        <row r="3722">
          <cell r="BT3722">
            <v>893</v>
          </cell>
          <cell r="BY3722">
            <v>117.01</v>
          </cell>
        </row>
        <row r="3723">
          <cell r="BT3723">
            <v>1630</v>
          </cell>
          <cell r="BY3723">
            <v>212.32</v>
          </cell>
        </row>
        <row r="3724">
          <cell r="BT3724">
            <v>1562.5</v>
          </cell>
          <cell r="BY3724">
            <v>203.53</v>
          </cell>
        </row>
        <row r="3725">
          <cell r="BT3725">
            <v>25257.26</v>
          </cell>
          <cell r="BY3725">
            <v>0</v>
          </cell>
        </row>
        <row r="3726">
          <cell r="BT3726">
            <v>1287.3399999999999</v>
          </cell>
          <cell r="BY3726">
            <v>0</v>
          </cell>
        </row>
        <row r="3727">
          <cell r="BT3727">
            <v>214.81</v>
          </cell>
          <cell r="BY3727">
            <v>27.98</v>
          </cell>
        </row>
        <row r="3728">
          <cell r="BT3728">
            <v>14.59</v>
          </cell>
          <cell r="BY3728">
            <v>1.9</v>
          </cell>
        </row>
        <row r="3729">
          <cell r="BT3729">
            <v>0.37</v>
          </cell>
          <cell r="BY3729">
            <v>0.05</v>
          </cell>
        </row>
        <row r="3730">
          <cell r="BT3730">
            <v>0.65</v>
          </cell>
          <cell r="BY3730">
            <v>0.08</v>
          </cell>
        </row>
        <row r="3731">
          <cell r="BT3731">
            <v>14.48</v>
          </cell>
          <cell r="BY3731">
            <v>1.89</v>
          </cell>
        </row>
        <row r="3732">
          <cell r="BT3732">
            <v>2.3199999999999998</v>
          </cell>
          <cell r="BY3732">
            <v>0.3</v>
          </cell>
        </row>
        <row r="3733">
          <cell r="BT3733">
            <v>0.89</v>
          </cell>
          <cell r="BY3733">
            <v>0.12</v>
          </cell>
        </row>
        <row r="3734">
          <cell r="BT3734">
            <v>1.63</v>
          </cell>
          <cell r="BY3734">
            <v>0.21</v>
          </cell>
        </row>
        <row r="3735">
          <cell r="BT3735">
            <v>2.4500000000000002</v>
          </cell>
          <cell r="BY3735">
            <v>0.32</v>
          </cell>
        </row>
        <row r="3736">
          <cell r="BT3736">
            <v>2.1</v>
          </cell>
          <cell r="BY3736">
            <v>0.27</v>
          </cell>
        </row>
        <row r="3737">
          <cell r="BT3737">
            <v>3.27</v>
          </cell>
          <cell r="BY3737">
            <v>0.43</v>
          </cell>
        </row>
        <row r="3738">
          <cell r="BT3738">
            <v>1.02</v>
          </cell>
          <cell r="BY3738">
            <v>0.13</v>
          </cell>
        </row>
        <row r="3739">
          <cell r="BT3739">
            <v>149.11000000000001</v>
          </cell>
          <cell r="BY3739">
            <v>19.420000000000002</v>
          </cell>
        </row>
        <row r="3740">
          <cell r="BT3740">
            <v>3.86</v>
          </cell>
          <cell r="BY3740">
            <v>0.5</v>
          </cell>
        </row>
        <row r="3741">
          <cell r="BT3741">
            <v>24.06</v>
          </cell>
          <cell r="BY3741">
            <v>3.13</v>
          </cell>
        </row>
        <row r="3742">
          <cell r="BT3742">
            <v>24.06</v>
          </cell>
          <cell r="BY3742">
            <v>3.13</v>
          </cell>
        </row>
        <row r="3743">
          <cell r="BT3743">
            <v>8.83</v>
          </cell>
          <cell r="BY3743">
            <v>1.1499999999999999</v>
          </cell>
        </row>
        <row r="3744">
          <cell r="BT3744">
            <v>4.5599999999999996</v>
          </cell>
          <cell r="BY3744">
            <v>0.59</v>
          </cell>
        </row>
        <row r="3745">
          <cell r="BT3745">
            <v>35.51</v>
          </cell>
          <cell r="BY3745">
            <v>4.63</v>
          </cell>
        </row>
        <row r="3746">
          <cell r="BT3746">
            <v>35.51</v>
          </cell>
          <cell r="BY3746">
            <v>4.63</v>
          </cell>
        </row>
        <row r="3747">
          <cell r="BT3747">
            <v>8.27</v>
          </cell>
          <cell r="BY3747">
            <v>1.08</v>
          </cell>
        </row>
        <row r="3748">
          <cell r="BT3748">
            <v>11.96</v>
          </cell>
          <cell r="BY3748">
            <v>1.56</v>
          </cell>
        </row>
        <row r="3749">
          <cell r="BT3749">
            <v>10.210000000000001</v>
          </cell>
          <cell r="BY3749">
            <v>1.33</v>
          </cell>
        </row>
        <row r="3750">
          <cell r="BT3750">
            <v>7.58</v>
          </cell>
          <cell r="BY3750">
            <v>0.99</v>
          </cell>
        </row>
        <row r="3751">
          <cell r="BT3751">
            <v>4.82</v>
          </cell>
          <cell r="BY3751">
            <v>0.63</v>
          </cell>
        </row>
        <row r="3752">
          <cell r="BT3752">
            <v>6.81</v>
          </cell>
          <cell r="BY3752">
            <v>0.89</v>
          </cell>
        </row>
        <row r="3753">
          <cell r="BT3753">
            <v>41.54</v>
          </cell>
          <cell r="BY3753">
            <v>5.41</v>
          </cell>
        </row>
        <row r="3754">
          <cell r="BT3754">
            <v>0</v>
          </cell>
          <cell r="BY3754">
            <v>0</v>
          </cell>
        </row>
        <row r="3755">
          <cell r="BT3755">
            <v>25.96</v>
          </cell>
          <cell r="BY3755">
            <v>3.38</v>
          </cell>
        </row>
        <row r="3756">
          <cell r="BT3756">
            <v>3.03</v>
          </cell>
          <cell r="BY3756">
            <v>0.39</v>
          </cell>
        </row>
        <row r="3757">
          <cell r="BT3757">
            <v>2.59</v>
          </cell>
          <cell r="BY3757">
            <v>0.34</v>
          </cell>
        </row>
        <row r="3758">
          <cell r="BT3758">
            <v>3.5</v>
          </cell>
          <cell r="BY3758">
            <v>0.46</v>
          </cell>
        </row>
        <row r="3759">
          <cell r="BT3759">
            <v>1.81</v>
          </cell>
          <cell r="BY3759">
            <v>0.24</v>
          </cell>
        </row>
        <row r="3760">
          <cell r="BT3760">
            <v>5.66</v>
          </cell>
          <cell r="BY3760">
            <v>0.74</v>
          </cell>
        </row>
        <row r="3761">
          <cell r="BT3761">
            <v>14.88</v>
          </cell>
          <cell r="BY3761">
            <v>1.95</v>
          </cell>
        </row>
        <row r="3762">
          <cell r="BT3762">
            <v>1858.54</v>
          </cell>
          <cell r="BY3762">
            <v>242.09</v>
          </cell>
        </row>
        <row r="3763">
          <cell r="BT3763">
            <v>6371.88</v>
          </cell>
          <cell r="BY3763">
            <v>830</v>
          </cell>
        </row>
        <row r="3764">
          <cell r="BT3764">
            <v>1274.1099999999999</v>
          </cell>
          <cell r="BY3764">
            <v>165.97</v>
          </cell>
        </row>
        <row r="3765">
          <cell r="BT3765">
            <v>6785</v>
          </cell>
          <cell r="BY3765">
            <v>886.94</v>
          </cell>
        </row>
        <row r="3766">
          <cell r="BT3766">
            <v>5663.42</v>
          </cell>
          <cell r="BY3766">
            <v>737.72</v>
          </cell>
        </row>
        <row r="3767">
          <cell r="BT3767">
            <v>6100</v>
          </cell>
          <cell r="BY3767">
            <v>799.22</v>
          </cell>
        </row>
        <row r="3768">
          <cell r="BT3768">
            <v>1810.71</v>
          </cell>
          <cell r="BY3768">
            <v>235.86</v>
          </cell>
        </row>
        <row r="3769">
          <cell r="BT3769">
            <v>3009.87</v>
          </cell>
          <cell r="BY3769">
            <v>392.07</v>
          </cell>
        </row>
        <row r="3770">
          <cell r="BT3770">
            <v>2973.54</v>
          </cell>
          <cell r="BY3770">
            <v>389.21</v>
          </cell>
        </row>
        <row r="3771">
          <cell r="BT3771">
            <v>-2973.54</v>
          </cell>
          <cell r="BY3771">
            <v>389.21</v>
          </cell>
        </row>
        <row r="3772">
          <cell r="BT3772">
            <v>3330.36</v>
          </cell>
          <cell r="BY3772">
            <v>435.91</v>
          </cell>
        </row>
        <row r="3773">
          <cell r="BT3773">
            <v>2361.17</v>
          </cell>
          <cell r="BY3773">
            <v>307.57</v>
          </cell>
        </row>
        <row r="3774">
          <cell r="BT3774">
            <v>409.82</v>
          </cell>
          <cell r="BY3774">
            <v>53.64</v>
          </cell>
        </row>
        <row r="3775">
          <cell r="BT3775">
            <v>365.91</v>
          </cell>
          <cell r="BY3775">
            <v>47.89</v>
          </cell>
        </row>
        <row r="3776">
          <cell r="BT3776">
            <v>-365.91</v>
          </cell>
          <cell r="BY3776">
            <v>47.89</v>
          </cell>
        </row>
        <row r="3777">
          <cell r="BT3777">
            <v>-6785</v>
          </cell>
          <cell r="BY3777">
            <v>886.94</v>
          </cell>
        </row>
        <row r="3778">
          <cell r="BT3778">
            <v>-6100</v>
          </cell>
          <cell r="BY3778">
            <v>799.22</v>
          </cell>
        </row>
        <row r="3779">
          <cell r="BT3779">
            <v>190</v>
          </cell>
          <cell r="BY3779">
            <v>24.75</v>
          </cell>
        </row>
        <row r="3780">
          <cell r="BT3780">
            <v>3071.46</v>
          </cell>
          <cell r="BY3780">
            <v>400.09</v>
          </cell>
        </row>
        <row r="3781">
          <cell r="BT3781">
            <v>377024.88</v>
          </cell>
          <cell r="BY3781">
            <v>49111.26</v>
          </cell>
        </row>
        <row r="3782">
          <cell r="BT3782">
            <v>-377024.88</v>
          </cell>
          <cell r="BY3782">
            <v>49111.26</v>
          </cell>
        </row>
        <row r="3783">
          <cell r="BT3783">
            <v>-551057.78</v>
          </cell>
          <cell r="BY3783">
            <v>71780.789999999994</v>
          </cell>
        </row>
        <row r="3784">
          <cell r="BT3784">
            <v>180875.99</v>
          </cell>
          <cell r="BY3784">
            <v>23560.91</v>
          </cell>
        </row>
        <row r="3785">
          <cell r="BT3785">
            <v>-72719.990000000005</v>
          </cell>
          <cell r="BY3785">
            <v>9472.51</v>
          </cell>
        </row>
        <row r="3786">
          <cell r="BT3786">
            <v>-385732.44</v>
          </cell>
          <cell r="BY3786">
            <v>50245.51</v>
          </cell>
        </row>
        <row r="3787">
          <cell r="BT3787">
            <v>-1657668.55</v>
          </cell>
          <cell r="BY3787">
            <v>215927.91</v>
          </cell>
        </row>
        <row r="3788">
          <cell r="BT3788">
            <v>43050</v>
          </cell>
          <cell r="BY3788">
            <v>5608.98</v>
          </cell>
        </row>
        <row r="3789">
          <cell r="BT3789">
            <v>11495.61</v>
          </cell>
          <cell r="BY3789">
            <v>1503.17</v>
          </cell>
        </row>
        <row r="3790">
          <cell r="BT3790">
            <v>-890.28</v>
          </cell>
          <cell r="BY3790">
            <v>110.36</v>
          </cell>
        </row>
        <row r="3791">
          <cell r="BT3791">
            <v>2000</v>
          </cell>
          <cell r="BY3791">
            <v>260.52</v>
          </cell>
        </row>
        <row r="3792">
          <cell r="BT3792">
            <v>6650.12</v>
          </cell>
          <cell r="BY3792">
            <v>865.51</v>
          </cell>
        </row>
        <row r="3793">
          <cell r="BT3793">
            <v>11322.83</v>
          </cell>
          <cell r="BY3793">
            <v>1483.29</v>
          </cell>
        </row>
        <row r="3794">
          <cell r="BT3794">
            <v>573.79999999999995</v>
          </cell>
          <cell r="BY3794">
            <v>74.760000000000005</v>
          </cell>
        </row>
        <row r="3795">
          <cell r="BT3795">
            <v>6402</v>
          </cell>
          <cell r="BY3795">
            <v>834.12</v>
          </cell>
        </row>
        <row r="3796">
          <cell r="BT3796">
            <v>1629.6</v>
          </cell>
          <cell r="BY3796">
            <v>212.32</v>
          </cell>
        </row>
        <row r="3797">
          <cell r="BT3797">
            <v>-4612.5</v>
          </cell>
          <cell r="BY3797">
            <v>603.17999999999995</v>
          </cell>
        </row>
        <row r="3798">
          <cell r="BT3798">
            <v>-69.14</v>
          </cell>
          <cell r="BY3798">
            <v>8.57</v>
          </cell>
        </row>
        <row r="3799">
          <cell r="BT3799">
            <v>-64.86</v>
          </cell>
          <cell r="BY3799">
            <v>8.0399999999999991</v>
          </cell>
        </row>
        <row r="3800">
          <cell r="BT3800">
            <v>-85.9</v>
          </cell>
          <cell r="BY3800">
            <v>10.65</v>
          </cell>
        </row>
        <row r="3801">
          <cell r="BT3801">
            <v>-255.98</v>
          </cell>
          <cell r="BY3801">
            <v>31.73</v>
          </cell>
        </row>
        <row r="3802">
          <cell r="BT3802">
            <v>-1823.78</v>
          </cell>
          <cell r="BY3802">
            <v>239.23</v>
          </cell>
        </row>
        <row r="3803">
          <cell r="BT3803">
            <v>41907.42</v>
          </cell>
          <cell r="BY3803">
            <v>5475.62</v>
          </cell>
        </row>
        <row r="3804">
          <cell r="BT3804">
            <v>614.01</v>
          </cell>
          <cell r="BY3804">
            <v>80</v>
          </cell>
        </row>
        <row r="3805">
          <cell r="BT3805">
            <v>57.9</v>
          </cell>
          <cell r="BY3805">
            <v>7.54</v>
          </cell>
        </row>
        <row r="3806">
          <cell r="BT3806">
            <v>72932.740000000005</v>
          </cell>
          <cell r="BY3806">
            <v>9500</v>
          </cell>
        </row>
        <row r="3807">
          <cell r="BT3807">
            <v>11411.4</v>
          </cell>
          <cell r="BY3807">
            <v>1492.15</v>
          </cell>
        </row>
        <row r="3808">
          <cell r="BT3808">
            <v>-7859.47</v>
          </cell>
          <cell r="BY3808">
            <v>1023.75</v>
          </cell>
        </row>
        <row r="3809">
          <cell r="BT3809">
            <v>8060.99</v>
          </cell>
          <cell r="BY3809">
            <v>1050</v>
          </cell>
        </row>
        <row r="3810">
          <cell r="BT3810">
            <v>18101.650000000001</v>
          </cell>
          <cell r="BY3810">
            <v>2358.5</v>
          </cell>
        </row>
        <row r="3811">
          <cell r="BT3811">
            <v>-26758.93</v>
          </cell>
          <cell r="BY3811">
            <v>3493.91</v>
          </cell>
        </row>
        <row r="3812">
          <cell r="BT3812">
            <v>21180.75</v>
          </cell>
          <cell r="BY3812">
            <v>2767.48</v>
          </cell>
        </row>
        <row r="3813">
          <cell r="BT3813">
            <v>11457</v>
          </cell>
          <cell r="BY3813">
            <v>1498.12</v>
          </cell>
        </row>
        <row r="3814">
          <cell r="BT3814">
            <v>-737.39</v>
          </cell>
          <cell r="BY3814">
            <v>96.43</v>
          </cell>
        </row>
        <row r="3815">
          <cell r="BT3815">
            <v>22.6</v>
          </cell>
          <cell r="BY3815">
            <v>2.96</v>
          </cell>
        </row>
        <row r="3816">
          <cell r="BT3816">
            <v>41775.1</v>
          </cell>
          <cell r="BY3816">
            <v>5454.57</v>
          </cell>
        </row>
        <row r="3817">
          <cell r="BT3817">
            <v>6882.23</v>
          </cell>
          <cell r="BY3817">
            <v>900</v>
          </cell>
        </row>
        <row r="3818">
          <cell r="BT3818">
            <v>249750</v>
          </cell>
          <cell r="BY3818">
            <v>32539.93</v>
          </cell>
        </row>
        <row r="3819">
          <cell r="BT3819">
            <v>41684.22</v>
          </cell>
          <cell r="BY3819">
            <v>5446.46</v>
          </cell>
        </row>
        <row r="3820">
          <cell r="BT3820">
            <v>575.63</v>
          </cell>
          <cell r="BY3820">
            <v>75</v>
          </cell>
        </row>
        <row r="3821">
          <cell r="BT3821">
            <v>767.51</v>
          </cell>
          <cell r="BY3821">
            <v>100</v>
          </cell>
        </row>
        <row r="3822">
          <cell r="BT3822">
            <v>2302.52</v>
          </cell>
          <cell r="BY3822">
            <v>300</v>
          </cell>
        </row>
        <row r="3823">
          <cell r="BT3823">
            <v>7905.32</v>
          </cell>
          <cell r="BY3823">
            <v>1030</v>
          </cell>
        </row>
        <row r="3824">
          <cell r="BT3824">
            <v>4612.5</v>
          </cell>
          <cell r="BY3824">
            <v>603.17999999999995</v>
          </cell>
        </row>
        <row r="3825">
          <cell r="BT3825">
            <v>-4612.5</v>
          </cell>
          <cell r="BY3825">
            <v>603.17999999999995</v>
          </cell>
        </row>
        <row r="3826">
          <cell r="BT3826">
            <v>18495.77</v>
          </cell>
          <cell r="BY3826">
            <v>2414.9899999999998</v>
          </cell>
        </row>
        <row r="3827">
          <cell r="BT3827">
            <v>-11.42</v>
          </cell>
          <cell r="BY3827">
            <v>1.49</v>
          </cell>
        </row>
        <row r="3828">
          <cell r="BT3828">
            <v>26.35</v>
          </cell>
          <cell r="BY3828">
            <v>3.45</v>
          </cell>
        </row>
        <row r="3829">
          <cell r="BT3829">
            <v>1.4</v>
          </cell>
          <cell r="BY3829">
            <v>0.18</v>
          </cell>
        </row>
        <row r="3830">
          <cell r="BT3830">
            <v>-0.05</v>
          </cell>
          <cell r="BY3830">
            <v>0.01</v>
          </cell>
        </row>
        <row r="3831">
          <cell r="BT3831">
            <v>-0.21</v>
          </cell>
          <cell r="BY3831">
            <v>0.03</v>
          </cell>
        </row>
        <row r="3832">
          <cell r="BT3832">
            <v>0.04</v>
          </cell>
          <cell r="BY3832">
            <v>0.01</v>
          </cell>
        </row>
        <row r="3833">
          <cell r="BT3833">
            <v>737.39</v>
          </cell>
          <cell r="BY3833">
            <v>96.43</v>
          </cell>
        </row>
        <row r="3834">
          <cell r="BT3834">
            <v>53.93</v>
          </cell>
          <cell r="BY3834">
            <v>6.68</v>
          </cell>
        </row>
        <row r="3835">
          <cell r="BT3835">
            <v>64.86</v>
          </cell>
          <cell r="BY3835">
            <v>8.0399999999999991</v>
          </cell>
        </row>
        <row r="3836">
          <cell r="BT3836">
            <v>80.36</v>
          </cell>
          <cell r="BY3836">
            <v>9.9600000000000009</v>
          </cell>
        </row>
        <row r="3837">
          <cell r="BT3837">
            <v>255.98</v>
          </cell>
          <cell r="BY3837">
            <v>31.73</v>
          </cell>
        </row>
        <row r="3838">
          <cell r="BT3838">
            <v>890.28</v>
          </cell>
          <cell r="BY3838">
            <v>110.36</v>
          </cell>
        </row>
        <row r="3839">
          <cell r="BT3839">
            <v>-64.86</v>
          </cell>
          <cell r="BY3839">
            <v>8.0399999999999991</v>
          </cell>
        </row>
        <row r="3840">
          <cell r="BT3840">
            <v>-80.36</v>
          </cell>
          <cell r="BY3840">
            <v>9.9600000000000009</v>
          </cell>
        </row>
        <row r="3841">
          <cell r="BT3841">
            <v>-255.98</v>
          </cell>
          <cell r="BY3841">
            <v>31.73</v>
          </cell>
        </row>
        <row r="3842">
          <cell r="BT3842">
            <v>-53.93</v>
          </cell>
          <cell r="BY3842">
            <v>6.68</v>
          </cell>
        </row>
        <row r="3843">
          <cell r="BT3843">
            <v>-890.28</v>
          </cell>
          <cell r="BY3843">
            <v>110.36</v>
          </cell>
        </row>
        <row r="3844">
          <cell r="BT3844">
            <v>5942.28</v>
          </cell>
          <cell r="BY3844">
            <v>779.03</v>
          </cell>
        </row>
        <row r="3845">
          <cell r="BT3845">
            <v>89578.01</v>
          </cell>
          <cell r="BY3845">
            <v>11750</v>
          </cell>
        </row>
        <row r="3846">
          <cell r="BT3846">
            <v>9148.39</v>
          </cell>
          <cell r="BY3846">
            <v>1200</v>
          </cell>
        </row>
        <row r="3847">
          <cell r="BT3847">
            <v>9148.39</v>
          </cell>
          <cell r="BY3847">
            <v>1200</v>
          </cell>
        </row>
        <row r="3848">
          <cell r="BT3848">
            <v>292748.53999999998</v>
          </cell>
          <cell r="BY3848">
            <v>38400</v>
          </cell>
        </row>
        <row r="3849">
          <cell r="BT3849">
            <v>1823.78</v>
          </cell>
          <cell r="BY3849">
            <v>239.23</v>
          </cell>
        </row>
        <row r="3850">
          <cell r="BT3850">
            <v>0.17</v>
          </cell>
          <cell r="BY3850">
            <v>0.02</v>
          </cell>
        </row>
        <row r="3851">
          <cell r="BT3851">
            <v>0.17</v>
          </cell>
          <cell r="BY3851">
            <v>0.02</v>
          </cell>
        </row>
        <row r="3852">
          <cell r="BT3852">
            <v>0.51</v>
          </cell>
          <cell r="BY3852">
            <v>7.0000000000000007E-2</v>
          </cell>
        </row>
        <row r="3853">
          <cell r="BT3853">
            <v>22597.119999999999</v>
          </cell>
          <cell r="BY3853">
            <v>2955.25</v>
          </cell>
        </row>
        <row r="3854">
          <cell r="BT3854">
            <v>-214.29</v>
          </cell>
          <cell r="BY3854">
            <v>28.05</v>
          </cell>
        </row>
        <row r="3855">
          <cell r="BT3855">
            <v>-737.39</v>
          </cell>
          <cell r="BY3855">
            <v>96.43</v>
          </cell>
        </row>
        <row r="3856">
          <cell r="BT3856">
            <v>-18495.77</v>
          </cell>
          <cell r="BY3856">
            <v>2414.9899999999998</v>
          </cell>
        </row>
        <row r="3857">
          <cell r="BT3857">
            <v>-41.59</v>
          </cell>
          <cell r="BY3857">
            <v>5.45</v>
          </cell>
        </row>
        <row r="3858">
          <cell r="BT3858">
            <v>16.91</v>
          </cell>
          <cell r="BY3858">
            <v>2.2200000000000002</v>
          </cell>
        </row>
        <row r="3859">
          <cell r="BT3859">
            <v>6.31</v>
          </cell>
          <cell r="BY3859">
            <v>0.83</v>
          </cell>
        </row>
        <row r="3860">
          <cell r="BT3860">
            <v>-22.6</v>
          </cell>
          <cell r="BY3860">
            <v>2.96</v>
          </cell>
        </row>
        <row r="3861">
          <cell r="BT3861">
            <v>20.420000000000002</v>
          </cell>
          <cell r="BY3861">
            <v>2.66</v>
          </cell>
        </row>
        <row r="3862">
          <cell r="BT3862">
            <v>-9202.64</v>
          </cell>
          <cell r="BY3862">
            <v>1200</v>
          </cell>
        </row>
        <row r="3863">
          <cell r="BT3863">
            <v>-9202.64</v>
          </cell>
          <cell r="BY3863">
            <v>1200</v>
          </cell>
        </row>
        <row r="3864">
          <cell r="BT3864">
            <v>228808.8</v>
          </cell>
          <cell r="BY3864">
            <v>30000</v>
          </cell>
        </row>
        <row r="3865">
          <cell r="BT3865">
            <v>346.97</v>
          </cell>
          <cell r="BY3865">
            <v>0</v>
          </cell>
        </row>
        <row r="3866">
          <cell r="BT3866">
            <v>334.47</v>
          </cell>
          <cell r="BY3866">
            <v>0</v>
          </cell>
        </row>
        <row r="3867">
          <cell r="BT3867">
            <v>228808.8</v>
          </cell>
          <cell r="BY3867">
            <v>30000</v>
          </cell>
        </row>
        <row r="3868">
          <cell r="BT3868">
            <v>162.30000000000001</v>
          </cell>
          <cell r="BY3868">
            <v>0</v>
          </cell>
        </row>
        <row r="3869">
          <cell r="BT3869">
            <v>162.30000000000001</v>
          </cell>
          <cell r="BY3869">
            <v>0</v>
          </cell>
        </row>
        <row r="3870">
          <cell r="BT3870">
            <v>3652.48</v>
          </cell>
          <cell r="BY3870">
            <v>477.6</v>
          </cell>
        </row>
        <row r="3871">
          <cell r="BT3871">
            <v>-1.53</v>
          </cell>
          <cell r="BY3871">
            <v>0.2</v>
          </cell>
        </row>
        <row r="3872">
          <cell r="BT3872">
            <v>2535.79</v>
          </cell>
          <cell r="BY3872">
            <v>332.19</v>
          </cell>
        </row>
        <row r="3873">
          <cell r="BT3873">
            <v>137.76</v>
          </cell>
          <cell r="BY3873">
            <v>18.05</v>
          </cell>
        </row>
        <row r="3874">
          <cell r="BT3874">
            <v>51.75</v>
          </cell>
          <cell r="BY3874">
            <v>6.78</v>
          </cell>
        </row>
        <row r="3875">
          <cell r="BT3875">
            <v>51.75</v>
          </cell>
          <cell r="BY3875">
            <v>6.78</v>
          </cell>
        </row>
        <row r="3876">
          <cell r="BT3876">
            <v>0.01</v>
          </cell>
          <cell r="BY3876">
            <v>0</v>
          </cell>
        </row>
        <row r="3877">
          <cell r="BT3877">
            <v>-51.75</v>
          </cell>
          <cell r="BY3877">
            <v>6.78</v>
          </cell>
        </row>
        <row r="3878">
          <cell r="BT3878">
            <v>-2587.54</v>
          </cell>
          <cell r="BY3878">
            <v>338.97</v>
          </cell>
        </row>
        <row r="3879">
          <cell r="BT3879">
            <v>1293.77</v>
          </cell>
          <cell r="BY3879">
            <v>169.51</v>
          </cell>
        </row>
        <row r="3880">
          <cell r="BT3880">
            <v>1293.77</v>
          </cell>
          <cell r="BY3880">
            <v>169.51</v>
          </cell>
        </row>
        <row r="3881">
          <cell r="BT3881">
            <v>1334.29</v>
          </cell>
          <cell r="BY3881">
            <v>174.82</v>
          </cell>
        </row>
        <row r="3882">
          <cell r="BT3882">
            <v>689.43</v>
          </cell>
          <cell r="BY3882">
            <v>90.33</v>
          </cell>
        </row>
        <row r="3883">
          <cell r="BT3883">
            <v>30</v>
          </cell>
          <cell r="BY3883">
            <v>3.93</v>
          </cell>
        </row>
        <row r="3884">
          <cell r="BT3884">
            <v>149.97999999999999</v>
          </cell>
          <cell r="BY3884">
            <v>19.649999999999999</v>
          </cell>
        </row>
        <row r="3885">
          <cell r="BT3885">
            <v>0.03</v>
          </cell>
          <cell r="BY3885">
            <v>0</v>
          </cell>
        </row>
        <row r="3886">
          <cell r="BT3886">
            <v>159.97</v>
          </cell>
          <cell r="BY3886">
            <v>20.96</v>
          </cell>
        </row>
        <row r="3887">
          <cell r="BT3887">
            <v>5257.5</v>
          </cell>
          <cell r="BY3887">
            <v>689.63</v>
          </cell>
        </row>
        <row r="3888">
          <cell r="BT3888">
            <v>0.03</v>
          </cell>
          <cell r="BY3888">
            <v>0</v>
          </cell>
        </row>
        <row r="3889">
          <cell r="BT3889">
            <v>2530.1999999999998</v>
          </cell>
          <cell r="BY3889">
            <v>331.46</v>
          </cell>
        </row>
        <row r="3890">
          <cell r="BT3890">
            <v>2530.19</v>
          </cell>
          <cell r="BY3890">
            <v>330.85</v>
          </cell>
        </row>
        <row r="3891">
          <cell r="BT3891">
            <v>0.02</v>
          </cell>
          <cell r="BY3891">
            <v>0</v>
          </cell>
        </row>
        <row r="3892">
          <cell r="BT3892">
            <v>-0.04</v>
          </cell>
          <cell r="BY3892">
            <v>0.01</v>
          </cell>
        </row>
        <row r="3893">
          <cell r="BT3893">
            <v>159.97</v>
          </cell>
          <cell r="BY3893">
            <v>20.96</v>
          </cell>
        </row>
        <row r="3894">
          <cell r="BT3894">
            <v>689.43</v>
          </cell>
          <cell r="BY3894">
            <v>90.33</v>
          </cell>
        </row>
        <row r="3895">
          <cell r="BT3895">
            <v>15.04</v>
          </cell>
          <cell r="BY3895">
            <v>1.97</v>
          </cell>
        </row>
        <row r="3896">
          <cell r="BT3896">
            <v>149.97999999999999</v>
          </cell>
          <cell r="BY3896">
            <v>19.649999999999999</v>
          </cell>
        </row>
        <row r="3897">
          <cell r="BT3897">
            <v>31722.13</v>
          </cell>
          <cell r="BY3897">
            <v>4161.01</v>
          </cell>
        </row>
        <row r="3898">
          <cell r="BT3898">
            <v>5.8</v>
          </cell>
          <cell r="BY3898">
            <v>0.76</v>
          </cell>
        </row>
        <row r="3899">
          <cell r="BT3899">
            <v>13.79</v>
          </cell>
          <cell r="BY3899">
            <v>1.81</v>
          </cell>
        </row>
        <row r="3900">
          <cell r="BT3900">
            <v>350.07</v>
          </cell>
          <cell r="BY3900">
            <v>45.92</v>
          </cell>
        </row>
        <row r="3901">
          <cell r="BT3901">
            <v>3</v>
          </cell>
          <cell r="BY3901">
            <v>0.39</v>
          </cell>
        </row>
        <row r="3902">
          <cell r="BT3902">
            <v>0.3</v>
          </cell>
          <cell r="BY3902">
            <v>0.04</v>
          </cell>
        </row>
        <row r="3903">
          <cell r="BT3903">
            <v>5.8</v>
          </cell>
          <cell r="BY3903">
            <v>0.76</v>
          </cell>
        </row>
        <row r="3904">
          <cell r="BT3904">
            <v>13.79</v>
          </cell>
          <cell r="BY3904">
            <v>1.81</v>
          </cell>
        </row>
        <row r="3905">
          <cell r="BT3905">
            <v>350.07</v>
          </cell>
          <cell r="BY3905">
            <v>45.92</v>
          </cell>
        </row>
        <row r="3906">
          <cell r="BT3906">
            <v>3</v>
          </cell>
          <cell r="BY3906">
            <v>0.39</v>
          </cell>
        </row>
        <row r="3907">
          <cell r="BT3907">
            <v>0.3</v>
          </cell>
          <cell r="BY3907">
            <v>0.04</v>
          </cell>
        </row>
        <row r="3908">
          <cell r="BT3908">
            <v>284.2</v>
          </cell>
          <cell r="BY3908">
            <v>37.159999999999997</v>
          </cell>
        </row>
        <row r="3909">
          <cell r="BT3909">
            <v>675.67</v>
          </cell>
          <cell r="BY3909">
            <v>88.36</v>
          </cell>
        </row>
        <row r="3910">
          <cell r="BT3910">
            <v>-5.8</v>
          </cell>
          <cell r="BY3910">
            <v>0.76</v>
          </cell>
        </row>
        <row r="3911">
          <cell r="BT3911">
            <v>-13.79</v>
          </cell>
          <cell r="BY3911">
            <v>1.81</v>
          </cell>
        </row>
        <row r="3912">
          <cell r="BT3912">
            <v>-352.15</v>
          </cell>
          <cell r="BY3912">
            <v>45.92</v>
          </cell>
        </row>
        <row r="3913">
          <cell r="BT3913">
            <v>-3</v>
          </cell>
          <cell r="BY3913">
            <v>0.39</v>
          </cell>
        </row>
        <row r="3914">
          <cell r="BT3914">
            <v>-0.3</v>
          </cell>
          <cell r="BY3914">
            <v>0.04</v>
          </cell>
        </row>
        <row r="3915">
          <cell r="BT3915">
            <v>-290</v>
          </cell>
          <cell r="BY3915">
            <v>37.92</v>
          </cell>
        </row>
        <row r="3916">
          <cell r="BT3916">
            <v>-689.46</v>
          </cell>
          <cell r="BY3916">
            <v>90.16</v>
          </cell>
        </row>
        <row r="3917">
          <cell r="BT3917">
            <v>-352.15</v>
          </cell>
          <cell r="BY3917">
            <v>45.92</v>
          </cell>
        </row>
        <row r="3918">
          <cell r="BT3918">
            <v>-1144.8599999999999</v>
          </cell>
          <cell r="BY3918">
            <v>150</v>
          </cell>
        </row>
        <row r="3919">
          <cell r="BT3919">
            <v>-15</v>
          </cell>
          <cell r="BY3919">
            <v>1.97</v>
          </cell>
        </row>
        <row r="3920">
          <cell r="BT3920">
            <v>44.65</v>
          </cell>
          <cell r="BY3920">
            <v>5.85</v>
          </cell>
        </row>
        <row r="3921">
          <cell r="BT3921">
            <v>8755.6</v>
          </cell>
          <cell r="BY3921">
            <v>1147.98</v>
          </cell>
        </row>
        <row r="3922">
          <cell r="BT3922">
            <v>74.989999999999995</v>
          </cell>
          <cell r="BY3922">
            <v>9.83</v>
          </cell>
        </row>
        <row r="3923">
          <cell r="BT3923">
            <v>7.52</v>
          </cell>
          <cell r="BY3923">
            <v>0.99</v>
          </cell>
        </row>
        <row r="3924">
          <cell r="BT3924">
            <v>145.02000000000001</v>
          </cell>
          <cell r="BY3924">
            <v>19</v>
          </cell>
        </row>
        <row r="3925">
          <cell r="BT3925">
            <v>300.11</v>
          </cell>
          <cell r="BY3925">
            <v>39.32</v>
          </cell>
        </row>
        <row r="3926">
          <cell r="BT3926">
            <v>44.65</v>
          </cell>
          <cell r="BY3926">
            <v>5.85</v>
          </cell>
        </row>
        <row r="3927">
          <cell r="BT3927">
            <v>8755.6</v>
          </cell>
          <cell r="BY3927">
            <v>1147.98</v>
          </cell>
        </row>
        <row r="3928">
          <cell r="BT3928">
            <v>74.989999999999995</v>
          </cell>
          <cell r="BY3928">
            <v>9.83</v>
          </cell>
        </row>
        <row r="3929">
          <cell r="BT3929">
            <v>7.52</v>
          </cell>
          <cell r="BY3929">
            <v>0.99</v>
          </cell>
        </row>
        <row r="3930">
          <cell r="BT3930">
            <v>14.7</v>
          </cell>
          <cell r="BY3930">
            <v>1.93</v>
          </cell>
        </row>
        <row r="3931">
          <cell r="BT3931">
            <v>-149.61000000000001</v>
          </cell>
          <cell r="BY3931">
            <v>19.600000000000001</v>
          </cell>
        </row>
        <row r="3932">
          <cell r="BT3932">
            <v>-14.7</v>
          </cell>
          <cell r="BY3932">
            <v>1.93</v>
          </cell>
        </row>
        <row r="3933">
          <cell r="BT3933">
            <v>1141.8599999999999</v>
          </cell>
          <cell r="BY3933">
            <v>149.61000000000001</v>
          </cell>
        </row>
        <row r="3934">
          <cell r="BT3934">
            <v>145.02000000000001</v>
          </cell>
          <cell r="BY3934">
            <v>19</v>
          </cell>
        </row>
        <row r="3935">
          <cell r="BT3935">
            <v>300.11</v>
          </cell>
          <cell r="BY3935">
            <v>39.32</v>
          </cell>
        </row>
        <row r="3936">
          <cell r="BT3936">
            <v>-0.5</v>
          </cell>
          <cell r="BY3936">
            <v>0.06</v>
          </cell>
        </row>
        <row r="3937">
          <cell r="BT3937">
            <v>-3.3</v>
          </cell>
          <cell r="BY3937">
            <v>0.41</v>
          </cell>
        </row>
        <row r="3938">
          <cell r="BT3938">
            <v>-0.01</v>
          </cell>
          <cell r="BY3938">
            <v>0</v>
          </cell>
        </row>
        <row r="3939">
          <cell r="BT3939">
            <v>-0.01</v>
          </cell>
          <cell r="BY3939">
            <v>0</v>
          </cell>
        </row>
        <row r="3940">
          <cell r="BT3940">
            <v>8263.16</v>
          </cell>
          <cell r="BY3940">
            <v>1078.92</v>
          </cell>
        </row>
        <row r="3941">
          <cell r="BT3941">
            <v>-0.01</v>
          </cell>
          <cell r="BY3941">
            <v>0</v>
          </cell>
        </row>
        <row r="3942">
          <cell r="BT3942">
            <v>-0.01</v>
          </cell>
          <cell r="BY3942">
            <v>0</v>
          </cell>
        </row>
        <row r="3943">
          <cell r="BT3943">
            <v>0.01</v>
          </cell>
          <cell r="BY3943">
            <v>0</v>
          </cell>
        </row>
        <row r="3944">
          <cell r="BT3944">
            <v>0.01</v>
          </cell>
          <cell r="BY3944">
            <v>0</v>
          </cell>
        </row>
        <row r="3945">
          <cell r="BT3945">
            <v>15.21</v>
          </cell>
          <cell r="BY3945">
            <v>1.89</v>
          </cell>
        </row>
        <row r="3946">
          <cell r="BT3946">
            <v>6.04</v>
          </cell>
          <cell r="BY3946">
            <v>0.75</v>
          </cell>
        </row>
        <row r="3947">
          <cell r="BT3947">
            <v>3.3</v>
          </cell>
          <cell r="BY3947">
            <v>0.41</v>
          </cell>
        </row>
        <row r="3948">
          <cell r="BT3948">
            <v>-6.04</v>
          </cell>
          <cell r="BY3948">
            <v>0.75</v>
          </cell>
        </row>
        <row r="3949">
          <cell r="BT3949">
            <v>-3.3</v>
          </cell>
          <cell r="BY3949">
            <v>0.41</v>
          </cell>
        </row>
        <row r="3950">
          <cell r="BT3950">
            <v>-15.21</v>
          </cell>
          <cell r="BY3950">
            <v>1.89</v>
          </cell>
        </row>
        <row r="3951">
          <cell r="BT3951">
            <v>-0.01</v>
          </cell>
          <cell r="BY3951">
            <v>0</v>
          </cell>
        </row>
        <row r="3952">
          <cell r="BT3952">
            <v>0.01</v>
          </cell>
          <cell r="BY3952">
            <v>0</v>
          </cell>
        </row>
        <row r="3953">
          <cell r="BT3953">
            <v>0.01</v>
          </cell>
          <cell r="BY3953">
            <v>0</v>
          </cell>
        </row>
        <row r="3954">
          <cell r="BT3954">
            <v>-0.01</v>
          </cell>
          <cell r="BY3954">
            <v>0</v>
          </cell>
        </row>
        <row r="3955">
          <cell r="BT3955">
            <v>-0.01</v>
          </cell>
          <cell r="BY3955">
            <v>0</v>
          </cell>
        </row>
        <row r="3956">
          <cell r="BT3956">
            <v>-8263.16</v>
          </cell>
          <cell r="BY3956">
            <v>1078.92</v>
          </cell>
        </row>
        <row r="3957">
          <cell r="BT3957">
            <v>-0.01</v>
          </cell>
          <cell r="BY3957">
            <v>0</v>
          </cell>
        </row>
        <row r="3958">
          <cell r="BT3958">
            <v>0.01</v>
          </cell>
          <cell r="BY3958">
            <v>0</v>
          </cell>
        </row>
        <row r="3959">
          <cell r="BT3959">
            <v>-0.01</v>
          </cell>
          <cell r="BY3959">
            <v>0</v>
          </cell>
        </row>
        <row r="3960">
          <cell r="BT3960">
            <v>13348.57</v>
          </cell>
          <cell r="BY3960">
            <v>1738.78</v>
          </cell>
        </row>
        <row r="3961">
          <cell r="BT3961">
            <v>2900.83</v>
          </cell>
          <cell r="BY3961">
            <v>377.86</v>
          </cell>
        </row>
        <row r="3962">
          <cell r="BT3962">
            <v>7542.45</v>
          </cell>
          <cell r="BY3962">
            <v>982.48</v>
          </cell>
        </row>
        <row r="3963">
          <cell r="BT3963">
            <v>2400.06</v>
          </cell>
          <cell r="BY3963">
            <v>312.7</v>
          </cell>
        </row>
        <row r="3964">
          <cell r="BT3964">
            <v>4259.63</v>
          </cell>
          <cell r="BY3964">
            <v>554.4</v>
          </cell>
        </row>
        <row r="3965">
          <cell r="BT3965">
            <v>123.94</v>
          </cell>
          <cell r="BY3965">
            <v>16.14</v>
          </cell>
        </row>
        <row r="3966">
          <cell r="BT3966">
            <v>9603.75</v>
          </cell>
          <cell r="BY3966">
            <v>1250.98</v>
          </cell>
        </row>
        <row r="3967">
          <cell r="BT3967">
            <v>4240.43</v>
          </cell>
          <cell r="BY3967">
            <v>552.36</v>
          </cell>
        </row>
        <row r="3968">
          <cell r="BT3968">
            <v>10621.41</v>
          </cell>
          <cell r="BY3968">
            <v>1382.4</v>
          </cell>
        </row>
        <row r="3969">
          <cell r="BT3969">
            <v>49618.2</v>
          </cell>
          <cell r="BY3969">
            <v>6457.92</v>
          </cell>
        </row>
        <row r="3970">
          <cell r="BT3970">
            <v>4986.93</v>
          </cell>
          <cell r="BY3970">
            <v>649.05999999999995</v>
          </cell>
        </row>
        <row r="3971">
          <cell r="BT3971">
            <v>6117.65</v>
          </cell>
          <cell r="BY3971">
            <v>796.21</v>
          </cell>
        </row>
        <row r="3972">
          <cell r="BT3972">
            <v>15546.43</v>
          </cell>
          <cell r="BY3972">
            <v>2023.37</v>
          </cell>
        </row>
        <row r="3973">
          <cell r="BT3973">
            <v>6585.29</v>
          </cell>
          <cell r="BY3973">
            <v>857.09</v>
          </cell>
        </row>
        <row r="3974">
          <cell r="BT3974">
            <v>969.33</v>
          </cell>
          <cell r="BY3974">
            <v>126.29</v>
          </cell>
        </row>
        <row r="3975">
          <cell r="BT3975">
            <v>6106.78</v>
          </cell>
          <cell r="BY3975">
            <v>795.65</v>
          </cell>
        </row>
        <row r="3976">
          <cell r="BT3976">
            <v>5905.09</v>
          </cell>
          <cell r="BY3976">
            <v>771.8</v>
          </cell>
        </row>
        <row r="3977">
          <cell r="BT3977">
            <v>1410.6</v>
          </cell>
          <cell r="BY3977">
            <v>184.37</v>
          </cell>
        </row>
        <row r="3978">
          <cell r="BT3978">
            <v>34719.93</v>
          </cell>
          <cell r="BY3978">
            <v>4523.7299999999996</v>
          </cell>
        </row>
        <row r="3979">
          <cell r="BT3979">
            <v>653.32000000000005</v>
          </cell>
          <cell r="BY3979">
            <v>85.12</v>
          </cell>
        </row>
        <row r="3980">
          <cell r="BT3980">
            <v>9567.44</v>
          </cell>
          <cell r="BY3980">
            <v>1246.56</v>
          </cell>
        </row>
        <row r="3981">
          <cell r="BT3981">
            <v>15901.8</v>
          </cell>
          <cell r="BY3981">
            <v>2071.88</v>
          </cell>
        </row>
        <row r="3982">
          <cell r="BT3982">
            <v>4831.3900000000003</v>
          </cell>
          <cell r="BY3982">
            <v>629.49</v>
          </cell>
        </row>
        <row r="3983">
          <cell r="BT3983">
            <v>3216.37</v>
          </cell>
          <cell r="BY3983">
            <v>419.07</v>
          </cell>
        </row>
        <row r="3984">
          <cell r="BT3984">
            <v>2400.06</v>
          </cell>
          <cell r="BY3984">
            <v>312.7</v>
          </cell>
        </row>
        <row r="3985">
          <cell r="BT3985">
            <v>-655.46</v>
          </cell>
          <cell r="BY3985">
            <v>85.58</v>
          </cell>
        </row>
        <row r="3986">
          <cell r="BT3986">
            <v>-677.58</v>
          </cell>
          <cell r="BY3986">
            <v>88.53</v>
          </cell>
        </row>
        <row r="3987">
          <cell r="BT3987">
            <v>-257.2</v>
          </cell>
          <cell r="BY3987">
            <v>33.69</v>
          </cell>
        </row>
        <row r="3988">
          <cell r="BT3988">
            <v>-257.2</v>
          </cell>
          <cell r="BY3988">
            <v>33.69</v>
          </cell>
        </row>
        <row r="3989">
          <cell r="BT3989">
            <v>46273.07</v>
          </cell>
          <cell r="BY3989">
            <v>6027.39</v>
          </cell>
        </row>
        <row r="3990">
          <cell r="BT3990">
            <v>-1028.97</v>
          </cell>
          <cell r="BY3990">
            <v>134.91</v>
          </cell>
        </row>
        <row r="3991">
          <cell r="BT3991">
            <v>2068.5</v>
          </cell>
          <cell r="BY3991">
            <v>269.44</v>
          </cell>
        </row>
        <row r="3992">
          <cell r="BT3992">
            <v>2881.13</v>
          </cell>
          <cell r="BY3992">
            <v>375.3</v>
          </cell>
        </row>
        <row r="3993">
          <cell r="BT3993">
            <v>2419.8000000000002</v>
          </cell>
          <cell r="BY3993">
            <v>315.2</v>
          </cell>
        </row>
        <row r="3994">
          <cell r="BT3994">
            <v>10296</v>
          </cell>
          <cell r="BY3994">
            <v>1341.16</v>
          </cell>
        </row>
        <row r="3995">
          <cell r="BT3995">
            <v>6244.43</v>
          </cell>
          <cell r="BY3995">
            <v>815.96</v>
          </cell>
        </row>
        <row r="3996">
          <cell r="BT3996">
            <v>-10.39</v>
          </cell>
          <cell r="BY3996">
            <v>1.36</v>
          </cell>
        </row>
        <row r="3997">
          <cell r="BT3997">
            <v>-3527.56</v>
          </cell>
          <cell r="BY3997">
            <v>460.7</v>
          </cell>
        </row>
        <row r="3998">
          <cell r="BT3998">
            <v>-524.63</v>
          </cell>
          <cell r="BY3998">
            <v>68.5</v>
          </cell>
        </row>
        <row r="3999">
          <cell r="BT3999">
            <v>-468.55</v>
          </cell>
          <cell r="BY3999">
            <v>61.18</v>
          </cell>
        </row>
        <row r="4000">
          <cell r="BT4000">
            <v>-979.82</v>
          </cell>
          <cell r="BY4000">
            <v>127.94</v>
          </cell>
        </row>
        <row r="4001">
          <cell r="BT4001">
            <v>3341.53</v>
          </cell>
          <cell r="BY4001">
            <v>436.97</v>
          </cell>
        </row>
        <row r="4002">
          <cell r="BT4002">
            <v>-739.65</v>
          </cell>
          <cell r="BY4002">
            <v>96.64</v>
          </cell>
        </row>
        <row r="4003">
          <cell r="BT4003">
            <v>-123.94</v>
          </cell>
          <cell r="BY4003">
            <v>16.14</v>
          </cell>
        </row>
        <row r="4004">
          <cell r="BT4004">
            <v>22814</v>
          </cell>
          <cell r="BY4004">
            <v>2971.75</v>
          </cell>
        </row>
        <row r="4005">
          <cell r="BT4005">
            <v>5475.36</v>
          </cell>
          <cell r="BY4005">
            <v>713.22</v>
          </cell>
        </row>
        <row r="4006">
          <cell r="BT4006">
            <v>-1756.16</v>
          </cell>
          <cell r="BY4006">
            <v>229.65</v>
          </cell>
        </row>
        <row r="4007">
          <cell r="BT4007">
            <v>-533.57000000000005</v>
          </cell>
          <cell r="BY4007">
            <v>69.77</v>
          </cell>
        </row>
        <row r="4008">
          <cell r="BT4008">
            <v>-1147.27</v>
          </cell>
          <cell r="BY4008">
            <v>150.41999999999999</v>
          </cell>
        </row>
        <row r="4009">
          <cell r="BT4009">
            <v>-757.35</v>
          </cell>
          <cell r="BY4009">
            <v>99.3</v>
          </cell>
        </row>
        <row r="4010">
          <cell r="BT4010">
            <v>-712.8</v>
          </cell>
          <cell r="BY4010">
            <v>93.46</v>
          </cell>
        </row>
        <row r="4011">
          <cell r="BT4011">
            <v>-654.28</v>
          </cell>
          <cell r="BY4011">
            <v>85.78</v>
          </cell>
        </row>
        <row r="4012">
          <cell r="BT4012">
            <v>3259</v>
          </cell>
          <cell r="BY4012">
            <v>427.48</v>
          </cell>
        </row>
        <row r="4013">
          <cell r="BT4013">
            <v>3579</v>
          </cell>
          <cell r="BY4013">
            <v>469.46</v>
          </cell>
        </row>
        <row r="4014">
          <cell r="BT4014">
            <v>-221.62</v>
          </cell>
          <cell r="BY4014">
            <v>29.01</v>
          </cell>
        </row>
        <row r="4015">
          <cell r="BT4015">
            <v>-308.7</v>
          </cell>
          <cell r="BY4015">
            <v>40.409999999999997</v>
          </cell>
        </row>
        <row r="4016">
          <cell r="BT4016">
            <v>-454.34</v>
          </cell>
          <cell r="BY4016">
            <v>59.47</v>
          </cell>
        </row>
        <row r="4017">
          <cell r="BT4017">
            <v>10707.84</v>
          </cell>
          <cell r="BY4017">
            <v>1395.12</v>
          </cell>
        </row>
        <row r="4018">
          <cell r="BT4018">
            <v>7068.6</v>
          </cell>
          <cell r="BY4018">
            <v>920.97</v>
          </cell>
        </row>
        <row r="4019">
          <cell r="BT4019">
            <v>6652.8</v>
          </cell>
          <cell r="BY4019">
            <v>866.79</v>
          </cell>
        </row>
        <row r="4020">
          <cell r="BT4020">
            <v>123.94</v>
          </cell>
          <cell r="BY4020">
            <v>16.14</v>
          </cell>
        </row>
        <row r="4021">
          <cell r="BT4021">
            <v>5647.2</v>
          </cell>
          <cell r="BY4021">
            <v>735.6</v>
          </cell>
        </row>
        <row r="4022">
          <cell r="BT4022">
            <v>2925.45</v>
          </cell>
          <cell r="BY4022">
            <v>381.07</v>
          </cell>
        </row>
        <row r="4023">
          <cell r="BT4023">
            <v>48888.79</v>
          </cell>
          <cell r="BY4023">
            <v>6369.82</v>
          </cell>
        </row>
        <row r="4024">
          <cell r="BT4024">
            <v>-1147.27</v>
          </cell>
          <cell r="BY4024">
            <v>150.41999999999999</v>
          </cell>
        </row>
        <row r="4025">
          <cell r="BT4025">
            <v>3341.53</v>
          </cell>
          <cell r="BY4025">
            <v>436.97</v>
          </cell>
        </row>
        <row r="4026">
          <cell r="BT4026">
            <v>-221.62</v>
          </cell>
          <cell r="BY4026">
            <v>29.01</v>
          </cell>
        </row>
        <row r="4027">
          <cell r="BT4027">
            <v>-524.63</v>
          </cell>
          <cell r="BY4027">
            <v>68.5</v>
          </cell>
        </row>
        <row r="4028">
          <cell r="BT4028">
            <v>-468.55</v>
          </cell>
          <cell r="BY4028">
            <v>61.18</v>
          </cell>
        </row>
        <row r="4029">
          <cell r="BT4029">
            <v>677.58</v>
          </cell>
          <cell r="BY4029">
            <v>88.53</v>
          </cell>
        </row>
        <row r="4030">
          <cell r="BT4030">
            <v>-5647.2</v>
          </cell>
          <cell r="BY4030">
            <v>735.6</v>
          </cell>
        </row>
        <row r="4031">
          <cell r="BT4031">
            <v>1028.97</v>
          </cell>
          <cell r="BY4031">
            <v>134.91</v>
          </cell>
        </row>
        <row r="4032">
          <cell r="BT4032">
            <v>-3829.29</v>
          </cell>
          <cell r="BY4032">
            <v>500.76</v>
          </cell>
        </row>
        <row r="4033">
          <cell r="BT4033">
            <v>-61.74</v>
          </cell>
          <cell r="BY4033">
            <v>8.07</v>
          </cell>
        </row>
        <row r="4034">
          <cell r="BT4034">
            <v>-905.5</v>
          </cell>
          <cell r="BY4034">
            <v>118.41</v>
          </cell>
        </row>
        <row r="4035">
          <cell r="BT4035">
            <v>-1028.97</v>
          </cell>
          <cell r="BY4035">
            <v>134.91</v>
          </cell>
        </row>
        <row r="4036">
          <cell r="BT4036">
            <v>2925.45</v>
          </cell>
          <cell r="BY4036">
            <v>381.07</v>
          </cell>
        </row>
        <row r="4037">
          <cell r="BT4037">
            <v>2575.4</v>
          </cell>
          <cell r="BY4037">
            <v>335.47</v>
          </cell>
        </row>
        <row r="4038">
          <cell r="BT4038">
            <v>2249.61</v>
          </cell>
          <cell r="BY4038">
            <v>294.2</v>
          </cell>
        </row>
        <row r="4039">
          <cell r="BT4039">
            <v>-3341.53</v>
          </cell>
          <cell r="BY4039">
            <v>436.97</v>
          </cell>
        </row>
        <row r="4040">
          <cell r="BT4040">
            <v>-654.28</v>
          </cell>
          <cell r="BY4040">
            <v>85.78</v>
          </cell>
        </row>
        <row r="4041">
          <cell r="BT4041">
            <v>221.62</v>
          </cell>
          <cell r="BY4041">
            <v>29.01</v>
          </cell>
        </row>
        <row r="4042">
          <cell r="BT4042">
            <v>5703.67</v>
          </cell>
          <cell r="BY4042">
            <v>742.96</v>
          </cell>
        </row>
        <row r="4043">
          <cell r="BT4043">
            <v>308.7</v>
          </cell>
          <cell r="BY4043">
            <v>40.409999999999997</v>
          </cell>
        </row>
        <row r="4044">
          <cell r="BT4044">
            <v>-308.7</v>
          </cell>
          <cell r="BY4044">
            <v>40.409999999999997</v>
          </cell>
        </row>
        <row r="4045">
          <cell r="BT4045">
            <v>-454.34</v>
          </cell>
          <cell r="BY4045">
            <v>59.47</v>
          </cell>
        </row>
        <row r="4046">
          <cell r="BT4046">
            <v>103.86</v>
          </cell>
          <cell r="BY4046">
            <v>13.58</v>
          </cell>
        </row>
        <row r="4047">
          <cell r="BT4047">
            <v>-103.86</v>
          </cell>
          <cell r="BY4047">
            <v>13.58</v>
          </cell>
        </row>
        <row r="4048">
          <cell r="BT4048">
            <v>4241.8900000000003</v>
          </cell>
          <cell r="BY4048">
            <v>553.99</v>
          </cell>
        </row>
        <row r="4049">
          <cell r="BT4049">
            <v>-4241.8900000000003</v>
          </cell>
          <cell r="BY4049">
            <v>553.99</v>
          </cell>
        </row>
        <row r="4050">
          <cell r="BT4050">
            <v>524.63</v>
          </cell>
          <cell r="BY4050">
            <v>68.5</v>
          </cell>
        </row>
        <row r="4051">
          <cell r="BT4051">
            <v>468.55</v>
          </cell>
          <cell r="BY4051">
            <v>61.18</v>
          </cell>
        </row>
        <row r="4052">
          <cell r="BT4052">
            <v>1147.27</v>
          </cell>
          <cell r="BY4052">
            <v>150.41999999999999</v>
          </cell>
        </row>
        <row r="4053">
          <cell r="BT4053">
            <v>757.35</v>
          </cell>
          <cell r="BY4053">
            <v>99.3</v>
          </cell>
        </row>
        <row r="4054">
          <cell r="BT4054">
            <v>712.8</v>
          </cell>
          <cell r="BY4054">
            <v>93.46</v>
          </cell>
        </row>
        <row r="4055">
          <cell r="BT4055">
            <v>654.28</v>
          </cell>
          <cell r="BY4055">
            <v>85.78</v>
          </cell>
        </row>
        <row r="4056">
          <cell r="BT4056">
            <v>655.1</v>
          </cell>
          <cell r="BY4056">
            <v>85.54</v>
          </cell>
        </row>
        <row r="4057">
          <cell r="BT4057">
            <v>-988.27</v>
          </cell>
          <cell r="BY4057">
            <v>129.04</v>
          </cell>
        </row>
        <row r="4058">
          <cell r="BT4058">
            <v>-776.55</v>
          </cell>
          <cell r="BY4058">
            <v>101.46</v>
          </cell>
        </row>
        <row r="4059">
          <cell r="BT4059">
            <v>-583.13</v>
          </cell>
          <cell r="BY4059">
            <v>76.2</v>
          </cell>
        </row>
        <row r="4060">
          <cell r="BT4060">
            <v>0.01</v>
          </cell>
          <cell r="BY4060">
            <v>0</v>
          </cell>
        </row>
        <row r="4061">
          <cell r="BT4061">
            <v>0.03</v>
          </cell>
          <cell r="BY4061">
            <v>0</v>
          </cell>
        </row>
        <row r="4062">
          <cell r="BT4062">
            <v>-1756.16</v>
          </cell>
          <cell r="BY4062">
            <v>229.65</v>
          </cell>
        </row>
        <row r="4063">
          <cell r="BT4063">
            <v>-533.57000000000005</v>
          </cell>
          <cell r="BY4063">
            <v>69.77</v>
          </cell>
        </row>
        <row r="4064">
          <cell r="BT4064">
            <v>-611.23</v>
          </cell>
          <cell r="BY4064">
            <v>79.64</v>
          </cell>
        </row>
        <row r="4065">
          <cell r="BT4065">
            <v>988.27</v>
          </cell>
          <cell r="BY4065">
            <v>129.04</v>
          </cell>
        </row>
        <row r="4066">
          <cell r="BT4066">
            <v>776.55</v>
          </cell>
          <cell r="BY4066">
            <v>101.46</v>
          </cell>
        </row>
        <row r="4067">
          <cell r="BT4067">
            <v>-677.58</v>
          </cell>
          <cell r="BY4067">
            <v>88.53</v>
          </cell>
        </row>
        <row r="4068">
          <cell r="BT4068">
            <v>-139.44999999999999</v>
          </cell>
          <cell r="BY4068">
            <v>18.239999999999998</v>
          </cell>
        </row>
        <row r="4069">
          <cell r="BT4069">
            <v>-757.35</v>
          </cell>
          <cell r="BY4069">
            <v>99.3</v>
          </cell>
        </row>
        <row r="4070">
          <cell r="BT4070">
            <v>-712.8</v>
          </cell>
          <cell r="BY4070">
            <v>93.46</v>
          </cell>
        </row>
        <row r="4071">
          <cell r="BT4071">
            <v>454.34</v>
          </cell>
          <cell r="BY4071">
            <v>59.47</v>
          </cell>
        </row>
        <row r="4072">
          <cell r="BT4072">
            <v>-3259</v>
          </cell>
          <cell r="BY4072">
            <v>427.48</v>
          </cell>
        </row>
        <row r="4073">
          <cell r="BT4073">
            <v>-3579</v>
          </cell>
          <cell r="BY4073">
            <v>469.46</v>
          </cell>
        </row>
        <row r="4074">
          <cell r="BT4074">
            <v>30.26</v>
          </cell>
          <cell r="BY4074">
            <v>3.96</v>
          </cell>
        </row>
        <row r="4075">
          <cell r="BT4075">
            <v>1756.16</v>
          </cell>
          <cell r="BY4075">
            <v>229.65</v>
          </cell>
        </row>
        <row r="4076">
          <cell r="BT4076">
            <v>533.57000000000005</v>
          </cell>
          <cell r="BY4076">
            <v>69.77</v>
          </cell>
        </row>
        <row r="4077">
          <cell r="BT4077">
            <v>-30.26</v>
          </cell>
          <cell r="BY4077">
            <v>3.96</v>
          </cell>
        </row>
        <row r="4078">
          <cell r="BT4078">
            <v>-4924.17</v>
          </cell>
          <cell r="BY4078">
            <v>645.61</v>
          </cell>
        </row>
        <row r="4079">
          <cell r="BT4079">
            <v>2763.15</v>
          </cell>
          <cell r="BY4079">
            <v>359.93</v>
          </cell>
        </row>
        <row r="4080">
          <cell r="BT4080">
            <v>1108.97</v>
          </cell>
          <cell r="BY4080">
            <v>144.44999999999999</v>
          </cell>
        </row>
        <row r="4081">
          <cell r="BT4081">
            <v>443.42</v>
          </cell>
          <cell r="BY4081">
            <v>57.76</v>
          </cell>
        </row>
        <row r="4082">
          <cell r="BT4082">
            <v>560</v>
          </cell>
          <cell r="BY4082">
            <v>72.95</v>
          </cell>
        </row>
        <row r="4083">
          <cell r="BT4083">
            <v>-296.05</v>
          </cell>
          <cell r="BY4083">
            <v>38.81</v>
          </cell>
        </row>
        <row r="4084">
          <cell r="BT4084">
            <v>540.96</v>
          </cell>
          <cell r="BY4084">
            <v>70.47</v>
          </cell>
        </row>
        <row r="4085">
          <cell r="BT4085">
            <v>392</v>
          </cell>
          <cell r="BY4085">
            <v>51.06</v>
          </cell>
        </row>
        <row r="4086">
          <cell r="BT4086">
            <v>753.48</v>
          </cell>
          <cell r="BY4086">
            <v>98.15</v>
          </cell>
        </row>
        <row r="4087">
          <cell r="BT4087">
            <v>546</v>
          </cell>
          <cell r="BY4087">
            <v>71.12</v>
          </cell>
        </row>
        <row r="4088">
          <cell r="BT4088">
            <v>-57.96</v>
          </cell>
          <cell r="BY4088">
            <v>7.59</v>
          </cell>
        </row>
        <row r="4089">
          <cell r="BT4089">
            <v>108</v>
          </cell>
          <cell r="BY4089">
            <v>14.14</v>
          </cell>
        </row>
        <row r="4090">
          <cell r="BT4090">
            <v>-80.73</v>
          </cell>
          <cell r="BY4090">
            <v>10.57</v>
          </cell>
        </row>
        <row r="4091">
          <cell r="BT4091">
            <v>-46</v>
          </cell>
          <cell r="BY4091">
            <v>6.02</v>
          </cell>
        </row>
        <row r="4092">
          <cell r="BT4092">
            <v>-118.82</v>
          </cell>
          <cell r="BY4092">
            <v>15.55</v>
          </cell>
        </row>
        <row r="4093">
          <cell r="BT4093">
            <v>-47.51</v>
          </cell>
          <cell r="BY4093">
            <v>6.22</v>
          </cell>
        </row>
        <row r="4094">
          <cell r="BT4094">
            <v>128.75</v>
          </cell>
          <cell r="BY4094">
            <v>16.77</v>
          </cell>
        </row>
        <row r="4095">
          <cell r="BT4095">
            <v>296.05</v>
          </cell>
          <cell r="BY4095">
            <v>38.81</v>
          </cell>
        </row>
        <row r="4096">
          <cell r="BT4096">
            <v>683.1</v>
          </cell>
          <cell r="BY4096">
            <v>88.98</v>
          </cell>
        </row>
        <row r="4097">
          <cell r="BT4097">
            <v>371.25</v>
          </cell>
          <cell r="BY4097">
            <v>48.36</v>
          </cell>
        </row>
        <row r="4098">
          <cell r="BT4098">
            <v>677.35</v>
          </cell>
          <cell r="BY4098">
            <v>88.23</v>
          </cell>
        </row>
        <row r="4099">
          <cell r="BT4099">
            <v>270.94</v>
          </cell>
          <cell r="BY4099">
            <v>35.29</v>
          </cell>
        </row>
        <row r="4100">
          <cell r="BT4100">
            <v>-296.05</v>
          </cell>
          <cell r="BY4100">
            <v>38.81</v>
          </cell>
        </row>
        <row r="4101">
          <cell r="BT4101">
            <v>57.96</v>
          </cell>
          <cell r="BY4101">
            <v>7.59</v>
          </cell>
        </row>
        <row r="4102">
          <cell r="BT4102">
            <v>-108</v>
          </cell>
          <cell r="BY4102">
            <v>14.14</v>
          </cell>
        </row>
        <row r="4103">
          <cell r="BT4103">
            <v>80.73</v>
          </cell>
          <cell r="BY4103">
            <v>10.57</v>
          </cell>
        </row>
        <row r="4104">
          <cell r="BT4104">
            <v>46</v>
          </cell>
          <cell r="BY4104">
            <v>6.02</v>
          </cell>
        </row>
        <row r="4105">
          <cell r="BT4105">
            <v>118.82</v>
          </cell>
          <cell r="BY4105">
            <v>15.55</v>
          </cell>
        </row>
        <row r="4106">
          <cell r="BT4106">
            <v>47.51</v>
          </cell>
          <cell r="BY4106">
            <v>6.22</v>
          </cell>
        </row>
        <row r="4107">
          <cell r="BT4107">
            <v>-80.73</v>
          </cell>
          <cell r="BY4107">
            <v>10.57</v>
          </cell>
        </row>
        <row r="4108">
          <cell r="BT4108">
            <v>-118.82</v>
          </cell>
          <cell r="BY4108">
            <v>15.55</v>
          </cell>
        </row>
        <row r="4109">
          <cell r="BT4109">
            <v>-47.51</v>
          </cell>
          <cell r="BY4109">
            <v>6.22</v>
          </cell>
        </row>
        <row r="4110">
          <cell r="BT4110">
            <v>-60</v>
          </cell>
          <cell r="BY4110">
            <v>7.85</v>
          </cell>
        </row>
        <row r="4111">
          <cell r="BT4111">
            <v>-57.96</v>
          </cell>
          <cell r="BY4111">
            <v>7.59</v>
          </cell>
        </row>
        <row r="4112">
          <cell r="BT4112">
            <v>108</v>
          </cell>
          <cell r="BY4112">
            <v>14.14</v>
          </cell>
        </row>
        <row r="4113">
          <cell r="BT4113">
            <v>-0.1</v>
          </cell>
          <cell r="BY4113">
            <v>0.01</v>
          </cell>
        </row>
        <row r="4114">
          <cell r="BT4114">
            <v>-93.47</v>
          </cell>
          <cell r="BY4114">
            <v>12.22</v>
          </cell>
        </row>
        <row r="4115">
          <cell r="BT4115">
            <v>-4884.32</v>
          </cell>
          <cell r="BY4115">
            <v>637.89</v>
          </cell>
        </row>
        <row r="4116">
          <cell r="BT4116">
            <v>-24</v>
          </cell>
          <cell r="BY4116">
            <v>3.13</v>
          </cell>
        </row>
        <row r="4117">
          <cell r="BT4117">
            <v>-685.87</v>
          </cell>
          <cell r="BY4117">
            <v>89.55</v>
          </cell>
        </row>
        <row r="4118">
          <cell r="BT4118">
            <v>-353.07</v>
          </cell>
          <cell r="BY4118">
            <v>46.13</v>
          </cell>
        </row>
        <row r="4119">
          <cell r="BT4119">
            <v>-24</v>
          </cell>
          <cell r="BY4119">
            <v>3.13</v>
          </cell>
        </row>
        <row r="4120">
          <cell r="BT4120">
            <v>-3.92</v>
          </cell>
          <cell r="BY4120">
            <v>0.51</v>
          </cell>
        </row>
        <row r="4121">
          <cell r="BT4121">
            <v>4169.99</v>
          </cell>
          <cell r="BY4121">
            <v>544.6</v>
          </cell>
        </row>
        <row r="4122">
          <cell r="BT4122">
            <v>-4169.99</v>
          </cell>
          <cell r="BY4122">
            <v>544.6</v>
          </cell>
        </row>
        <row r="4123">
          <cell r="BT4123">
            <v>24</v>
          </cell>
          <cell r="BY4123">
            <v>3.13</v>
          </cell>
        </row>
        <row r="4124">
          <cell r="BT4124">
            <v>0.36</v>
          </cell>
          <cell r="BY4124">
            <v>0.05</v>
          </cell>
        </row>
        <row r="4125">
          <cell r="BT4125">
            <v>-677.42</v>
          </cell>
          <cell r="BY4125">
            <v>88.45</v>
          </cell>
        </row>
        <row r="4126">
          <cell r="BT4126">
            <v>-316.17</v>
          </cell>
          <cell r="BY4126">
            <v>41.31</v>
          </cell>
        </row>
        <row r="4127">
          <cell r="BT4127">
            <v>-85.92</v>
          </cell>
          <cell r="BY4127">
            <v>11.23</v>
          </cell>
        </row>
        <row r="4128">
          <cell r="BT4128">
            <v>0.03</v>
          </cell>
          <cell r="BY4128">
            <v>0</v>
          </cell>
        </row>
        <row r="4129">
          <cell r="BT4129">
            <v>0.04</v>
          </cell>
          <cell r="BY4129">
            <v>0.01</v>
          </cell>
        </row>
        <row r="4130">
          <cell r="BT4130">
            <v>677.42</v>
          </cell>
          <cell r="BY4130">
            <v>88.45</v>
          </cell>
        </row>
        <row r="4131">
          <cell r="BT4131">
            <v>316.17</v>
          </cell>
          <cell r="BY4131">
            <v>41.31</v>
          </cell>
        </row>
        <row r="4132">
          <cell r="BT4132">
            <v>226.94</v>
          </cell>
          <cell r="BY4132">
            <v>29.73</v>
          </cell>
        </row>
        <row r="4133">
          <cell r="BT4133">
            <v>257.2</v>
          </cell>
          <cell r="BY4133">
            <v>33.69</v>
          </cell>
        </row>
        <row r="4134">
          <cell r="BT4134">
            <v>-226.94</v>
          </cell>
          <cell r="BY4134">
            <v>29.73</v>
          </cell>
        </row>
        <row r="4135">
          <cell r="BT4135">
            <v>-257.2</v>
          </cell>
          <cell r="BY4135">
            <v>33.69</v>
          </cell>
        </row>
        <row r="4136">
          <cell r="BT4136">
            <v>-1.5</v>
          </cell>
          <cell r="BY4136">
            <v>0.2</v>
          </cell>
        </row>
        <row r="4137">
          <cell r="BT4137">
            <v>166052.70000000001</v>
          </cell>
          <cell r="BY4137">
            <v>0</v>
          </cell>
        </row>
        <row r="4138">
          <cell r="BT4138">
            <v>18765.830000000002</v>
          </cell>
          <cell r="BY4138">
            <v>2442.37</v>
          </cell>
        </row>
        <row r="4139">
          <cell r="BT4139">
            <v>27720</v>
          </cell>
          <cell r="BY4139">
            <v>3623.56</v>
          </cell>
        </row>
        <row r="4140">
          <cell r="BT4140">
            <v>24671.4</v>
          </cell>
          <cell r="BY4140">
            <v>0</v>
          </cell>
        </row>
        <row r="4141">
          <cell r="BT4141">
            <v>-7500</v>
          </cell>
          <cell r="BY4141">
            <v>0</v>
          </cell>
        </row>
        <row r="4142">
          <cell r="BT4142">
            <v>18751.34</v>
          </cell>
          <cell r="BY4142">
            <v>0</v>
          </cell>
        </row>
        <row r="4143">
          <cell r="BT4143">
            <v>3367.72</v>
          </cell>
          <cell r="BY4143">
            <v>0</v>
          </cell>
        </row>
        <row r="4144">
          <cell r="BT4144">
            <v>-24467.17</v>
          </cell>
          <cell r="BY4144">
            <v>0</v>
          </cell>
        </row>
        <row r="4145">
          <cell r="BT4145">
            <v>-43050</v>
          </cell>
          <cell r="BY4145">
            <v>5608.98</v>
          </cell>
        </row>
        <row r="4146">
          <cell r="BT4146">
            <v>4612.5</v>
          </cell>
          <cell r="BY4146">
            <v>603.17999999999995</v>
          </cell>
        </row>
        <row r="4147">
          <cell r="BT4147">
            <v>-72932.740000000005</v>
          </cell>
          <cell r="BY4147">
            <v>9500</v>
          </cell>
        </row>
        <row r="4148">
          <cell r="BT4148">
            <v>26758.93</v>
          </cell>
          <cell r="BY4148">
            <v>3493.91</v>
          </cell>
        </row>
        <row r="4149">
          <cell r="BT4149">
            <v>-249750</v>
          </cell>
          <cell r="BY4149">
            <v>32539.93</v>
          </cell>
        </row>
        <row r="4150">
          <cell r="BT4150">
            <v>-4612.5</v>
          </cell>
          <cell r="BY4150">
            <v>603.17999999999995</v>
          </cell>
        </row>
        <row r="4151">
          <cell r="BT4151">
            <v>4612.5</v>
          </cell>
          <cell r="BY4151">
            <v>603.17999999999995</v>
          </cell>
        </row>
        <row r="4152">
          <cell r="BT4152">
            <v>-18495.77</v>
          </cell>
          <cell r="BY4152">
            <v>2414.9899999999998</v>
          </cell>
        </row>
        <row r="4153">
          <cell r="BT4153">
            <v>-2535.79</v>
          </cell>
          <cell r="BY4153">
            <v>332.19</v>
          </cell>
        </row>
        <row r="4154">
          <cell r="BT4154">
            <v>-0.02</v>
          </cell>
          <cell r="BY4154">
            <v>0</v>
          </cell>
        </row>
        <row r="4155">
          <cell r="BT4155">
            <v>0.04</v>
          </cell>
          <cell r="BY4155">
            <v>0.01</v>
          </cell>
        </row>
        <row r="4156">
          <cell r="BT4156">
            <v>-122452.32</v>
          </cell>
          <cell r="BY4156">
            <v>16061.97</v>
          </cell>
        </row>
        <row r="4157">
          <cell r="BT4157">
            <v>-9573.1</v>
          </cell>
          <cell r="BY4157">
            <v>1255.7</v>
          </cell>
        </row>
        <row r="4158">
          <cell r="BT4158">
            <v>-9573.1</v>
          </cell>
          <cell r="BY4158">
            <v>1255.7</v>
          </cell>
        </row>
        <row r="4159">
          <cell r="BT4159">
            <v>-300369.71000000002</v>
          </cell>
          <cell r="BY4159">
            <v>39399.32</v>
          </cell>
        </row>
        <row r="4160">
          <cell r="BT4160">
            <v>-0.03</v>
          </cell>
          <cell r="BY4160">
            <v>0</v>
          </cell>
        </row>
        <row r="4161">
          <cell r="BT4161">
            <v>-0.03</v>
          </cell>
          <cell r="BY4161">
            <v>0</v>
          </cell>
        </row>
        <row r="4162">
          <cell r="BT4162">
            <v>-284.2</v>
          </cell>
          <cell r="BY4162">
            <v>37.159999999999997</v>
          </cell>
        </row>
        <row r="4163">
          <cell r="BT4163">
            <v>-675.67</v>
          </cell>
          <cell r="BY4163">
            <v>88.36</v>
          </cell>
        </row>
        <row r="4164">
          <cell r="BT4164">
            <v>18495.77</v>
          </cell>
          <cell r="BY4164">
            <v>2414.9899999999998</v>
          </cell>
        </row>
        <row r="4165">
          <cell r="BT4165">
            <v>-0.01</v>
          </cell>
          <cell r="BY4165">
            <v>0</v>
          </cell>
        </row>
        <row r="4166">
          <cell r="BT4166">
            <v>9629.43</v>
          </cell>
          <cell r="BY4166">
            <v>1255.7</v>
          </cell>
        </row>
        <row r="4167">
          <cell r="BT4167">
            <v>14281.65</v>
          </cell>
          <cell r="BY4167">
            <v>1864.94</v>
          </cell>
        </row>
        <row r="4168">
          <cell r="BT4168">
            <v>-239430.46</v>
          </cell>
          <cell r="BY4168">
            <v>31392.48</v>
          </cell>
        </row>
        <row r="4169">
          <cell r="BT4169">
            <v>-14.7</v>
          </cell>
          <cell r="BY4169">
            <v>1.93</v>
          </cell>
        </row>
        <row r="4170">
          <cell r="BT4170">
            <v>-346.97</v>
          </cell>
          <cell r="BY4170">
            <v>0</v>
          </cell>
        </row>
        <row r="4171">
          <cell r="BT4171">
            <v>-334.47</v>
          </cell>
          <cell r="BY4171">
            <v>0</v>
          </cell>
        </row>
        <row r="4172">
          <cell r="BT4172">
            <v>-1141.8599999999999</v>
          </cell>
          <cell r="BY4172">
            <v>149.61000000000001</v>
          </cell>
        </row>
        <row r="4173">
          <cell r="BT4173">
            <v>-239430.46</v>
          </cell>
          <cell r="BY4173">
            <v>31392.48</v>
          </cell>
        </row>
        <row r="4174">
          <cell r="BT4174">
            <v>-162.30000000000001</v>
          </cell>
          <cell r="BY4174">
            <v>0</v>
          </cell>
        </row>
        <row r="4175">
          <cell r="BT4175">
            <v>-162.30000000000001</v>
          </cell>
          <cell r="BY4175">
            <v>0</v>
          </cell>
        </row>
        <row r="4176">
          <cell r="BT4176">
            <v>890.28</v>
          </cell>
          <cell r="BY4176">
            <v>110.36</v>
          </cell>
        </row>
        <row r="4177">
          <cell r="BT4177">
            <v>-2000</v>
          </cell>
          <cell r="BY4177">
            <v>260.52</v>
          </cell>
        </row>
        <row r="4178">
          <cell r="BT4178">
            <v>-6402</v>
          </cell>
          <cell r="BY4178">
            <v>834.12</v>
          </cell>
        </row>
        <row r="4179">
          <cell r="BT4179">
            <v>69.14</v>
          </cell>
          <cell r="BY4179">
            <v>8.57</v>
          </cell>
        </row>
        <row r="4180">
          <cell r="BT4180">
            <v>64.86</v>
          </cell>
          <cell r="BY4180">
            <v>8.0399999999999991</v>
          </cell>
        </row>
        <row r="4181">
          <cell r="BT4181">
            <v>85.9</v>
          </cell>
          <cell r="BY4181">
            <v>10.65</v>
          </cell>
        </row>
        <row r="4182">
          <cell r="BT4182">
            <v>255.98</v>
          </cell>
          <cell r="BY4182">
            <v>31.73</v>
          </cell>
        </row>
        <row r="4183">
          <cell r="BT4183">
            <v>1823.78</v>
          </cell>
          <cell r="BY4183">
            <v>239.23</v>
          </cell>
        </row>
        <row r="4184">
          <cell r="BT4184">
            <v>2094.13</v>
          </cell>
          <cell r="BY4184">
            <v>273.62</v>
          </cell>
        </row>
        <row r="4185">
          <cell r="BT4185">
            <v>1940.31</v>
          </cell>
          <cell r="BY4185">
            <v>253.52</v>
          </cell>
        </row>
        <row r="4186">
          <cell r="BT4186">
            <v>-614.01</v>
          </cell>
          <cell r="BY4186">
            <v>80</v>
          </cell>
        </row>
        <row r="4187">
          <cell r="BT4187">
            <v>-57.9</v>
          </cell>
          <cell r="BY4187">
            <v>7.54</v>
          </cell>
        </row>
        <row r="4188">
          <cell r="BT4188">
            <v>7859.47</v>
          </cell>
          <cell r="BY4188">
            <v>1023.75</v>
          </cell>
        </row>
        <row r="4189">
          <cell r="BT4189">
            <v>-8060.99</v>
          </cell>
          <cell r="BY4189">
            <v>1050</v>
          </cell>
        </row>
        <row r="4190">
          <cell r="BT4190">
            <v>-18101.650000000001</v>
          </cell>
          <cell r="BY4190">
            <v>2358.5</v>
          </cell>
        </row>
        <row r="4191">
          <cell r="BT4191">
            <v>8469.6</v>
          </cell>
          <cell r="BY4191">
            <v>1106.6400000000001</v>
          </cell>
        </row>
        <row r="4192">
          <cell r="BT4192">
            <v>13720.01</v>
          </cell>
          <cell r="BY4192">
            <v>1792.66</v>
          </cell>
        </row>
        <row r="4193">
          <cell r="BT4193">
            <v>737.39</v>
          </cell>
          <cell r="BY4193">
            <v>96.43</v>
          </cell>
        </row>
        <row r="4194">
          <cell r="BT4194">
            <v>21846.31</v>
          </cell>
          <cell r="BY4194">
            <v>2865.58</v>
          </cell>
        </row>
        <row r="4195">
          <cell r="BT4195">
            <v>1246.4000000000001</v>
          </cell>
          <cell r="BY4195">
            <v>163.49</v>
          </cell>
        </row>
        <row r="4196">
          <cell r="BT4196">
            <v>2297.1999999999998</v>
          </cell>
          <cell r="BY4196">
            <v>299.95</v>
          </cell>
        </row>
        <row r="4197">
          <cell r="BT4197">
            <v>2032.27</v>
          </cell>
          <cell r="BY4197">
            <v>265.35000000000002</v>
          </cell>
        </row>
        <row r="4198">
          <cell r="BT4198">
            <v>-6882.23</v>
          </cell>
          <cell r="BY4198">
            <v>900</v>
          </cell>
        </row>
        <row r="4199">
          <cell r="BT4199">
            <v>2094.13</v>
          </cell>
          <cell r="BY4199">
            <v>273.62</v>
          </cell>
        </row>
        <row r="4200">
          <cell r="BT4200">
            <v>1940.32</v>
          </cell>
          <cell r="BY4200">
            <v>253.52</v>
          </cell>
        </row>
        <row r="4201">
          <cell r="BT4201">
            <v>-575.63</v>
          </cell>
          <cell r="BY4201">
            <v>75</v>
          </cell>
        </row>
        <row r="4202">
          <cell r="BT4202">
            <v>-767.51</v>
          </cell>
          <cell r="BY4202">
            <v>100</v>
          </cell>
        </row>
        <row r="4203">
          <cell r="BT4203">
            <v>-2302.52</v>
          </cell>
          <cell r="BY4203">
            <v>300</v>
          </cell>
        </row>
        <row r="4204">
          <cell r="BT4204">
            <v>-7905.32</v>
          </cell>
          <cell r="BY4204">
            <v>1030</v>
          </cell>
        </row>
        <row r="4205">
          <cell r="BT4205">
            <v>0.21</v>
          </cell>
          <cell r="BY4205">
            <v>0.03</v>
          </cell>
        </row>
        <row r="4206">
          <cell r="BT4206">
            <v>-737.39</v>
          </cell>
          <cell r="BY4206">
            <v>96.43</v>
          </cell>
        </row>
        <row r="4207">
          <cell r="BT4207">
            <v>-53.93</v>
          </cell>
          <cell r="BY4207">
            <v>6.68</v>
          </cell>
        </row>
        <row r="4208">
          <cell r="BT4208">
            <v>-64.86</v>
          </cell>
          <cell r="BY4208">
            <v>8.0399999999999991</v>
          </cell>
        </row>
        <row r="4209">
          <cell r="BT4209">
            <v>-80.36</v>
          </cell>
          <cell r="BY4209">
            <v>9.9600000000000009</v>
          </cell>
        </row>
        <row r="4210">
          <cell r="BT4210">
            <v>-255.98</v>
          </cell>
          <cell r="BY4210">
            <v>31.73</v>
          </cell>
        </row>
        <row r="4211">
          <cell r="BT4211">
            <v>-890.28</v>
          </cell>
          <cell r="BY4211">
            <v>110.36</v>
          </cell>
        </row>
        <row r="4212">
          <cell r="BT4212">
            <v>64.86</v>
          </cell>
          <cell r="BY4212">
            <v>8.0399999999999991</v>
          </cell>
        </row>
        <row r="4213">
          <cell r="BT4213">
            <v>80.36</v>
          </cell>
          <cell r="BY4213">
            <v>9.9600000000000009</v>
          </cell>
        </row>
        <row r="4214">
          <cell r="BT4214">
            <v>255.98</v>
          </cell>
          <cell r="BY4214">
            <v>31.73</v>
          </cell>
        </row>
        <row r="4215">
          <cell r="BT4215">
            <v>53.93</v>
          </cell>
          <cell r="BY4215">
            <v>6.68</v>
          </cell>
        </row>
        <row r="4216">
          <cell r="BT4216">
            <v>890.28</v>
          </cell>
          <cell r="BY4216">
            <v>110.36</v>
          </cell>
        </row>
        <row r="4217">
          <cell r="BT4217">
            <v>-1823.78</v>
          </cell>
          <cell r="BY4217">
            <v>239.23</v>
          </cell>
        </row>
        <row r="4218">
          <cell r="BT4218">
            <v>21846.31</v>
          </cell>
          <cell r="BY4218">
            <v>2857.06</v>
          </cell>
        </row>
        <row r="4219">
          <cell r="BT4219">
            <v>1246.4000000000001</v>
          </cell>
          <cell r="BY4219">
            <v>163</v>
          </cell>
        </row>
        <row r="4220">
          <cell r="BT4220">
            <v>214.29</v>
          </cell>
          <cell r="BY4220">
            <v>28.05</v>
          </cell>
        </row>
        <row r="4221">
          <cell r="BT4221">
            <v>737.39</v>
          </cell>
          <cell r="BY4221">
            <v>96.43</v>
          </cell>
        </row>
        <row r="4222">
          <cell r="BT4222">
            <v>-21846.31</v>
          </cell>
          <cell r="BY4222">
            <v>2865.58</v>
          </cell>
        </row>
        <row r="4223">
          <cell r="BT4223">
            <v>-1246.4000000000001</v>
          </cell>
          <cell r="BY4223">
            <v>163.49</v>
          </cell>
        </row>
        <row r="4224">
          <cell r="BT4224">
            <v>1589.08</v>
          </cell>
          <cell r="BY4224">
            <v>207.79</v>
          </cell>
        </row>
        <row r="4225">
          <cell r="BT4225">
            <v>956.27</v>
          </cell>
          <cell r="BY4225">
            <v>125.04</v>
          </cell>
        </row>
        <row r="4226">
          <cell r="BT4226">
            <v>2452.33</v>
          </cell>
          <cell r="BY4226">
            <v>320.67</v>
          </cell>
        </row>
        <row r="4227">
          <cell r="BT4227">
            <v>-13348.57</v>
          </cell>
          <cell r="BY4227">
            <v>1738.78</v>
          </cell>
        </row>
        <row r="4228">
          <cell r="BT4228">
            <v>-2900.83</v>
          </cell>
          <cell r="BY4228">
            <v>377.86</v>
          </cell>
        </row>
        <row r="4229">
          <cell r="BT4229">
            <v>-7542.45</v>
          </cell>
          <cell r="BY4229">
            <v>982.48</v>
          </cell>
        </row>
        <row r="4230">
          <cell r="BT4230">
            <v>1066.27</v>
          </cell>
          <cell r="BY4230">
            <v>139.43</v>
          </cell>
        </row>
        <row r="4231">
          <cell r="BT4231">
            <v>170.42</v>
          </cell>
          <cell r="BY4231">
            <v>22.28</v>
          </cell>
        </row>
        <row r="4232">
          <cell r="BT4232">
            <v>174.8</v>
          </cell>
          <cell r="BY4232">
            <v>22.86</v>
          </cell>
        </row>
        <row r="4233">
          <cell r="BT4233">
            <v>295</v>
          </cell>
          <cell r="BY4233">
            <v>38.57</v>
          </cell>
        </row>
        <row r="4234">
          <cell r="BT4234">
            <v>-2400.06</v>
          </cell>
          <cell r="BY4234">
            <v>312.7</v>
          </cell>
        </row>
        <row r="4235">
          <cell r="BT4235">
            <v>-4259.63</v>
          </cell>
          <cell r="BY4235">
            <v>554.4</v>
          </cell>
        </row>
        <row r="4236">
          <cell r="BT4236">
            <v>1404.24</v>
          </cell>
          <cell r="BY4236">
            <v>182.76</v>
          </cell>
        </row>
        <row r="4237">
          <cell r="BT4237">
            <v>144.65</v>
          </cell>
          <cell r="BY4237">
            <v>18.829999999999998</v>
          </cell>
        </row>
        <row r="4238">
          <cell r="BT4238">
            <v>71.010000000000005</v>
          </cell>
          <cell r="BY4238">
            <v>9.24</v>
          </cell>
        </row>
        <row r="4239">
          <cell r="BT4239">
            <v>735.17</v>
          </cell>
          <cell r="BY4239">
            <v>95.68</v>
          </cell>
        </row>
        <row r="4240">
          <cell r="BT4240">
            <v>-123.94</v>
          </cell>
          <cell r="BY4240">
            <v>16.14</v>
          </cell>
        </row>
        <row r="4241">
          <cell r="BT4241">
            <v>-12366.9</v>
          </cell>
          <cell r="BY4241">
            <v>1610.91</v>
          </cell>
        </row>
        <row r="4242">
          <cell r="BT4242">
            <v>-6352.82</v>
          </cell>
          <cell r="BY4242">
            <v>827.52</v>
          </cell>
        </row>
        <row r="4243">
          <cell r="BT4243">
            <v>2216.6799999999998</v>
          </cell>
          <cell r="BY4243">
            <v>290.39</v>
          </cell>
        </row>
        <row r="4244">
          <cell r="BT4244">
            <v>315.83</v>
          </cell>
          <cell r="BY4244">
            <v>41.37</v>
          </cell>
        </row>
        <row r="4245">
          <cell r="BT4245">
            <v>-10621.41</v>
          </cell>
          <cell r="BY4245">
            <v>1382.4</v>
          </cell>
        </row>
        <row r="4246">
          <cell r="BT4246">
            <v>-49618.2</v>
          </cell>
          <cell r="BY4246">
            <v>6457.92</v>
          </cell>
        </row>
        <row r="4247">
          <cell r="BT4247">
            <v>-4986.93</v>
          </cell>
          <cell r="BY4247">
            <v>649.05999999999995</v>
          </cell>
        </row>
        <row r="4248">
          <cell r="BT4248">
            <v>-6117.65</v>
          </cell>
          <cell r="BY4248">
            <v>796.21</v>
          </cell>
        </row>
        <row r="4249">
          <cell r="BT4249">
            <v>-15546.43</v>
          </cell>
          <cell r="BY4249">
            <v>2023.37</v>
          </cell>
        </row>
        <row r="4250">
          <cell r="BT4250">
            <v>-6585.29</v>
          </cell>
          <cell r="BY4250">
            <v>857.09</v>
          </cell>
        </row>
        <row r="4251">
          <cell r="BT4251">
            <v>-969.33</v>
          </cell>
          <cell r="BY4251">
            <v>126.29</v>
          </cell>
        </row>
        <row r="4252">
          <cell r="BT4252">
            <v>-6106.78</v>
          </cell>
          <cell r="BY4252">
            <v>795.65</v>
          </cell>
        </row>
        <row r="4253">
          <cell r="BT4253">
            <v>133.9</v>
          </cell>
          <cell r="BY4253">
            <v>17.510000000000002</v>
          </cell>
        </row>
        <row r="4254">
          <cell r="BT4254">
            <v>376.16</v>
          </cell>
          <cell r="BY4254">
            <v>49.19</v>
          </cell>
        </row>
        <row r="4255">
          <cell r="BT4255">
            <v>945.51</v>
          </cell>
          <cell r="BY4255">
            <v>123.63</v>
          </cell>
        </row>
        <row r="4256">
          <cell r="BT4256">
            <v>490.94</v>
          </cell>
          <cell r="BY4256">
            <v>64.2</v>
          </cell>
        </row>
        <row r="4257">
          <cell r="BT4257">
            <v>-5905.09</v>
          </cell>
          <cell r="BY4257">
            <v>771.8</v>
          </cell>
        </row>
        <row r="4258">
          <cell r="BT4258">
            <v>-1410.6</v>
          </cell>
          <cell r="BY4258">
            <v>184.37</v>
          </cell>
        </row>
        <row r="4259">
          <cell r="BT4259">
            <v>-34719.93</v>
          </cell>
          <cell r="BY4259">
            <v>4523.7299999999996</v>
          </cell>
        </row>
        <row r="4260">
          <cell r="BT4260">
            <v>-653.32000000000005</v>
          </cell>
          <cell r="BY4260">
            <v>85.12</v>
          </cell>
        </row>
        <row r="4261">
          <cell r="BT4261">
            <v>-9567.44</v>
          </cell>
          <cell r="BY4261">
            <v>1246.56</v>
          </cell>
        </row>
        <row r="4262">
          <cell r="BT4262">
            <v>-15901.8</v>
          </cell>
          <cell r="BY4262">
            <v>2071.88</v>
          </cell>
        </row>
        <row r="4263">
          <cell r="BT4263">
            <v>-4831.3900000000003</v>
          </cell>
          <cell r="BY4263">
            <v>629.49</v>
          </cell>
        </row>
        <row r="4264">
          <cell r="BT4264">
            <v>-3216.37</v>
          </cell>
          <cell r="BY4264">
            <v>419.07</v>
          </cell>
        </row>
        <row r="4265">
          <cell r="BT4265">
            <v>-2400.06</v>
          </cell>
          <cell r="BY4265">
            <v>312.7</v>
          </cell>
        </row>
        <row r="4266">
          <cell r="BT4266">
            <v>655.46</v>
          </cell>
          <cell r="BY4266">
            <v>85.58</v>
          </cell>
        </row>
        <row r="4267">
          <cell r="BT4267">
            <v>677.58</v>
          </cell>
          <cell r="BY4267">
            <v>88.53</v>
          </cell>
        </row>
        <row r="4268">
          <cell r="BT4268">
            <v>257.2</v>
          </cell>
          <cell r="BY4268">
            <v>33.69</v>
          </cell>
        </row>
        <row r="4269">
          <cell r="BT4269">
            <v>257.2</v>
          </cell>
          <cell r="BY4269">
            <v>33.69</v>
          </cell>
        </row>
        <row r="4270">
          <cell r="BT4270">
            <v>-46273.07</v>
          </cell>
          <cell r="BY4270">
            <v>6027.39</v>
          </cell>
        </row>
        <row r="4271">
          <cell r="BT4271">
            <v>1028.97</v>
          </cell>
          <cell r="BY4271">
            <v>134.91</v>
          </cell>
        </row>
        <row r="4272">
          <cell r="BT4272">
            <v>296.05</v>
          </cell>
          <cell r="BY4272">
            <v>38.81</v>
          </cell>
        </row>
        <row r="4273">
          <cell r="BT4273">
            <v>-3001.46</v>
          </cell>
          <cell r="BY4273">
            <v>390.97</v>
          </cell>
        </row>
        <row r="4274">
          <cell r="BT4274">
            <v>1360.47</v>
          </cell>
          <cell r="BY4274">
            <v>177.76</v>
          </cell>
        </row>
        <row r="4275">
          <cell r="BT4275">
            <v>270.36</v>
          </cell>
          <cell r="BY4275">
            <v>35.33</v>
          </cell>
        </row>
        <row r="4276">
          <cell r="BT4276">
            <v>7531.45</v>
          </cell>
          <cell r="BY4276">
            <v>984.06</v>
          </cell>
        </row>
        <row r="4277">
          <cell r="BT4277">
            <v>32.81</v>
          </cell>
          <cell r="BY4277">
            <v>4.29</v>
          </cell>
        </row>
        <row r="4278">
          <cell r="BT4278">
            <v>-4180.6099999999997</v>
          </cell>
          <cell r="BY4278">
            <v>544.57000000000005</v>
          </cell>
        </row>
        <row r="4279">
          <cell r="BT4279">
            <v>-2419.8000000000002</v>
          </cell>
          <cell r="BY4279">
            <v>315.2</v>
          </cell>
        </row>
        <row r="4280">
          <cell r="BT4280">
            <v>-10296</v>
          </cell>
          <cell r="BY4280">
            <v>1341.16</v>
          </cell>
        </row>
        <row r="4281">
          <cell r="BT4281">
            <v>-6244.43</v>
          </cell>
          <cell r="BY4281">
            <v>815.96</v>
          </cell>
        </row>
        <row r="4282">
          <cell r="BT4282">
            <v>10.39</v>
          </cell>
          <cell r="BY4282">
            <v>1.36</v>
          </cell>
        </row>
        <row r="4283">
          <cell r="BT4283">
            <v>3527.56</v>
          </cell>
          <cell r="BY4283">
            <v>460.7</v>
          </cell>
        </row>
        <row r="4284">
          <cell r="BT4284">
            <v>524.63</v>
          </cell>
          <cell r="BY4284">
            <v>68.5</v>
          </cell>
        </row>
        <row r="4285">
          <cell r="BT4285">
            <v>468.55</v>
          </cell>
          <cell r="BY4285">
            <v>61.18</v>
          </cell>
        </row>
        <row r="4286">
          <cell r="BT4286">
            <v>979.82</v>
          </cell>
          <cell r="BY4286">
            <v>127.94</v>
          </cell>
        </row>
        <row r="4287">
          <cell r="BT4287">
            <v>-3341.53</v>
          </cell>
          <cell r="BY4287">
            <v>436.97</v>
          </cell>
        </row>
        <row r="4288">
          <cell r="BT4288">
            <v>739.65</v>
          </cell>
          <cell r="BY4288">
            <v>96.64</v>
          </cell>
        </row>
        <row r="4289">
          <cell r="BT4289">
            <v>123.94</v>
          </cell>
          <cell r="BY4289">
            <v>16.14</v>
          </cell>
        </row>
        <row r="4290">
          <cell r="BT4290">
            <v>-22814</v>
          </cell>
          <cell r="BY4290">
            <v>2971.75</v>
          </cell>
        </row>
        <row r="4291">
          <cell r="BT4291">
            <v>-5475.36</v>
          </cell>
          <cell r="BY4291">
            <v>713.22</v>
          </cell>
        </row>
        <row r="4292">
          <cell r="BT4292">
            <v>385.56</v>
          </cell>
          <cell r="BY4292">
            <v>50.42</v>
          </cell>
        </row>
        <row r="4293">
          <cell r="BT4293">
            <v>2216.6799999999998</v>
          </cell>
          <cell r="BY4293">
            <v>289.85000000000002</v>
          </cell>
        </row>
        <row r="4294">
          <cell r="BT4294">
            <v>1756.16</v>
          </cell>
          <cell r="BY4294">
            <v>229.65</v>
          </cell>
        </row>
        <row r="4295">
          <cell r="BT4295">
            <v>533.57000000000005</v>
          </cell>
          <cell r="BY4295">
            <v>69.77</v>
          </cell>
        </row>
        <row r="4296">
          <cell r="BT4296">
            <v>1147.27</v>
          </cell>
          <cell r="BY4296">
            <v>150.41999999999999</v>
          </cell>
        </row>
        <row r="4297">
          <cell r="BT4297">
            <v>757.35</v>
          </cell>
          <cell r="BY4297">
            <v>99.3</v>
          </cell>
        </row>
        <row r="4298">
          <cell r="BT4298">
            <v>712.8</v>
          </cell>
          <cell r="BY4298">
            <v>93.46</v>
          </cell>
        </row>
        <row r="4299">
          <cell r="BT4299">
            <v>654.28</v>
          </cell>
          <cell r="BY4299">
            <v>85.78</v>
          </cell>
        </row>
        <row r="4300">
          <cell r="BT4300">
            <v>-3259</v>
          </cell>
          <cell r="BY4300">
            <v>427.48</v>
          </cell>
        </row>
        <row r="4301">
          <cell r="BT4301">
            <v>-3579</v>
          </cell>
          <cell r="BY4301">
            <v>469.46</v>
          </cell>
        </row>
        <row r="4302">
          <cell r="BT4302">
            <v>221.62</v>
          </cell>
          <cell r="BY4302">
            <v>29.01</v>
          </cell>
        </row>
        <row r="4303">
          <cell r="BT4303">
            <v>57.96</v>
          </cell>
          <cell r="BY4303">
            <v>7.59</v>
          </cell>
        </row>
        <row r="4304">
          <cell r="BT4304">
            <v>-108</v>
          </cell>
          <cell r="BY4304">
            <v>14.14</v>
          </cell>
        </row>
        <row r="4305">
          <cell r="BT4305">
            <v>308.7</v>
          </cell>
          <cell r="BY4305">
            <v>40.409999999999997</v>
          </cell>
        </row>
        <row r="4306">
          <cell r="BT4306">
            <v>80.73</v>
          </cell>
          <cell r="BY4306">
            <v>10.57</v>
          </cell>
        </row>
        <row r="4307">
          <cell r="BT4307">
            <v>46</v>
          </cell>
          <cell r="BY4307">
            <v>6.02</v>
          </cell>
        </row>
        <row r="4308">
          <cell r="BT4308">
            <v>118.82</v>
          </cell>
          <cell r="BY4308">
            <v>15.55</v>
          </cell>
        </row>
        <row r="4309">
          <cell r="BT4309">
            <v>47.51</v>
          </cell>
          <cell r="BY4309">
            <v>6.22</v>
          </cell>
        </row>
        <row r="4310">
          <cell r="BT4310">
            <v>454.34</v>
          </cell>
          <cell r="BY4310">
            <v>59.47</v>
          </cell>
        </row>
        <row r="4311">
          <cell r="BT4311">
            <v>48.39</v>
          </cell>
          <cell r="BY4311">
            <v>6.35</v>
          </cell>
        </row>
        <row r="4312">
          <cell r="BT4312">
            <v>62.95</v>
          </cell>
          <cell r="BY4312">
            <v>8.26</v>
          </cell>
        </row>
        <row r="4313">
          <cell r="BT4313">
            <v>757.85</v>
          </cell>
          <cell r="BY4313">
            <v>99.41</v>
          </cell>
        </row>
        <row r="4314">
          <cell r="BT4314">
            <v>169.75</v>
          </cell>
          <cell r="BY4314">
            <v>22.27</v>
          </cell>
        </row>
        <row r="4315">
          <cell r="BT4315">
            <v>3560.23</v>
          </cell>
          <cell r="BY4315">
            <v>467</v>
          </cell>
        </row>
        <row r="4316">
          <cell r="BT4316">
            <v>-10707.84</v>
          </cell>
          <cell r="BY4316">
            <v>1395.12</v>
          </cell>
        </row>
        <row r="4317">
          <cell r="BT4317">
            <v>-7068.6</v>
          </cell>
          <cell r="BY4317">
            <v>920.97</v>
          </cell>
        </row>
        <row r="4318">
          <cell r="BT4318">
            <v>-6652.8</v>
          </cell>
          <cell r="BY4318">
            <v>866.79</v>
          </cell>
        </row>
        <row r="4319">
          <cell r="BT4319">
            <v>-123.94</v>
          </cell>
          <cell r="BY4319">
            <v>16.14</v>
          </cell>
        </row>
        <row r="4320">
          <cell r="BT4320">
            <v>-5647.2</v>
          </cell>
          <cell r="BY4320">
            <v>735.6</v>
          </cell>
        </row>
        <row r="4321">
          <cell r="BT4321">
            <v>-2925.45</v>
          </cell>
          <cell r="BY4321">
            <v>381.07</v>
          </cell>
        </row>
        <row r="4322">
          <cell r="BT4322">
            <v>-48888.79</v>
          </cell>
          <cell r="BY4322">
            <v>6369.82</v>
          </cell>
        </row>
        <row r="4323">
          <cell r="BT4323">
            <v>1147.27</v>
          </cell>
          <cell r="BY4323">
            <v>150.41999999999999</v>
          </cell>
        </row>
        <row r="4324">
          <cell r="BT4324">
            <v>-3341.53</v>
          </cell>
          <cell r="BY4324">
            <v>436.97</v>
          </cell>
        </row>
        <row r="4325">
          <cell r="BT4325">
            <v>221.62</v>
          </cell>
          <cell r="BY4325">
            <v>29.01</v>
          </cell>
        </row>
        <row r="4326">
          <cell r="BT4326">
            <v>524.63</v>
          </cell>
          <cell r="BY4326">
            <v>68.5</v>
          </cell>
        </row>
        <row r="4327">
          <cell r="BT4327">
            <v>468.55</v>
          </cell>
          <cell r="BY4327">
            <v>61.18</v>
          </cell>
        </row>
        <row r="4328">
          <cell r="BT4328">
            <v>-677.58</v>
          </cell>
          <cell r="BY4328">
            <v>88.53</v>
          </cell>
        </row>
        <row r="4329">
          <cell r="BT4329">
            <v>5647.2</v>
          </cell>
          <cell r="BY4329">
            <v>735.6</v>
          </cell>
        </row>
        <row r="4330">
          <cell r="BT4330">
            <v>-1028.97</v>
          </cell>
          <cell r="BY4330">
            <v>134.91</v>
          </cell>
        </row>
        <row r="4331">
          <cell r="BT4331">
            <v>-128.75</v>
          </cell>
          <cell r="BY4331">
            <v>16.77</v>
          </cell>
        </row>
        <row r="4332">
          <cell r="BT4332">
            <v>3829.29</v>
          </cell>
          <cell r="BY4332">
            <v>500.76</v>
          </cell>
        </row>
        <row r="4333">
          <cell r="BT4333">
            <v>61.74</v>
          </cell>
          <cell r="BY4333">
            <v>8.07</v>
          </cell>
        </row>
        <row r="4334">
          <cell r="BT4334">
            <v>905.5</v>
          </cell>
          <cell r="BY4334">
            <v>118.41</v>
          </cell>
        </row>
        <row r="4335">
          <cell r="BT4335">
            <v>-296.05</v>
          </cell>
          <cell r="BY4335">
            <v>38.81</v>
          </cell>
        </row>
        <row r="4336">
          <cell r="BT4336">
            <v>1028.97</v>
          </cell>
          <cell r="BY4336">
            <v>134.91</v>
          </cell>
        </row>
        <row r="4337">
          <cell r="BT4337">
            <v>-3979.8</v>
          </cell>
          <cell r="BY4337">
            <v>518.41</v>
          </cell>
        </row>
        <row r="4338">
          <cell r="BT4338">
            <v>-3523.69</v>
          </cell>
          <cell r="BY4338">
            <v>459</v>
          </cell>
        </row>
        <row r="4339">
          <cell r="BT4339">
            <v>296.05</v>
          </cell>
          <cell r="BY4339">
            <v>38.81</v>
          </cell>
        </row>
        <row r="4340">
          <cell r="BT4340">
            <v>-2249.61</v>
          </cell>
          <cell r="BY4340">
            <v>294.2</v>
          </cell>
        </row>
        <row r="4341">
          <cell r="BT4341">
            <v>3341.53</v>
          </cell>
          <cell r="BY4341">
            <v>436.97</v>
          </cell>
        </row>
        <row r="4342">
          <cell r="BT4342">
            <v>654.28</v>
          </cell>
          <cell r="BY4342">
            <v>85.78</v>
          </cell>
        </row>
        <row r="4343">
          <cell r="BT4343">
            <v>-221.62</v>
          </cell>
          <cell r="BY4343">
            <v>29.01</v>
          </cell>
        </row>
        <row r="4344">
          <cell r="BT4344">
            <v>-57.96</v>
          </cell>
          <cell r="BY4344">
            <v>7.59</v>
          </cell>
        </row>
        <row r="4345">
          <cell r="BT4345">
            <v>108</v>
          </cell>
          <cell r="BY4345">
            <v>14.14</v>
          </cell>
        </row>
        <row r="4346">
          <cell r="BT4346">
            <v>-5703.67</v>
          </cell>
          <cell r="BY4346">
            <v>742.96</v>
          </cell>
        </row>
        <row r="4347">
          <cell r="BT4347">
            <v>-308.7</v>
          </cell>
          <cell r="BY4347">
            <v>40.409999999999997</v>
          </cell>
        </row>
        <row r="4348">
          <cell r="BT4348">
            <v>-80.73</v>
          </cell>
          <cell r="BY4348">
            <v>10.57</v>
          </cell>
        </row>
        <row r="4349">
          <cell r="BT4349">
            <v>-46</v>
          </cell>
          <cell r="BY4349">
            <v>6.02</v>
          </cell>
        </row>
        <row r="4350">
          <cell r="BT4350">
            <v>-118.82</v>
          </cell>
          <cell r="BY4350">
            <v>15.55</v>
          </cell>
        </row>
        <row r="4351">
          <cell r="BT4351">
            <v>-47.51</v>
          </cell>
          <cell r="BY4351">
            <v>6.22</v>
          </cell>
        </row>
        <row r="4352">
          <cell r="BT4352">
            <v>308.7</v>
          </cell>
          <cell r="BY4352">
            <v>40.409999999999997</v>
          </cell>
        </row>
        <row r="4353">
          <cell r="BT4353">
            <v>80.73</v>
          </cell>
          <cell r="BY4353">
            <v>10.57</v>
          </cell>
        </row>
        <row r="4354">
          <cell r="BT4354">
            <v>118.82</v>
          </cell>
          <cell r="BY4354">
            <v>15.55</v>
          </cell>
        </row>
        <row r="4355">
          <cell r="BT4355">
            <v>47.51</v>
          </cell>
          <cell r="BY4355">
            <v>6.22</v>
          </cell>
        </row>
        <row r="4356">
          <cell r="BT4356">
            <v>60</v>
          </cell>
          <cell r="BY4356">
            <v>7.85</v>
          </cell>
        </row>
        <row r="4357">
          <cell r="BT4357">
            <v>454.34</v>
          </cell>
          <cell r="BY4357">
            <v>59.47</v>
          </cell>
        </row>
        <row r="4358">
          <cell r="BT4358">
            <v>-103.86</v>
          </cell>
          <cell r="BY4358">
            <v>13.58</v>
          </cell>
        </row>
        <row r="4359">
          <cell r="BT4359">
            <v>103.86</v>
          </cell>
          <cell r="BY4359">
            <v>13.58</v>
          </cell>
        </row>
        <row r="4360">
          <cell r="BT4360">
            <v>-4241.8900000000003</v>
          </cell>
          <cell r="BY4360">
            <v>553.99</v>
          </cell>
        </row>
        <row r="4361">
          <cell r="BT4361">
            <v>4241.8900000000003</v>
          </cell>
          <cell r="BY4361">
            <v>553.99</v>
          </cell>
        </row>
        <row r="4362">
          <cell r="BT4362">
            <v>-524.63</v>
          </cell>
          <cell r="BY4362">
            <v>68.5</v>
          </cell>
        </row>
        <row r="4363">
          <cell r="BT4363">
            <v>-468.55</v>
          </cell>
          <cell r="BY4363">
            <v>61.18</v>
          </cell>
        </row>
        <row r="4364">
          <cell r="BT4364">
            <v>-1147.27</v>
          </cell>
          <cell r="BY4364">
            <v>150.41999999999999</v>
          </cell>
        </row>
        <row r="4365">
          <cell r="BT4365">
            <v>-757.35</v>
          </cell>
          <cell r="BY4365">
            <v>99.3</v>
          </cell>
        </row>
        <row r="4366">
          <cell r="BT4366">
            <v>-712.8</v>
          </cell>
          <cell r="BY4366">
            <v>93.46</v>
          </cell>
        </row>
        <row r="4367">
          <cell r="BT4367">
            <v>-654.28</v>
          </cell>
          <cell r="BY4367">
            <v>85.78</v>
          </cell>
        </row>
        <row r="4368">
          <cell r="BT4368">
            <v>-655.1</v>
          </cell>
          <cell r="BY4368">
            <v>85.54</v>
          </cell>
        </row>
        <row r="4369">
          <cell r="BT4369">
            <v>988.27</v>
          </cell>
          <cell r="BY4369">
            <v>129.04</v>
          </cell>
        </row>
        <row r="4370">
          <cell r="BT4370">
            <v>776.55</v>
          </cell>
          <cell r="BY4370">
            <v>101.46</v>
          </cell>
        </row>
        <row r="4371">
          <cell r="BT4371">
            <v>583.13</v>
          </cell>
          <cell r="BY4371">
            <v>76.2</v>
          </cell>
        </row>
        <row r="4372">
          <cell r="BT4372">
            <v>-0.01</v>
          </cell>
          <cell r="BY4372">
            <v>0</v>
          </cell>
        </row>
        <row r="4373">
          <cell r="BT4373">
            <v>-0.03</v>
          </cell>
          <cell r="BY4373">
            <v>0</v>
          </cell>
        </row>
        <row r="4374">
          <cell r="BT4374">
            <v>48.39</v>
          </cell>
          <cell r="BY4374">
            <v>6.33</v>
          </cell>
        </row>
        <row r="4375">
          <cell r="BT4375">
            <v>62.95</v>
          </cell>
          <cell r="BY4375">
            <v>8.23</v>
          </cell>
        </row>
        <row r="4376">
          <cell r="BT4376">
            <v>757.85</v>
          </cell>
          <cell r="BY4376">
            <v>99.11</v>
          </cell>
        </row>
        <row r="4377">
          <cell r="BT4377">
            <v>169.75</v>
          </cell>
          <cell r="BY4377">
            <v>22.2</v>
          </cell>
        </row>
        <row r="4378">
          <cell r="BT4378">
            <v>3560.23</v>
          </cell>
          <cell r="BY4378">
            <v>465.61</v>
          </cell>
        </row>
        <row r="4379">
          <cell r="BT4379">
            <v>1756.16</v>
          </cell>
          <cell r="BY4379">
            <v>229.65</v>
          </cell>
        </row>
        <row r="4380">
          <cell r="BT4380">
            <v>533.57000000000005</v>
          </cell>
          <cell r="BY4380">
            <v>69.77</v>
          </cell>
        </row>
        <row r="4381">
          <cell r="BT4381">
            <v>611.23</v>
          </cell>
          <cell r="BY4381">
            <v>79.64</v>
          </cell>
        </row>
        <row r="4382">
          <cell r="BT4382">
            <v>-988.27</v>
          </cell>
          <cell r="BY4382">
            <v>129.04</v>
          </cell>
        </row>
        <row r="4383">
          <cell r="BT4383">
            <v>-776.55</v>
          </cell>
          <cell r="BY4383">
            <v>101.46</v>
          </cell>
        </row>
        <row r="4384">
          <cell r="BT4384">
            <v>677.58</v>
          </cell>
          <cell r="BY4384">
            <v>88.53</v>
          </cell>
        </row>
        <row r="4385">
          <cell r="BT4385">
            <v>139.44999999999999</v>
          </cell>
          <cell r="BY4385">
            <v>18.239999999999998</v>
          </cell>
        </row>
        <row r="4386">
          <cell r="BT4386">
            <v>757.35</v>
          </cell>
          <cell r="BY4386">
            <v>99.3</v>
          </cell>
        </row>
        <row r="4387">
          <cell r="BT4387">
            <v>712.8</v>
          </cell>
          <cell r="BY4387">
            <v>93.46</v>
          </cell>
        </row>
        <row r="4388">
          <cell r="BT4388">
            <v>57.96</v>
          </cell>
          <cell r="BY4388">
            <v>7.59</v>
          </cell>
        </row>
        <row r="4389">
          <cell r="BT4389">
            <v>-108</v>
          </cell>
          <cell r="BY4389">
            <v>14.14</v>
          </cell>
        </row>
        <row r="4390">
          <cell r="BT4390">
            <v>-454.34</v>
          </cell>
          <cell r="BY4390">
            <v>59.47</v>
          </cell>
        </row>
        <row r="4391">
          <cell r="BT4391">
            <v>3259</v>
          </cell>
          <cell r="BY4391">
            <v>427.48</v>
          </cell>
        </row>
        <row r="4392">
          <cell r="BT4392">
            <v>3579</v>
          </cell>
          <cell r="BY4392">
            <v>469.46</v>
          </cell>
        </row>
        <row r="4393">
          <cell r="BT4393">
            <v>-30.26</v>
          </cell>
          <cell r="BY4393">
            <v>3.96</v>
          </cell>
        </row>
        <row r="4394">
          <cell r="BT4394">
            <v>0.1</v>
          </cell>
          <cell r="BY4394">
            <v>0.01</v>
          </cell>
        </row>
        <row r="4395">
          <cell r="BT4395">
            <v>-1756.16</v>
          </cell>
          <cell r="BY4395">
            <v>229.65</v>
          </cell>
        </row>
        <row r="4396">
          <cell r="BT4396">
            <v>-533.57000000000005</v>
          </cell>
          <cell r="BY4396">
            <v>69.77</v>
          </cell>
        </row>
        <row r="4397">
          <cell r="BT4397">
            <v>30.26</v>
          </cell>
          <cell r="BY4397">
            <v>3.96</v>
          </cell>
        </row>
        <row r="4398">
          <cell r="BT4398">
            <v>-757.85</v>
          </cell>
          <cell r="BY4398">
            <v>99.41</v>
          </cell>
        </row>
        <row r="4399">
          <cell r="BT4399">
            <v>-48.39</v>
          </cell>
          <cell r="BY4399">
            <v>6.35</v>
          </cell>
        </row>
        <row r="4400">
          <cell r="BT4400">
            <v>-169.75</v>
          </cell>
          <cell r="BY4400">
            <v>22.27</v>
          </cell>
        </row>
        <row r="4401">
          <cell r="BT4401">
            <v>-62.95</v>
          </cell>
          <cell r="BY4401">
            <v>8.26</v>
          </cell>
        </row>
        <row r="4402">
          <cell r="BT4402">
            <v>-3560.23</v>
          </cell>
          <cell r="BY4402">
            <v>467</v>
          </cell>
        </row>
        <row r="4403">
          <cell r="BT4403">
            <v>4924.17</v>
          </cell>
          <cell r="BY4403">
            <v>645.61</v>
          </cell>
        </row>
        <row r="4404">
          <cell r="BT4404">
            <v>35700</v>
          </cell>
          <cell r="BY4404">
            <v>4668.13</v>
          </cell>
        </row>
        <row r="4405">
          <cell r="BT4405">
            <v>46104.57</v>
          </cell>
          <cell r="BY4405">
            <v>6039.7</v>
          </cell>
        </row>
        <row r="4406">
          <cell r="BT4406">
            <v>-573.79999999999995</v>
          </cell>
          <cell r="BY4406">
            <v>74.760000000000005</v>
          </cell>
        </row>
        <row r="4407">
          <cell r="BT4407">
            <v>-1629.6</v>
          </cell>
          <cell r="BY4407">
            <v>212.32</v>
          </cell>
        </row>
        <row r="4408">
          <cell r="BT4408">
            <v>-45941.86</v>
          </cell>
          <cell r="BY4408">
            <v>6002.76</v>
          </cell>
        </row>
        <row r="4409">
          <cell r="BT4409">
            <v>45718.67</v>
          </cell>
          <cell r="BY4409">
            <v>5978.17</v>
          </cell>
        </row>
        <row r="4410">
          <cell r="BT4410">
            <v>61074.239999999998</v>
          </cell>
          <cell r="BY4410">
            <v>7955.53</v>
          </cell>
        </row>
        <row r="4411">
          <cell r="BT4411">
            <v>1043.7</v>
          </cell>
          <cell r="BY4411">
            <v>136.37</v>
          </cell>
        </row>
        <row r="4412">
          <cell r="BT4412">
            <v>45941.86</v>
          </cell>
          <cell r="BY4412">
            <v>6007.36</v>
          </cell>
        </row>
        <row r="4413">
          <cell r="BT4413">
            <v>768.93</v>
          </cell>
          <cell r="BY4413">
            <v>100.86</v>
          </cell>
        </row>
        <row r="4414">
          <cell r="BT4414">
            <v>1749.31</v>
          </cell>
          <cell r="BY4414">
            <v>229.46</v>
          </cell>
        </row>
        <row r="4415">
          <cell r="BT4415">
            <v>-46104.57</v>
          </cell>
          <cell r="BY4415">
            <v>6019.87</v>
          </cell>
        </row>
        <row r="4416">
          <cell r="BT4416">
            <v>-45718.67</v>
          </cell>
          <cell r="BY4416">
            <v>5973.6</v>
          </cell>
        </row>
        <row r="4417">
          <cell r="BT4417">
            <v>0.05</v>
          </cell>
          <cell r="BY4417">
            <v>0.01</v>
          </cell>
        </row>
        <row r="4418">
          <cell r="BT4418">
            <v>-0.04</v>
          </cell>
          <cell r="BY4418">
            <v>0.01</v>
          </cell>
        </row>
        <row r="4419">
          <cell r="BT4419">
            <v>-5942.28</v>
          </cell>
          <cell r="BY4419">
            <v>779.03</v>
          </cell>
        </row>
        <row r="4420">
          <cell r="BT4420">
            <v>768.93</v>
          </cell>
          <cell r="BY4420">
            <v>100.56</v>
          </cell>
        </row>
        <row r="4421">
          <cell r="BT4421">
            <v>1749.31</v>
          </cell>
          <cell r="BY4421">
            <v>228.77</v>
          </cell>
        </row>
        <row r="4422">
          <cell r="BT4422">
            <v>-16.91</v>
          </cell>
          <cell r="BY4422">
            <v>2.2200000000000002</v>
          </cell>
        </row>
        <row r="4423">
          <cell r="BT4423">
            <v>-768.93</v>
          </cell>
          <cell r="BY4423">
            <v>100.86</v>
          </cell>
        </row>
        <row r="4424">
          <cell r="BT4424">
            <v>-1749.31</v>
          </cell>
          <cell r="BY4424">
            <v>229.46</v>
          </cell>
        </row>
        <row r="4425">
          <cell r="BT4425">
            <v>-32767.93</v>
          </cell>
          <cell r="BY4425">
            <v>4264.75</v>
          </cell>
        </row>
        <row r="4426">
          <cell r="BT4426">
            <v>-62490.11</v>
          </cell>
          <cell r="BY4426">
            <v>8186.2</v>
          </cell>
        </row>
        <row r="4427">
          <cell r="BT4427">
            <v>-59076.58</v>
          </cell>
          <cell r="BY4427">
            <v>7724.85</v>
          </cell>
        </row>
        <row r="4428">
          <cell r="BT4428">
            <v>-53609.15</v>
          </cell>
          <cell r="BY4428">
            <v>7004.57</v>
          </cell>
        </row>
        <row r="4429">
          <cell r="BT4429">
            <v>-108031</v>
          </cell>
          <cell r="BY4429">
            <v>14072.12</v>
          </cell>
        </row>
        <row r="4430">
          <cell r="BT4430">
            <v>-22957.48</v>
          </cell>
          <cell r="BY4430">
            <v>2990.44</v>
          </cell>
        </row>
        <row r="4431">
          <cell r="BT4431">
            <v>-37952.33</v>
          </cell>
          <cell r="BY4431">
            <v>4943.67</v>
          </cell>
        </row>
        <row r="4432">
          <cell r="BT4432">
            <v>-1057.5</v>
          </cell>
          <cell r="BY4432">
            <v>137.75</v>
          </cell>
        </row>
        <row r="4433">
          <cell r="BT4433">
            <v>-1748.25</v>
          </cell>
          <cell r="BY4433">
            <v>227.73</v>
          </cell>
        </row>
        <row r="4434">
          <cell r="BT4434">
            <v>-62531.29</v>
          </cell>
          <cell r="BY4434">
            <v>8176.59</v>
          </cell>
        </row>
        <row r="4435">
          <cell r="BT4435">
            <v>-30232.720000000001</v>
          </cell>
          <cell r="BY4435">
            <v>3965.63</v>
          </cell>
        </row>
        <row r="4436">
          <cell r="BT4436">
            <v>11.42</v>
          </cell>
          <cell r="BY4436">
            <v>1.49</v>
          </cell>
        </row>
        <row r="4437">
          <cell r="BT4437">
            <v>-1.4</v>
          </cell>
          <cell r="BY4437">
            <v>0.18</v>
          </cell>
        </row>
        <row r="4438">
          <cell r="BT4438">
            <v>-52807.24</v>
          </cell>
          <cell r="BY4438">
            <v>6906.13</v>
          </cell>
        </row>
        <row r="4439">
          <cell r="BT4439">
            <v>41.59</v>
          </cell>
          <cell r="BY4439">
            <v>5.45</v>
          </cell>
        </row>
        <row r="4440">
          <cell r="BT4440">
            <v>37952.33</v>
          </cell>
          <cell r="BY4440">
            <v>4943.67</v>
          </cell>
        </row>
        <row r="4441">
          <cell r="BT4441">
            <v>30232.720000000001</v>
          </cell>
          <cell r="BY4441">
            <v>3965.63</v>
          </cell>
        </row>
        <row r="4442">
          <cell r="BT4442">
            <v>454.4</v>
          </cell>
          <cell r="BY4442">
            <v>59.39</v>
          </cell>
        </row>
        <row r="4443">
          <cell r="BT4443">
            <v>-454.4</v>
          </cell>
          <cell r="BY4443">
            <v>59.39</v>
          </cell>
        </row>
        <row r="4444">
          <cell r="BT4444">
            <v>508.93</v>
          </cell>
          <cell r="BY4444">
            <v>66.52</v>
          </cell>
        </row>
        <row r="4445">
          <cell r="BT4445">
            <v>-4230</v>
          </cell>
          <cell r="BY4445">
            <v>551</v>
          </cell>
        </row>
        <row r="4446">
          <cell r="BT4446">
            <v>4230</v>
          </cell>
          <cell r="BY4446">
            <v>551</v>
          </cell>
        </row>
        <row r="4447">
          <cell r="BT4447">
            <v>4230</v>
          </cell>
          <cell r="BY4447">
            <v>551</v>
          </cell>
        </row>
        <row r="4448">
          <cell r="BT4448">
            <v>3125</v>
          </cell>
          <cell r="BY4448">
            <v>407.06</v>
          </cell>
        </row>
        <row r="4449">
          <cell r="BT4449">
            <v>-3776.78</v>
          </cell>
          <cell r="BY4449">
            <v>491.96</v>
          </cell>
        </row>
        <row r="4450">
          <cell r="BT4450">
            <v>-4230</v>
          </cell>
          <cell r="BY4450">
            <v>551</v>
          </cell>
        </row>
        <row r="4451">
          <cell r="BT4451">
            <v>3776.78</v>
          </cell>
          <cell r="BY4451">
            <v>491.96</v>
          </cell>
        </row>
        <row r="4452">
          <cell r="BT4452">
            <v>17187.5</v>
          </cell>
          <cell r="BY4452">
            <v>2251.91</v>
          </cell>
        </row>
        <row r="4453">
          <cell r="BT4453">
            <v>1128.24</v>
          </cell>
          <cell r="BY4453">
            <v>147.35</v>
          </cell>
        </row>
        <row r="4454">
          <cell r="BT4454">
            <v>-1128.24</v>
          </cell>
          <cell r="BY4454">
            <v>147.35</v>
          </cell>
        </row>
        <row r="4455">
          <cell r="BT4455">
            <v>-2785.55</v>
          </cell>
          <cell r="BY4455">
            <v>364.13</v>
          </cell>
        </row>
        <row r="4456">
          <cell r="BT4456">
            <v>2785.55</v>
          </cell>
          <cell r="BY4456">
            <v>364.13</v>
          </cell>
        </row>
        <row r="4457">
          <cell r="BT4457">
            <v>1657.31</v>
          </cell>
          <cell r="BY4457">
            <v>215.7</v>
          </cell>
        </row>
        <row r="4458">
          <cell r="BT4458">
            <v>4422.05</v>
          </cell>
          <cell r="BY4458">
            <v>576.02</v>
          </cell>
        </row>
        <row r="4459">
          <cell r="BT4459">
            <v>18083.88</v>
          </cell>
          <cell r="BY4459">
            <v>2370.98</v>
          </cell>
        </row>
        <row r="4460">
          <cell r="BT4460">
            <v>36335.42</v>
          </cell>
          <cell r="BY4460">
            <v>0</v>
          </cell>
        </row>
        <row r="4461">
          <cell r="BT4461">
            <v>216524.21</v>
          </cell>
          <cell r="BY4461">
            <v>0</v>
          </cell>
        </row>
        <row r="4462">
          <cell r="BT4462">
            <v>8273.35</v>
          </cell>
          <cell r="BY4462">
            <v>0</v>
          </cell>
        </row>
        <row r="4463">
          <cell r="BT4463">
            <v>139.19</v>
          </cell>
          <cell r="BY4463">
            <v>0</v>
          </cell>
        </row>
        <row r="4464">
          <cell r="BT4464">
            <v>5.1100000000000003</v>
          </cell>
          <cell r="BY4464">
            <v>0.67</v>
          </cell>
        </row>
        <row r="4465">
          <cell r="BT4465">
            <v>167.41</v>
          </cell>
          <cell r="BY4465">
            <v>21.89</v>
          </cell>
        </row>
        <row r="4466">
          <cell r="BT4466">
            <v>201.97</v>
          </cell>
          <cell r="BY4466">
            <v>26.41</v>
          </cell>
        </row>
        <row r="4467">
          <cell r="BT4467">
            <v>279.72000000000003</v>
          </cell>
          <cell r="BY4467">
            <v>36.44</v>
          </cell>
        </row>
        <row r="4468">
          <cell r="BT4468">
            <v>468.7</v>
          </cell>
          <cell r="BY4468">
            <v>61.05</v>
          </cell>
        </row>
        <row r="4469">
          <cell r="BT4469">
            <v>609.26</v>
          </cell>
          <cell r="BY4469">
            <v>79.36</v>
          </cell>
        </row>
        <row r="4470">
          <cell r="BT4470">
            <v>70.98</v>
          </cell>
          <cell r="BY4470">
            <v>9.25</v>
          </cell>
        </row>
        <row r="4471">
          <cell r="BT4471">
            <v>32.28</v>
          </cell>
          <cell r="BY4471">
            <v>4.2</v>
          </cell>
        </row>
        <row r="4472">
          <cell r="BT4472">
            <v>152000</v>
          </cell>
          <cell r="BY4472">
            <v>19799.52</v>
          </cell>
        </row>
        <row r="4473">
          <cell r="BT4473">
            <v>32060.7</v>
          </cell>
          <cell r="BY4473">
            <v>4176.2299999999996</v>
          </cell>
        </row>
        <row r="4474">
          <cell r="BT4474">
            <v>34000</v>
          </cell>
          <cell r="BY4474">
            <v>4428.84</v>
          </cell>
        </row>
        <row r="4475">
          <cell r="BT4475">
            <v>3640</v>
          </cell>
          <cell r="BY4475">
            <v>474.15</v>
          </cell>
        </row>
        <row r="4476">
          <cell r="BT4476">
            <v>22182.720000000001</v>
          </cell>
          <cell r="BY4476">
            <v>2889.52</v>
          </cell>
        </row>
        <row r="4477">
          <cell r="BT4477">
            <v>24000</v>
          </cell>
          <cell r="BY4477">
            <v>3126.24</v>
          </cell>
        </row>
        <row r="4478">
          <cell r="BT4478">
            <v>28000</v>
          </cell>
          <cell r="BY4478">
            <v>3647.28</v>
          </cell>
        </row>
        <row r="4479">
          <cell r="BT4479">
            <v>38500</v>
          </cell>
          <cell r="BY4479">
            <v>5015.01</v>
          </cell>
        </row>
        <row r="4480">
          <cell r="BT4480">
            <v>39200</v>
          </cell>
          <cell r="BY4480">
            <v>5106.1899999999996</v>
          </cell>
        </row>
        <row r="4481">
          <cell r="BT4481">
            <v>2050.94</v>
          </cell>
          <cell r="BY4481">
            <v>267.16000000000003</v>
          </cell>
        </row>
        <row r="4482">
          <cell r="BT4482">
            <v>3707.3</v>
          </cell>
          <cell r="BY4482">
            <v>485.73</v>
          </cell>
        </row>
        <row r="4483">
          <cell r="BT4483">
            <v>56787.1</v>
          </cell>
          <cell r="BY4483">
            <v>7397.1</v>
          </cell>
        </row>
        <row r="4484">
          <cell r="BT4484">
            <v>2834.62</v>
          </cell>
          <cell r="BY4484">
            <v>369.24</v>
          </cell>
        </row>
        <row r="4485">
          <cell r="BT4485">
            <v>5742.05</v>
          </cell>
          <cell r="BY4485">
            <v>747.96</v>
          </cell>
        </row>
        <row r="4486">
          <cell r="BT4486">
            <v>5742.05</v>
          </cell>
          <cell r="BY4486">
            <v>747.96</v>
          </cell>
        </row>
        <row r="4487">
          <cell r="BT4487">
            <v>4951.6099999999997</v>
          </cell>
          <cell r="BY4487">
            <v>645</v>
          </cell>
        </row>
        <row r="4488">
          <cell r="BT4488">
            <v>7554.07</v>
          </cell>
          <cell r="BY4488">
            <v>983.99</v>
          </cell>
        </row>
        <row r="4489">
          <cell r="BT4489">
            <v>6767.83</v>
          </cell>
          <cell r="BY4489">
            <v>881.58</v>
          </cell>
        </row>
        <row r="4490">
          <cell r="BT4490">
            <v>11219.58</v>
          </cell>
          <cell r="BY4490">
            <v>1469.99</v>
          </cell>
        </row>
        <row r="4491">
          <cell r="BT4491">
            <v>161320</v>
          </cell>
          <cell r="BY4491">
            <v>21013.54</v>
          </cell>
        </row>
        <row r="4492">
          <cell r="BT4492">
            <v>1827.22</v>
          </cell>
          <cell r="BY4492">
            <v>238.01</v>
          </cell>
        </row>
        <row r="4493">
          <cell r="BT4493">
            <v>12852.27</v>
          </cell>
          <cell r="BY4493">
            <v>1674.14</v>
          </cell>
        </row>
        <row r="4494">
          <cell r="BT4494">
            <v>12852.27</v>
          </cell>
          <cell r="BY4494">
            <v>1674.14</v>
          </cell>
        </row>
        <row r="4495">
          <cell r="BT4495">
            <v>8250</v>
          </cell>
          <cell r="BY4495">
            <v>1074.6500000000001</v>
          </cell>
        </row>
        <row r="4496">
          <cell r="BT4496">
            <v>20670.75</v>
          </cell>
          <cell r="BY4496">
            <v>2692.57</v>
          </cell>
        </row>
        <row r="4497">
          <cell r="BT4497">
            <v>6714.31</v>
          </cell>
          <cell r="BY4497">
            <v>874.61</v>
          </cell>
        </row>
        <row r="4498">
          <cell r="BT4498">
            <v>66.44</v>
          </cell>
          <cell r="BY4498">
            <v>0</v>
          </cell>
        </row>
        <row r="4499">
          <cell r="BT4499">
            <v>4842.6000000000004</v>
          </cell>
          <cell r="BY4499">
            <v>0</v>
          </cell>
        </row>
        <row r="4500">
          <cell r="BT4500">
            <v>516.84</v>
          </cell>
          <cell r="BY4500">
            <v>0</v>
          </cell>
        </row>
        <row r="4501">
          <cell r="BT4501">
            <v>3260.55</v>
          </cell>
          <cell r="BY4501">
            <v>0</v>
          </cell>
        </row>
        <row r="4502">
          <cell r="BT4502">
            <v>1228.92</v>
          </cell>
          <cell r="BY4502">
            <v>0</v>
          </cell>
        </row>
        <row r="4503">
          <cell r="BT4503">
            <v>281.3</v>
          </cell>
          <cell r="BY4503">
            <v>0</v>
          </cell>
        </row>
        <row r="4504">
          <cell r="BT4504">
            <v>1718.78</v>
          </cell>
          <cell r="BY4504">
            <v>0</v>
          </cell>
        </row>
        <row r="4505">
          <cell r="BT4505">
            <v>2685.6</v>
          </cell>
          <cell r="BY4505">
            <v>0</v>
          </cell>
        </row>
        <row r="4506">
          <cell r="BT4506">
            <v>850.44</v>
          </cell>
          <cell r="BY4506">
            <v>0</v>
          </cell>
        </row>
        <row r="4507">
          <cell r="BT4507">
            <v>425.22</v>
          </cell>
          <cell r="BY4507">
            <v>0</v>
          </cell>
        </row>
        <row r="4508">
          <cell r="BT4508">
            <v>525.92999999999995</v>
          </cell>
          <cell r="BY4508">
            <v>0</v>
          </cell>
        </row>
        <row r="4509">
          <cell r="BT4509">
            <v>2797.5</v>
          </cell>
          <cell r="BY4509">
            <v>0</v>
          </cell>
        </row>
        <row r="4510">
          <cell r="BT4510">
            <v>2685.6</v>
          </cell>
          <cell r="BY4510">
            <v>0</v>
          </cell>
        </row>
        <row r="4511">
          <cell r="BT4511">
            <v>425.22</v>
          </cell>
          <cell r="BY4511">
            <v>0</v>
          </cell>
        </row>
        <row r="4512">
          <cell r="BT4512">
            <v>-27.19</v>
          </cell>
          <cell r="BY4512">
            <v>0</v>
          </cell>
        </row>
        <row r="4513">
          <cell r="BT4513">
            <v>-77.83</v>
          </cell>
          <cell r="BY4513">
            <v>0</v>
          </cell>
        </row>
        <row r="4514">
          <cell r="BT4514">
            <v>27.19</v>
          </cell>
          <cell r="BY4514">
            <v>0</v>
          </cell>
        </row>
        <row r="4515">
          <cell r="BT4515">
            <v>77.83</v>
          </cell>
          <cell r="BY4515">
            <v>0</v>
          </cell>
        </row>
        <row r="4516">
          <cell r="BT4516">
            <v>27.19</v>
          </cell>
          <cell r="BY4516">
            <v>0</v>
          </cell>
        </row>
        <row r="4517">
          <cell r="BT4517">
            <v>77.83</v>
          </cell>
          <cell r="BY4517">
            <v>0</v>
          </cell>
        </row>
        <row r="4518">
          <cell r="BT4518">
            <v>6.71</v>
          </cell>
          <cell r="BY4518">
            <v>0</v>
          </cell>
        </row>
        <row r="4519">
          <cell r="BT4519">
            <v>-213</v>
          </cell>
          <cell r="BY4519">
            <v>27.75</v>
          </cell>
        </row>
        <row r="4520">
          <cell r="BT4520">
            <v>-96</v>
          </cell>
          <cell r="BY4520">
            <v>12.5</v>
          </cell>
        </row>
        <row r="4521">
          <cell r="BT4521">
            <v>-60</v>
          </cell>
          <cell r="BY4521">
            <v>7.82</v>
          </cell>
        </row>
        <row r="4522">
          <cell r="BT4522">
            <v>-249</v>
          </cell>
          <cell r="BY4522">
            <v>32.43</v>
          </cell>
        </row>
        <row r="4523">
          <cell r="BT4523">
            <v>-66</v>
          </cell>
          <cell r="BY4523">
            <v>8.6</v>
          </cell>
        </row>
        <row r="4524">
          <cell r="BT4524">
            <v>-108</v>
          </cell>
          <cell r="BY4524">
            <v>14.07</v>
          </cell>
        </row>
        <row r="4525">
          <cell r="BT4525">
            <v>85958.399999999994</v>
          </cell>
          <cell r="BY4525">
            <v>11196.94</v>
          </cell>
        </row>
        <row r="4526">
          <cell r="BT4526">
            <v>60918</v>
          </cell>
          <cell r="BY4526">
            <v>7935.18</v>
          </cell>
        </row>
        <row r="4527">
          <cell r="BT4527">
            <v>5412</v>
          </cell>
          <cell r="BY4527">
            <v>704.97</v>
          </cell>
        </row>
        <row r="4528">
          <cell r="BT4528">
            <v>40184.82</v>
          </cell>
          <cell r="BY4528">
            <v>5234.47</v>
          </cell>
        </row>
        <row r="4529">
          <cell r="BT4529">
            <v>15101.6</v>
          </cell>
          <cell r="BY4529">
            <v>1967.13</v>
          </cell>
        </row>
        <row r="4530">
          <cell r="BT4530">
            <v>24307.919999999998</v>
          </cell>
          <cell r="BY4530">
            <v>3166.35</v>
          </cell>
        </row>
        <row r="4531">
          <cell r="BT4531">
            <v>198779.51999999999</v>
          </cell>
          <cell r="BY4531">
            <v>25893.02</v>
          </cell>
        </row>
        <row r="4532">
          <cell r="BT4532">
            <v>-41868.050000000003</v>
          </cell>
          <cell r="BY4532">
            <v>5453.73</v>
          </cell>
        </row>
        <row r="4533">
          <cell r="BT4533">
            <v>-41755.35</v>
          </cell>
          <cell r="BY4533">
            <v>5439.05</v>
          </cell>
        </row>
        <row r="4534">
          <cell r="BT4534">
            <v>-58106.879999999997</v>
          </cell>
          <cell r="BY4534">
            <v>7569</v>
          </cell>
        </row>
        <row r="4535">
          <cell r="BT4535">
            <v>-3488.4</v>
          </cell>
          <cell r="BY4535">
            <v>454.39</v>
          </cell>
        </row>
        <row r="4536">
          <cell r="BT4536">
            <v>-843</v>
          </cell>
          <cell r="BY4536">
            <v>109.81</v>
          </cell>
        </row>
        <row r="4537">
          <cell r="BT4537">
            <v>-255</v>
          </cell>
          <cell r="BY4537">
            <v>33.22</v>
          </cell>
        </row>
        <row r="4538">
          <cell r="BT4538">
            <v>-68.5</v>
          </cell>
          <cell r="BY4538">
            <v>8.92</v>
          </cell>
        </row>
        <row r="4539">
          <cell r="BT4539">
            <v>-3958.5</v>
          </cell>
          <cell r="BY4539">
            <v>517.65</v>
          </cell>
        </row>
        <row r="4540">
          <cell r="BT4540">
            <v>-122100</v>
          </cell>
          <cell r="BY4540">
            <v>15904.74</v>
          </cell>
        </row>
        <row r="4541">
          <cell r="BT4541">
            <v>-60918</v>
          </cell>
          <cell r="BY4541">
            <v>7935.18</v>
          </cell>
        </row>
        <row r="4542">
          <cell r="BT4542">
            <v>-5412</v>
          </cell>
          <cell r="BY4542">
            <v>704.97</v>
          </cell>
        </row>
        <row r="4543">
          <cell r="BT4543">
            <v>-40184.82</v>
          </cell>
          <cell r="BY4543">
            <v>5234.47</v>
          </cell>
        </row>
        <row r="4544">
          <cell r="BT4544">
            <v>-15101.6</v>
          </cell>
          <cell r="BY4544">
            <v>1967.13</v>
          </cell>
        </row>
        <row r="4545">
          <cell r="BT4545">
            <v>-24307.919999999998</v>
          </cell>
          <cell r="BY4545">
            <v>3166.35</v>
          </cell>
        </row>
        <row r="4546">
          <cell r="BT4546">
            <v>-198779.51999999999</v>
          </cell>
          <cell r="BY4546">
            <v>25893.02</v>
          </cell>
        </row>
        <row r="4547">
          <cell r="BT4547">
            <v>-56846.400000000001</v>
          </cell>
          <cell r="BY4547">
            <v>7404.81</v>
          </cell>
        </row>
        <row r="4548">
          <cell r="BT4548">
            <v>-23168.16</v>
          </cell>
          <cell r="BY4548">
            <v>3017.88</v>
          </cell>
        </row>
        <row r="4549">
          <cell r="BT4549">
            <v>-41868.050000000003</v>
          </cell>
          <cell r="BY4549">
            <v>5453.73</v>
          </cell>
        </row>
        <row r="4550">
          <cell r="BT4550">
            <v>-66256.56</v>
          </cell>
          <cell r="BY4550">
            <v>8630.59</v>
          </cell>
        </row>
        <row r="4551">
          <cell r="BT4551">
            <v>-45902.080000000002</v>
          </cell>
          <cell r="BY4551">
            <v>5979.2</v>
          </cell>
        </row>
        <row r="4552">
          <cell r="BT4552">
            <v>-3008</v>
          </cell>
          <cell r="BY4552">
            <v>391.82</v>
          </cell>
        </row>
        <row r="4553">
          <cell r="BT4553">
            <v>-11720.43</v>
          </cell>
          <cell r="BY4553">
            <v>1526.7</v>
          </cell>
        </row>
        <row r="4554">
          <cell r="BT4554">
            <v>-70562.3</v>
          </cell>
          <cell r="BY4554">
            <v>9191.4500000000007</v>
          </cell>
        </row>
        <row r="4555">
          <cell r="BT4555">
            <v>-4972.8</v>
          </cell>
          <cell r="BY4555">
            <v>647.76</v>
          </cell>
        </row>
        <row r="4556">
          <cell r="BT4556">
            <v>-30080</v>
          </cell>
          <cell r="BY4556">
            <v>3918.22</v>
          </cell>
        </row>
        <row r="4557">
          <cell r="BT4557">
            <v>-40521.800000000003</v>
          </cell>
          <cell r="BY4557">
            <v>5278.38</v>
          </cell>
        </row>
        <row r="4558">
          <cell r="BT4558">
            <v>-40521.800000000003</v>
          </cell>
          <cell r="BY4558">
            <v>5278.37</v>
          </cell>
        </row>
        <row r="4559">
          <cell r="BT4559">
            <v>-41068.720000000001</v>
          </cell>
          <cell r="BY4559">
            <v>5349.61</v>
          </cell>
        </row>
        <row r="4560">
          <cell r="BT4560">
            <v>-28400</v>
          </cell>
          <cell r="BY4560">
            <v>3699.38</v>
          </cell>
        </row>
        <row r="4561">
          <cell r="BT4561">
            <v>-22400</v>
          </cell>
          <cell r="BY4561">
            <v>2917.82</v>
          </cell>
        </row>
        <row r="4562">
          <cell r="BT4562">
            <v>-10978.56</v>
          </cell>
          <cell r="BY4562">
            <v>1430.07</v>
          </cell>
        </row>
        <row r="4563">
          <cell r="BT4563">
            <v>-85958.399999999994</v>
          </cell>
          <cell r="BY4563">
            <v>11196.94</v>
          </cell>
        </row>
        <row r="4564">
          <cell r="BT4564">
            <v>-60918</v>
          </cell>
          <cell r="BY4564">
            <v>7935.18</v>
          </cell>
        </row>
        <row r="4565">
          <cell r="BT4565">
            <v>-5412</v>
          </cell>
          <cell r="BY4565">
            <v>704.97</v>
          </cell>
        </row>
        <row r="4566">
          <cell r="BT4566">
            <v>-40184.82</v>
          </cell>
          <cell r="BY4566">
            <v>5234.47</v>
          </cell>
        </row>
        <row r="4567">
          <cell r="BT4567">
            <v>-15101.6</v>
          </cell>
          <cell r="BY4567">
            <v>1967.13</v>
          </cell>
        </row>
        <row r="4568">
          <cell r="BT4568">
            <v>-24307.919999999998</v>
          </cell>
          <cell r="BY4568">
            <v>3166.35</v>
          </cell>
        </row>
        <row r="4569">
          <cell r="BT4569">
            <v>-198779.51999999999</v>
          </cell>
          <cell r="BY4569">
            <v>25893.02</v>
          </cell>
        </row>
        <row r="4570">
          <cell r="BT4570">
            <v>-62022.8</v>
          </cell>
          <cell r="BY4570">
            <v>8110.62</v>
          </cell>
        </row>
        <row r="4571">
          <cell r="BT4571">
            <v>-1601.61</v>
          </cell>
          <cell r="BY4571">
            <v>209.44</v>
          </cell>
        </row>
        <row r="4572">
          <cell r="BT4572">
            <v>-168.24</v>
          </cell>
          <cell r="BY4572">
            <v>22</v>
          </cell>
        </row>
        <row r="4573">
          <cell r="BT4573">
            <v>-92422.36</v>
          </cell>
          <cell r="BY4573">
            <v>12085.92</v>
          </cell>
        </row>
        <row r="4574">
          <cell r="BT4574">
            <v>-1601.61</v>
          </cell>
          <cell r="BY4574">
            <v>209.44</v>
          </cell>
        </row>
        <row r="4575">
          <cell r="BT4575">
            <v>-229.41</v>
          </cell>
          <cell r="BY4575">
            <v>30</v>
          </cell>
        </row>
        <row r="4576">
          <cell r="BT4576">
            <v>-27935.81</v>
          </cell>
          <cell r="BY4576">
            <v>3653.12</v>
          </cell>
        </row>
        <row r="4577">
          <cell r="BT4577">
            <v>-1584.48</v>
          </cell>
          <cell r="BY4577">
            <v>207.2</v>
          </cell>
        </row>
        <row r="4578">
          <cell r="BT4578">
            <v>-76.47</v>
          </cell>
          <cell r="BY4578">
            <v>10</v>
          </cell>
        </row>
        <row r="4579">
          <cell r="BT4579">
            <v>92893.42</v>
          </cell>
          <cell r="BY4579">
            <v>12147.52</v>
          </cell>
        </row>
        <row r="4580">
          <cell r="BT4580">
            <v>1601.61</v>
          </cell>
          <cell r="BY4580">
            <v>209.44</v>
          </cell>
        </row>
        <row r="4581">
          <cell r="BT4581">
            <v>244.71</v>
          </cell>
          <cell r="BY4581">
            <v>32</v>
          </cell>
        </row>
        <row r="4582">
          <cell r="BT4582">
            <v>92987.64</v>
          </cell>
          <cell r="BY4582">
            <v>12159.84</v>
          </cell>
        </row>
        <row r="4583">
          <cell r="BT4583">
            <v>1601.61</v>
          </cell>
          <cell r="BY4583">
            <v>209.44</v>
          </cell>
        </row>
        <row r="4584">
          <cell r="BT4584">
            <v>244.71</v>
          </cell>
          <cell r="BY4584">
            <v>32</v>
          </cell>
        </row>
        <row r="4585">
          <cell r="BT4585">
            <v>91914.9</v>
          </cell>
          <cell r="BY4585">
            <v>12019.56</v>
          </cell>
        </row>
        <row r="4586">
          <cell r="BT4586">
            <v>1584.48</v>
          </cell>
          <cell r="BY4586">
            <v>207.2</v>
          </cell>
        </row>
        <row r="4587">
          <cell r="BT4587">
            <v>244.71</v>
          </cell>
          <cell r="BY4587">
            <v>32</v>
          </cell>
        </row>
        <row r="4588">
          <cell r="BT4588">
            <v>-91914.9</v>
          </cell>
          <cell r="BY4588">
            <v>12019.56</v>
          </cell>
        </row>
        <row r="4589">
          <cell r="BT4589">
            <v>-1584.48</v>
          </cell>
          <cell r="BY4589">
            <v>207.2</v>
          </cell>
        </row>
        <row r="4590">
          <cell r="BT4590">
            <v>-244.71</v>
          </cell>
          <cell r="BY4590">
            <v>32</v>
          </cell>
        </row>
        <row r="4591">
          <cell r="BT4591">
            <v>92940.53</v>
          </cell>
          <cell r="BY4591">
            <v>12153.68</v>
          </cell>
        </row>
        <row r="4592">
          <cell r="BT4592">
            <v>1601.61</v>
          </cell>
          <cell r="BY4592">
            <v>209.44</v>
          </cell>
        </row>
        <row r="4593">
          <cell r="BT4593">
            <v>244.71</v>
          </cell>
          <cell r="BY4593">
            <v>32</v>
          </cell>
        </row>
        <row r="4594">
          <cell r="BT4594">
            <v>-92940.53</v>
          </cell>
          <cell r="BY4594">
            <v>12153.68</v>
          </cell>
        </row>
        <row r="4595">
          <cell r="BT4595">
            <v>-1601.61</v>
          </cell>
          <cell r="BY4595">
            <v>209.44</v>
          </cell>
        </row>
        <row r="4596">
          <cell r="BT4596">
            <v>-244.71</v>
          </cell>
          <cell r="BY4596">
            <v>32</v>
          </cell>
        </row>
        <row r="4597">
          <cell r="BT4597">
            <v>-27935.81</v>
          </cell>
          <cell r="BY4597">
            <v>3653.12</v>
          </cell>
        </row>
        <row r="4598">
          <cell r="BT4598">
            <v>-1584.48</v>
          </cell>
          <cell r="BY4598">
            <v>207.2</v>
          </cell>
        </row>
        <row r="4599">
          <cell r="BT4599">
            <v>-76.47</v>
          </cell>
          <cell r="BY4599">
            <v>10</v>
          </cell>
        </row>
        <row r="4600">
          <cell r="BT4600">
            <v>-92893.42</v>
          </cell>
          <cell r="BY4600">
            <v>12147.52</v>
          </cell>
        </row>
        <row r="4601">
          <cell r="BT4601">
            <v>-1601.61</v>
          </cell>
          <cell r="BY4601">
            <v>209.44</v>
          </cell>
        </row>
        <row r="4602">
          <cell r="BT4602">
            <v>-244.71</v>
          </cell>
          <cell r="BY4602">
            <v>32</v>
          </cell>
        </row>
        <row r="4603">
          <cell r="BT4603">
            <v>-92987.64</v>
          </cell>
          <cell r="BY4603">
            <v>12159.84</v>
          </cell>
        </row>
        <row r="4604">
          <cell r="BT4604">
            <v>-1601.61</v>
          </cell>
          <cell r="BY4604">
            <v>209.44</v>
          </cell>
        </row>
        <row r="4605">
          <cell r="BT4605">
            <v>-244.71</v>
          </cell>
          <cell r="BY4605">
            <v>32</v>
          </cell>
        </row>
        <row r="4606">
          <cell r="BT4606">
            <v>-47813.56</v>
          </cell>
          <cell r="BY4606">
            <v>6252.5</v>
          </cell>
        </row>
        <row r="4607">
          <cell r="BT4607">
            <v>-1584.48</v>
          </cell>
          <cell r="BY4607">
            <v>207.2</v>
          </cell>
        </row>
        <row r="4608">
          <cell r="BT4608">
            <v>-290.58999999999997</v>
          </cell>
          <cell r="BY4608">
            <v>38</v>
          </cell>
        </row>
        <row r="4609">
          <cell r="BT4609">
            <v>-92940.53</v>
          </cell>
          <cell r="BY4609">
            <v>12153.68</v>
          </cell>
        </row>
        <row r="4610">
          <cell r="BT4610">
            <v>-1601.61</v>
          </cell>
          <cell r="BY4610">
            <v>209.44</v>
          </cell>
        </row>
        <row r="4611">
          <cell r="BT4611">
            <v>-244.71</v>
          </cell>
          <cell r="BY4611">
            <v>32</v>
          </cell>
        </row>
        <row r="4612">
          <cell r="BT4612">
            <v>-92422.36</v>
          </cell>
          <cell r="BY4612">
            <v>12085.92</v>
          </cell>
        </row>
        <row r="4613">
          <cell r="BT4613">
            <v>-1601.61</v>
          </cell>
          <cell r="BY4613">
            <v>209.44</v>
          </cell>
        </row>
        <row r="4614">
          <cell r="BT4614">
            <v>-229.41</v>
          </cell>
          <cell r="BY4614">
            <v>30</v>
          </cell>
        </row>
        <row r="4615">
          <cell r="BT4615">
            <v>-91914.9</v>
          </cell>
          <cell r="BY4615">
            <v>12019.56</v>
          </cell>
        </row>
        <row r="4616">
          <cell r="BT4616">
            <v>-1584.48</v>
          </cell>
          <cell r="BY4616">
            <v>207.2</v>
          </cell>
        </row>
        <row r="4617">
          <cell r="BT4617">
            <v>-244.71</v>
          </cell>
          <cell r="BY4617">
            <v>32</v>
          </cell>
        </row>
        <row r="4618">
          <cell r="BT4618">
            <v>-39692.86</v>
          </cell>
          <cell r="BY4618">
            <v>5190.57</v>
          </cell>
        </row>
        <row r="4619">
          <cell r="BT4619">
            <v>-1601.61</v>
          </cell>
          <cell r="BY4619">
            <v>209.44</v>
          </cell>
        </row>
        <row r="4620">
          <cell r="BT4620">
            <v>-107.06</v>
          </cell>
          <cell r="BY4620">
            <v>14</v>
          </cell>
        </row>
        <row r="4621">
          <cell r="BT4621">
            <v>-92422.36</v>
          </cell>
          <cell r="BY4621">
            <v>12085.92</v>
          </cell>
        </row>
        <row r="4622">
          <cell r="BT4622">
            <v>-1601.61</v>
          </cell>
          <cell r="BY4622">
            <v>209.44</v>
          </cell>
        </row>
        <row r="4623">
          <cell r="BT4623">
            <v>-229.41</v>
          </cell>
          <cell r="BY4623">
            <v>30</v>
          </cell>
        </row>
        <row r="4624">
          <cell r="BT4624">
            <v>92422.36</v>
          </cell>
          <cell r="BY4624">
            <v>12085.92</v>
          </cell>
        </row>
        <row r="4625">
          <cell r="BT4625">
            <v>1601.61</v>
          </cell>
          <cell r="BY4625">
            <v>209.44</v>
          </cell>
        </row>
        <row r="4626">
          <cell r="BT4626">
            <v>229.41</v>
          </cell>
          <cell r="BY4626">
            <v>30</v>
          </cell>
        </row>
        <row r="4627">
          <cell r="BT4627">
            <v>-92422.36</v>
          </cell>
          <cell r="BY4627">
            <v>12085.92</v>
          </cell>
        </row>
        <row r="4628">
          <cell r="BT4628">
            <v>-1601.61</v>
          </cell>
          <cell r="BY4628">
            <v>209.44</v>
          </cell>
        </row>
        <row r="4629">
          <cell r="BT4629">
            <v>-229.41</v>
          </cell>
          <cell r="BY4629">
            <v>30</v>
          </cell>
        </row>
        <row r="4630">
          <cell r="BT4630">
            <v>27935.81</v>
          </cell>
          <cell r="BY4630">
            <v>3653.12</v>
          </cell>
        </row>
        <row r="4631">
          <cell r="BT4631">
            <v>1584.48</v>
          </cell>
          <cell r="BY4631">
            <v>207.2</v>
          </cell>
        </row>
        <row r="4632">
          <cell r="BT4632">
            <v>76.47</v>
          </cell>
          <cell r="BY4632">
            <v>10</v>
          </cell>
        </row>
        <row r="4633">
          <cell r="BT4633">
            <v>39692.86</v>
          </cell>
          <cell r="BY4633">
            <v>5190.57</v>
          </cell>
        </row>
        <row r="4634">
          <cell r="BT4634">
            <v>1601.61</v>
          </cell>
          <cell r="BY4634">
            <v>209.44</v>
          </cell>
        </row>
        <row r="4635">
          <cell r="BT4635">
            <v>107.06</v>
          </cell>
          <cell r="BY4635">
            <v>14</v>
          </cell>
        </row>
        <row r="4636">
          <cell r="BT4636">
            <v>-39692.86</v>
          </cell>
          <cell r="BY4636">
            <v>5190.57</v>
          </cell>
        </row>
        <row r="4637">
          <cell r="BT4637">
            <v>-1601.61</v>
          </cell>
          <cell r="BY4637">
            <v>209.44</v>
          </cell>
        </row>
        <row r="4638">
          <cell r="BT4638">
            <v>-107.06</v>
          </cell>
          <cell r="BY4638">
            <v>14</v>
          </cell>
        </row>
        <row r="4639">
          <cell r="BT4639">
            <v>47813.56</v>
          </cell>
          <cell r="BY4639">
            <v>6252.5</v>
          </cell>
        </row>
        <row r="4640">
          <cell r="BT4640">
            <v>1584.48</v>
          </cell>
          <cell r="BY4640">
            <v>207.2</v>
          </cell>
        </row>
        <row r="4641">
          <cell r="BT4641">
            <v>290.58999999999997</v>
          </cell>
          <cell r="BY4641">
            <v>38</v>
          </cell>
        </row>
        <row r="4642">
          <cell r="BT4642">
            <v>-47813.56</v>
          </cell>
          <cell r="BY4642">
            <v>6252.5</v>
          </cell>
        </row>
        <row r="4643">
          <cell r="BT4643">
            <v>-1584.48</v>
          </cell>
          <cell r="BY4643">
            <v>207.2</v>
          </cell>
        </row>
        <row r="4644">
          <cell r="BT4644">
            <v>-290.58999999999997</v>
          </cell>
          <cell r="BY4644">
            <v>38</v>
          </cell>
        </row>
        <row r="4645">
          <cell r="BT4645">
            <v>47813.56</v>
          </cell>
          <cell r="BY4645">
            <v>6252.5</v>
          </cell>
        </row>
        <row r="4646">
          <cell r="BT4646">
            <v>1584.48</v>
          </cell>
          <cell r="BY4646">
            <v>207.2</v>
          </cell>
        </row>
        <row r="4647">
          <cell r="BT4647">
            <v>290.58999999999997</v>
          </cell>
          <cell r="BY4647">
            <v>38</v>
          </cell>
        </row>
        <row r="4648">
          <cell r="BT4648">
            <v>-62022.8</v>
          </cell>
          <cell r="BY4648">
            <v>8110.62</v>
          </cell>
        </row>
        <row r="4649">
          <cell r="BT4649">
            <v>-1601.61</v>
          </cell>
          <cell r="BY4649">
            <v>209.44</v>
          </cell>
        </row>
        <row r="4650">
          <cell r="BT4650">
            <v>-168.24</v>
          </cell>
          <cell r="BY4650">
            <v>22</v>
          </cell>
        </row>
        <row r="4651">
          <cell r="BT4651">
            <v>92422.36</v>
          </cell>
          <cell r="BY4651">
            <v>12085.92</v>
          </cell>
        </row>
        <row r="4652">
          <cell r="BT4652">
            <v>1601.61</v>
          </cell>
          <cell r="BY4652">
            <v>209.44</v>
          </cell>
        </row>
        <row r="4653">
          <cell r="BT4653">
            <v>229.41</v>
          </cell>
          <cell r="BY4653">
            <v>30</v>
          </cell>
        </row>
        <row r="4654">
          <cell r="BT4654">
            <v>92422.36</v>
          </cell>
          <cell r="BY4654">
            <v>12085.92</v>
          </cell>
        </row>
        <row r="4655">
          <cell r="BT4655">
            <v>1601.61</v>
          </cell>
          <cell r="BY4655">
            <v>209.44</v>
          </cell>
        </row>
        <row r="4656">
          <cell r="BT4656">
            <v>229.41</v>
          </cell>
          <cell r="BY4656">
            <v>30</v>
          </cell>
        </row>
        <row r="4657">
          <cell r="BT4657">
            <v>-47813.56</v>
          </cell>
          <cell r="BY4657">
            <v>6252.5</v>
          </cell>
        </row>
        <row r="4658">
          <cell r="BT4658">
            <v>-1584.48</v>
          </cell>
          <cell r="BY4658">
            <v>207.2</v>
          </cell>
        </row>
        <row r="4659">
          <cell r="BT4659">
            <v>-290.58999999999997</v>
          </cell>
          <cell r="BY4659">
            <v>38</v>
          </cell>
        </row>
        <row r="4660">
          <cell r="BT4660">
            <v>-92893.42</v>
          </cell>
          <cell r="BY4660">
            <v>12147.52</v>
          </cell>
        </row>
        <row r="4661">
          <cell r="BT4661">
            <v>-1601.61</v>
          </cell>
          <cell r="BY4661">
            <v>209.44</v>
          </cell>
        </row>
        <row r="4662">
          <cell r="BT4662">
            <v>-244.71</v>
          </cell>
          <cell r="BY4662">
            <v>32</v>
          </cell>
        </row>
        <row r="4663">
          <cell r="BT4663">
            <v>-92987.63</v>
          </cell>
          <cell r="BY4663">
            <v>12159.84</v>
          </cell>
        </row>
        <row r="4664">
          <cell r="BT4664">
            <v>-1601.61</v>
          </cell>
          <cell r="BY4664">
            <v>209.44</v>
          </cell>
        </row>
        <row r="4665">
          <cell r="BT4665">
            <v>-244.71</v>
          </cell>
          <cell r="BY4665">
            <v>32</v>
          </cell>
        </row>
        <row r="4666">
          <cell r="BT4666">
            <v>-62022.8</v>
          </cell>
          <cell r="BY4666">
            <v>8110.62</v>
          </cell>
        </row>
        <row r="4667">
          <cell r="BT4667">
            <v>-1601.61</v>
          </cell>
          <cell r="BY4667">
            <v>209.44</v>
          </cell>
        </row>
        <row r="4668">
          <cell r="BT4668">
            <v>62022.8</v>
          </cell>
          <cell r="BY4668">
            <v>8110.62</v>
          </cell>
        </row>
        <row r="4669">
          <cell r="BT4669">
            <v>1601.61</v>
          </cell>
          <cell r="BY4669">
            <v>209.44</v>
          </cell>
        </row>
        <row r="4670">
          <cell r="BT4670">
            <v>62022.8</v>
          </cell>
          <cell r="BY4670">
            <v>8110.62</v>
          </cell>
        </row>
        <row r="4671">
          <cell r="BT4671">
            <v>1601.61</v>
          </cell>
          <cell r="BY4671">
            <v>209.44</v>
          </cell>
        </row>
        <row r="4672">
          <cell r="BT4672">
            <v>168.24</v>
          </cell>
          <cell r="BY4672">
            <v>22</v>
          </cell>
        </row>
        <row r="4673">
          <cell r="BT4673">
            <v>92893.42</v>
          </cell>
          <cell r="BY4673">
            <v>12147.52</v>
          </cell>
        </row>
        <row r="4674">
          <cell r="BT4674">
            <v>1601.61</v>
          </cell>
          <cell r="BY4674">
            <v>209.44</v>
          </cell>
        </row>
        <row r="4675">
          <cell r="BT4675">
            <v>244.71</v>
          </cell>
          <cell r="BY4675">
            <v>32</v>
          </cell>
        </row>
        <row r="4676">
          <cell r="BT4676">
            <v>-92893.42</v>
          </cell>
          <cell r="BY4676">
            <v>12147.52</v>
          </cell>
        </row>
        <row r="4677">
          <cell r="BT4677">
            <v>-1601.61</v>
          </cell>
          <cell r="BY4677">
            <v>209.44</v>
          </cell>
        </row>
        <row r="4678">
          <cell r="BT4678">
            <v>-244.71</v>
          </cell>
          <cell r="BY4678">
            <v>32</v>
          </cell>
        </row>
        <row r="4679">
          <cell r="BT4679">
            <v>-68148.990000000005</v>
          </cell>
          <cell r="BY4679">
            <v>8928.8799999999992</v>
          </cell>
        </row>
        <row r="4680">
          <cell r="BT4680">
            <v>62491.51</v>
          </cell>
          <cell r="BY4680">
            <v>8140.14</v>
          </cell>
        </row>
        <row r="4681">
          <cell r="BT4681">
            <v>80328.639999999999</v>
          </cell>
          <cell r="BY4681">
            <v>10463.61</v>
          </cell>
        </row>
        <row r="4682">
          <cell r="BT4682">
            <v>1057.5</v>
          </cell>
          <cell r="BY4682">
            <v>137.75</v>
          </cell>
        </row>
        <row r="4683">
          <cell r="BT4683">
            <v>0</v>
          </cell>
          <cell r="BY4683">
            <v>0</v>
          </cell>
        </row>
        <row r="4684">
          <cell r="BT4684">
            <v>66590.25</v>
          </cell>
          <cell r="BY4684">
            <v>8674.0499999999993</v>
          </cell>
        </row>
        <row r="4685">
          <cell r="BT4685">
            <v>1748.25</v>
          </cell>
          <cell r="BY4685">
            <v>227.73</v>
          </cell>
        </row>
        <row r="4686">
          <cell r="BT4686">
            <v>10575</v>
          </cell>
          <cell r="BY4686">
            <v>1377.5</v>
          </cell>
        </row>
        <row r="4687">
          <cell r="BT4687">
            <v>81074.399999999994</v>
          </cell>
          <cell r="BY4687">
            <v>10560.75</v>
          </cell>
        </row>
        <row r="4688">
          <cell r="BT4688">
            <v>57391.040000000001</v>
          </cell>
          <cell r="BY4688">
            <v>7475.76</v>
          </cell>
        </row>
        <row r="4689">
          <cell r="BT4689">
            <v>5098.66</v>
          </cell>
          <cell r="BY4689">
            <v>664.15</v>
          </cell>
        </row>
        <row r="4690">
          <cell r="BT4690">
            <v>37952.33</v>
          </cell>
          <cell r="BY4690">
            <v>4943.67</v>
          </cell>
        </row>
        <row r="4691">
          <cell r="BT4691">
            <v>0</v>
          </cell>
          <cell r="BY4691">
            <v>0</v>
          </cell>
        </row>
        <row r="4692">
          <cell r="BT4692">
            <v>22957.48</v>
          </cell>
          <cell r="BY4692">
            <v>2990.44</v>
          </cell>
        </row>
        <row r="4693">
          <cell r="BT4693">
            <v>187663.56</v>
          </cell>
          <cell r="BY4693">
            <v>24445.06</v>
          </cell>
        </row>
        <row r="4694">
          <cell r="BT4694">
            <v>200.36</v>
          </cell>
          <cell r="BY4694">
            <v>26.1</v>
          </cell>
        </row>
        <row r="4695">
          <cell r="BT4695">
            <v>91.3</v>
          </cell>
          <cell r="BY4695">
            <v>11.89</v>
          </cell>
        </row>
        <row r="4696">
          <cell r="BT4696">
            <v>55.39</v>
          </cell>
          <cell r="BY4696">
            <v>7.22</v>
          </cell>
        </row>
        <row r="4697">
          <cell r="BT4697">
            <v>234.24</v>
          </cell>
          <cell r="BY4697">
            <v>30.51</v>
          </cell>
        </row>
        <row r="4698">
          <cell r="BT4698">
            <v>63.41</v>
          </cell>
          <cell r="BY4698">
            <v>8.26</v>
          </cell>
        </row>
        <row r="4699">
          <cell r="BT4699">
            <v>102.22</v>
          </cell>
          <cell r="BY4699">
            <v>13.32</v>
          </cell>
        </row>
        <row r="4700">
          <cell r="BT4700">
            <v>3956.23</v>
          </cell>
          <cell r="BY4700">
            <v>515.34</v>
          </cell>
        </row>
        <row r="4701">
          <cell r="BT4701">
            <v>3286.71</v>
          </cell>
          <cell r="BY4701">
            <v>428.13</v>
          </cell>
        </row>
        <row r="4702">
          <cell r="BT4702">
            <v>794.97</v>
          </cell>
          <cell r="BY4702">
            <v>103.55</v>
          </cell>
        </row>
        <row r="4703">
          <cell r="BT4703">
            <v>239.53</v>
          </cell>
          <cell r="BY4703">
            <v>31.2</v>
          </cell>
        </row>
        <row r="4704">
          <cell r="BT4704">
            <v>64.56</v>
          </cell>
          <cell r="BY4704">
            <v>8.41</v>
          </cell>
        </row>
        <row r="4705">
          <cell r="BT4705">
            <v>53609.15</v>
          </cell>
          <cell r="BY4705">
            <v>6983.13</v>
          </cell>
        </row>
        <row r="4706">
          <cell r="BT4706">
            <v>32767.93</v>
          </cell>
          <cell r="BY4706">
            <v>4268.3500000000004</v>
          </cell>
        </row>
        <row r="4707">
          <cell r="BT4707">
            <v>35745.730000000003</v>
          </cell>
          <cell r="BY4707">
            <v>4656.24</v>
          </cell>
        </row>
        <row r="4708">
          <cell r="BT4708">
            <v>35745.730000000003</v>
          </cell>
          <cell r="BY4708">
            <v>4656.24</v>
          </cell>
        </row>
        <row r="4709">
          <cell r="BT4709">
            <v>35649.51</v>
          </cell>
          <cell r="BY4709">
            <v>4643.71</v>
          </cell>
        </row>
        <row r="4710">
          <cell r="BT4710">
            <v>52807.24</v>
          </cell>
          <cell r="BY4710">
            <v>6878.67</v>
          </cell>
        </row>
        <row r="4711">
          <cell r="BT4711">
            <v>38223.5</v>
          </cell>
          <cell r="BY4711">
            <v>4978.99</v>
          </cell>
        </row>
        <row r="4712">
          <cell r="BT4712">
            <v>38223.5</v>
          </cell>
          <cell r="BY4712">
            <v>4978.99</v>
          </cell>
        </row>
        <row r="4713">
          <cell r="BT4713">
            <v>38739.4</v>
          </cell>
          <cell r="BY4713">
            <v>5046.1899999999996</v>
          </cell>
        </row>
        <row r="4714">
          <cell r="BT4714">
            <v>38500</v>
          </cell>
          <cell r="BY4714">
            <v>5015.01</v>
          </cell>
        </row>
        <row r="4715">
          <cell r="BT4715">
            <v>10360</v>
          </cell>
          <cell r="BY4715">
            <v>1349.49</v>
          </cell>
        </row>
        <row r="4716">
          <cell r="BT4716">
            <v>3859.65</v>
          </cell>
          <cell r="BY4716">
            <v>502.76</v>
          </cell>
        </row>
        <row r="4717">
          <cell r="BT4717">
            <v>68148.990000000005</v>
          </cell>
          <cell r="BY4717">
            <v>8928.8799999999992</v>
          </cell>
        </row>
        <row r="4718">
          <cell r="BT4718">
            <v>87675.12</v>
          </cell>
          <cell r="BY4718">
            <v>11465.28</v>
          </cell>
        </row>
        <row r="4719">
          <cell r="BT4719">
            <v>200.36</v>
          </cell>
          <cell r="BY4719">
            <v>26.28</v>
          </cell>
        </row>
        <row r="4720">
          <cell r="BT4720">
            <v>91.3</v>
          </cell>
          <cell r="BY4720">
            <v>11.98</v>
          </cell>
        </row>
        <row r="4721">
          <cell r="BT4721">
            <v>63.41</v>
          </cell>
          <cell r="BY4721">
            <v>8.32</v>
          </cell>
        </row>
        <row r="4722">
          <cell r="BT4722">
            <v>102.22</v>
          </cell>
          <cell r="BY4722">
            <v>13.41</v>
          </cell>
        </row>
        <row r="4723">
          <cell r="BT4723">
            <v>234.24</v>
          </cell>
          <cell r="BY4723">
            <v>30.73</v>
          </cell>
        </row>
        <row r="4724">
          <cell r="BT4724">
            <v>55.39</v>
          </cell>
          <cell r="BY4724">
            <v>7.27</v>
          </cell>
        </row>
        <row r="4725">
          <cell r="BT4725">
            <v>-11566.8</v>
          </cell>
          <cell r="BY4725">
            <v>1512.59</v>
          </cell>
        </row>
        <row r="4726">
          <cell r="BT4726">
            <v>11566.8</v>
          </cell>
          <cell r="BY4726">
            <v>1512.59</v>
          </cell>
        </row>
        <row r="4727">
          <cell r="BT4727">
            <v>88452.59</v>
          </cell>
          <cell r="BY4727">
            <v>11566.8</v>
          </cell>
        </row>
        <row r="4728">
          <cell r="BT4728">
            <v>11566.8</v>
          </cell>
          <cell r="BY4728">
            <v>1512.59</v>
          </cell>
        </row>
        <row r="4729">
          <cell r="BT4729">
            <v>-700.89</v>
          </cell>
          <cell r="BY4729">
            <v>91.3</v>
          </cell>
        </row>
        <row r="4730">
          <cell r="BT4730">
            <v>700.89</v>
          </cell>
          <cell r="BY4730">
            <v>91.3</v>
          </cell>
        </row>
        <row r="4731">
          <cell r="BT4731">
            <v>700.89</v>
          </cell>
          <cell r="BY4731">
            <v>91.3</v>
          </cell>
        </row>
        <row r="4732">
          <cell r="BT4732">
            <v>785</v>
          </cell>
          <cell r="BY4732">
            <v>102.25</v>
          </cell>
        </row>
        <row r="4733">
          <cell r="BT4733">
            <v>-700.89</v>
          </cell>
          <cell r="BY4733">
            <v>91.3</v>
          </cell>
        </row>
        <row r="4734">
          <cell r="BT4734">
            <v>785</v>
          </cell>
          <cell r="BY4734">
            <v>102.25</v>
          </cell>
        </row>
        <row r="4735">
          <cell r="BT4735">
            <v>1238</v>
          </cell>
          <cell r="BY4735">
            <v>161.91</v>
          </cell>
        </row>
        <row r="4736">
          <cell r="BT4736">
            <v>6500</v>
          </cell>
          <cell r="BY4736">
            <v>846.69</v>
          </cell>
        </row>
        <row r="4737">
          <cell r="BT4737">
            <v>710.7</v>
          </cell>
          <cell r="BY4737">
            <v>92.58</v>
          </cell>
        </row>
        <row r="4738">
          <cell r="BT4738">
            <v>463.15</v>
          </cell>
          <cell r="BY4738">
            <v>60.57</v>
          </cell>
        </row>
        <row r="4739">
          <cell r="BT4739">
            <v>382.32</v>
          </cell>
          <cell r="BY4739">
            <v>49.76</v>
          </cell>
        </row>
        <row r="4740">
          <cell r="BT4740">
            <v>195</v>
          </cell>
          <cell r="BY4740">
            <v>25.5</v>
          </cell>
        </row>
        <row r="4741">
          <cell r="BT4741">
            <v>28.91</v>
          </cell>
          <cell r="BY4741">
            <v>3.79</v>
          </cell>
        </row>
        <row r="4742">
          <cell r="BT4742">
            <v>30.42</v>
          </cell>
          <cell r="BY4742">
            <v>3.97</v>
          </cell>
        </row>
        <row r="4743">
          <cell r="BT4743">
            <v>1564.4</v>
          </cell>
          <cell r="BY4743">
            <v>203.78</v>
          </cell>
        </row>
        <row r="4744">
          <cell r="BT4744">
            <v>8674.3799999999992</v>
          </cell>
          <cell r="BY4744">
            <v>1129.92</v>
          </cell>
        </row>
        <row r="4745">
          <cell r="BT4745">
            <v>17200</v>
          </cell>
          <cell r="BY4745">
            <v>2240.4699999999998</v>
          </cell>
        </row>
        <row r="4746">
          <cell r="BT4746">
            <v>-17200</v>
          </cell>
          <cell r="BY4746">
            <v>2240.4699999999998</v>
          </cell>
        </row>
        <row r="4747">
          <cell r="BT4747">
            <v>17200</v>
          </cell>
          <cell r="BY4747">
            <v>2240.4699999999998</v>
          </cell>
        </row>
        <row r="4748">
          <cell r="BT4748">
            <v>569.70000000000005</v>
          </cell>
          <cell r="BY4748">
            <v>74.209999999999994</v>
          </cell>
        </row>
        <row r="4749">
          <cell r="BT4749">
            <v>-3020.52</v>
          </cell>
          <cell r="BY4749">
            <v>393.45</v>
          </cell>
        </row>
        <row r="4750">
          <cell r="BT4750">
            <v>-6043.59</v>
          </cell>
          <cell r="BY4750">
            <v>787.24</v>
          </cell>
        </row>
        <row r="4751">
          <cell r="BT4751">
            <v>-6929.24</v>
          </cell>
          <cell r="BY4751">
            <v>902.6</v>
          </cell>
        </row>
        <row r="4752">
          <cell r="BT4752">
            <v>-14292.88</v>
          </cell>
          <cell r="BY4752">
            <v>1861.79</v>
          </cell>
        </row>
        <row r="4753">
          <cell r="BT4753">
            <v>210</v>
          </cell>
          <cell r="BY4753">
            <v>27.44</v>
          </cell>
        </row>
        <row r="4754">
          <cell r="BT4754">
            <v>796.5</v>
          </cell>
          <cell r="BY4754">
            <v>104.16</v>
          </cell>
        </row>
        <row r="4755">
          <cell r="BT4755">
            <v>64672.9</v>
          </cell>
          <cell r="BY4755">
            <v>8424.2900000000009</v>
          </cell>
        </row>
        <row r="4756">
          <cell r="BT4756">
            <v>56406.84</v>
          </cell>
          <cell r="BY4756">
            <v>7347.55</v>
          </cell>
        </row>
        <row r="4757">
          <cell r="BT4757">
            <v>28191.52</v>
          </cell>
          <cell r="BY4757">
            <v>3672.23</v>
          </cell>
        </row>
        <row r="4758">
          <cell r="BT4758">
            <v>6043.59</v>
          </cell>
          <cell r="BY4758">
            <v>787.24</v>
          </cell>
        </row>
        <row r="4759">
          <cell r="BT4759">
            <v>6929.24</v>
          </cell>
          <cell r="BY4759">
            <v>902.6</v>
          </cell>
        </row>
        <row r="4760">
          <cell r="BT4760">
            <v>14292.88</v>
          </cell>
          <cell r="BY4760">
            <v>1861.79</v>
          </cell>
        </row>
        <row r="4761">
          <cell r="BT4761">
            <v>3020.52</v>
          </cell>
          <cell r="BY4761">
            <v>393.45</v>
          </cell>
        </row>
        <row r="4762">
          <cell r="BT4762">
            <v>133400.18</v>
          </cell>
          <cell r="BY4762">
            <v>17376.71</v>
          </cell>
        </row>
        <row r="4763">
          <cell r="BT4763">
            <v>3092.58</v>
          </cell>
          <cell r="BY4763">
            <v>402.84</v>
          </cell>
        </row>
        <row r="4764">
          <cell r="BT4764">
            <v>4125.67</v>
          </cell>
          <cell r="BY4764">
            <v>537.41</v>
          </cell>
        </row>
        <row r="4765">
          <cell r="BT4765">
            <v>-3496.4</v>
          </cell>
          <cell r="BY4765">
            <v>455.44</v>
          </cell>
        </row>
        <row r="4766">
          <cell r="BT4766">
            <v>1398.16</v>
          </cell>
          <cell r="BY4766">
            <v>182.12</v>
          </cell>
        </row>
        <row r="4767">
          <cell r="BT4767">
            <v>32632.97</v>
          </cell>
          <cell r="BY4767">
            <v>4250.7700000000004</v>
          </cell>
        </row>
        <row r="4768">
          <cell r="BT4768">
            <v>3496.4</v>
          </cell>
          <cell r="BY4768">
            <v>455.44</v>
          </cell>
        </row>
        <row r="4769">
          <cell r="BT4769">
            <v>-347.43</v>
          </cell>
          <cell r="BY4769">
            <v>45.26</v>
          </cell>
        </row>
        <row r="4770">
          <cell r="BT4770">
            <v>3242.8</v>
          </cell>
          <cell r="BY4770">
            <v>422.41</v>
          </cell>
        </row>
        <row r="4771">
          <cell r="BT4771">
            <v>347.43</v>
          </cell>
          <cell r="BY4771">
            <v>45.26</v>
          </cell>
        </row>
        <row r="4772">
          <cell r="BT4772">
            <v>860.39</v>
          </cell>
          <cell r="BY4772">
            <v>112.07</v>
          </cell>
        </row>
        <row r="4773">
          <cell r="BT4773">
            <v>-1607.14</v>
          </cell>
          <cell r="BY4773">
            <v>209.35</v>
          </cell>
        </row>
        <row r="4774">
          <cell r="BT4774">
            <v>1607.14</v>
          </cell>
          <cell r="BY4774">
            <v>209.35</v>
          </cell>
        </row>
        <row r="4775">
          <cell r="BT4775">
            <v>1800</v>
          </cell>
          <cell r="BY4775">
            <v>234.47</v>
          </cell>
        </row>
        <row r="4776">
          <cell r="BT4776">
            <v>-860.39</v>
          </cell>
          <cell r="BY4776">
            <v>112.07</v>
          </cell>
        </row>
        <row r="4777">
          <cell r="BT4777">
            <v>963.64</v>
          </cell>
          <cell r="BY4777">
            <v>125.52</v>
          </cell>
        </row>
        <row r="4778">
          <cell r="BT4778">
            <v>754.88</v>
          </cell>
          <cell r="BY4778">
            <v>98.33</v>
          </cell>
        </row>
        <row r="4779">
          <cell r="BT4779">
            <v>70.41</v>
          </cell>
          <cell r="BY4779">
            <v>9.17</v>
          </cell>
        </row>
        <row r="4780">
          <cell r="BT4780">
            <v>170.29</v>
          </cell>
          <cell r="BY4780">
            <v>22.18</v>
          </cell>
        </row>
        <row r="4781">
          <cell r="BT4781">
            <v>2376.83</v>
          </cell>
          <cell r="BY4781">
            <v>309.61</v>
          </cell>
        </row>
        <row r="4782">
          <cell r="BT4782">
            <v>2516.27</v>
          </cell>
          <cell r="BY4782">
            <v>327.77</v>
          </cell>
        </row>
        <row r="4783">
          <cell r="BT4783">
            <v>140</v>
          </cell>
          <cell r="BY4783">
            <v>18.34</v>
          </cell>
        </row>
        <row r="4784">
          <cell r="BT4784">
            <v>6030</v>
          </cell>
          <cell r="BY4784">
            <v>785.47</v>
          </cell>
        </row>
        <row r="4785">
          <cell r="BT4785">
            <v>-6030</v>
          </cell>
          <cell r="BY4785">
            <v>785.47</v>
          </cell>
        </row>
        <row r="4786">
          <cell r="BT4786">
            <v>5383.93</v>
          </cell>
          <cell r="BY4786">
            <v>701.31</v>
          </cell>
        </row>
        <row r="4787">
          <cell r="BT4787">
            <v>3250</v>
          </cell>
          <cell r="BY4787">
            <v>426.08</v>
          </cell>
        </row>
        <row r="4788">
          <cell r="BT4788">
            <v>135.72</v>
          </cell>
          <cell r="BY4788">
            <v>17.68</v>
          </cell>
        </row>
        <row r="4789">
          <cell r="BT4789">
            <v>45614.400000000001</v>
          </cell>
          <cell r="BY4789">
            <v>5941.73</v>
          </cell>
        </row>
        <row r="4790">
          <cell r="BT4790">
            <v>42000</v>
          </cell>
          <cell r="BY4790">
            <v>5470.92</v>
          </cell>
        </row>
        <row r="4791">
          <cell r="BT4791">
            <v>-5383.93</v>
          </cell>
          <cell r="BY4791">
            <v>701.31</v>
          </cell>
        </row>
        <row r="4792">
          <cell r="BT4792">
            <v>961.35</v>
          </cell>
          <cell r="BY4792">
            <v>125.23</v>
          </cell>
        </row>
        <row r="4793">
          <cell r="BT4793">
            <v>380</v>
          </cell>
          <cell r="BY4793">
            <v>49.5</v>
          </cell>
        </row>
        <row r="4794">
          <cell r="BT4794">
            <v>291.43</v>
          </cell>
          <cell r="BY4794">
            <v>37.96</v>
          </cell>
        </row>
        <row r="4795">
          <cell r="BT4795">
            <v>6030</v>
          </cell>
          <cell r="BY4795">
            <v>785.47</v>
          </cell>
        </row>
        <row r="4796">
          <cell r="BT4796">
            <v>8053</v>
          </cell>
          <cell r="BY4796">
            <v>1055.18</v>
          </cell>
        </row>
        <row r="4797">
          <cell r="BT4797">
            <v>6713.1</v>
          </cell>
          <cell r="BY4797">
            <v>874.45</v>
          </cell>
        </row>
        <row r="4798">
          <cell r="BT4798">
            <v>3424.51</v>
          </cell>
          <cell r="BY4798">
            <v>447.34</v>
          </cell>
        </row>
        <row r="4799">
          <cell r="BT4799">
            <v>168</v>
          </cell>
          <cell r="BY4799">
            <v>21.88</v>
          </cell>
        </row>
        <row r="4800">
          <cell r="BT4800">
            <v>7281.79</v>
          </cell>
          <cell r="BY4800">
            <v>951.22</v>
          </cell>
        </row>
        <row r="4801">
          <cell r="BT4801">
            <v>1546.79</v>
          </cell>
          <cell r="BY4801">
            <v>202.11</v>
          </cell>
        </row>
        <row r="4802">
          <cell r="BT4802">
            <v>-1546.79</v>
          </cell>
          <cell r="BY4802">
            <v>202.11</v>
          </cell>
        </row>
        <row r="4803">
          <cell r="BT4803">
            <v>7397.26</v>
          </cell>
          <cell r="BY4803">
            <v>963.57</v>
          </cell>
        </row>
        <row r="4804">
          <cell r="BT4804">
            <v>627.14</v>
          </cell>
          <cell r="BY4804">
            <v>81.69</v>
          </cell>
        </row>
        <row r="4805">
          <cell r="BT4805">
            <v>-7397.26</v>
          </cell>
          <cell r="BY4805">
            <v>963.57</v>
          </cell>
        </row>
        <row r="4806">
          <cell r="BT4806">
            <v>8284.93</v>
          </cell>
          <cell r="BY4806">
            <v>1082.51</v>
          </cell>
        </row>
        <row r="4807">
          <cell r="BT4807">
            <v>285.26</v>
          </cell>
          <cell r="BY4807">
            <v>37.159999999999997</v>
          </cell>
        </row>
        <row r="4808">
          <cell r="BT4808">
            <v>7600</v>
          </cell>
          <cell r="BY4808">
            <v>993.32</v>
          </cell>
        </row>
        <row r="4809">
          <cell r="BT4809">
            <v>1230</v>
          </cell>
          <cell r="BY4809">
            <v>161.25</v>
          </cell>
        </row>
        <row r="4810">
          <cell r="BT4810">
            <v>1134.26</v>
          </cell>
          <cell r="BY4810">
            <v>147.75</v>
          </cell>
        </row>
        <row r="4811">
          <cell r="BT4811">
            <v>1050</v>
          </cell>
          <cell r="BY4811">
            <v>137.31</v>
          </cell>
        </row>
        <row r="4812">
          <cell r="BT4812">
            <v>76.5</v>
          </cell>
          <cell r="BY4812">
            <v>9.9600000000000009</v>
          </cell>
        </row>
        <row r="4813">
          <cell r="BT4813">
            <v>76.5</v>
          </cell>
          <cell r="BY4813">
            <v>9.9600000000000009</v>
          </cell>
        </row>
        <row r="4814">
          <cell r="BT4814">
            <v>-76.5</v>
          </cell>
          <cell r="BY4814">
            <v>9.9600000000000009</v>
          </cell>
        </row>
        <row r="4815">
          <cell r="BT4815">
            <v>3337.69</v>
          </cell>
          <cell r="BY4815">
            <v>434.77</v>
          </cell>
        </row>
        <row r="4816">
          <cell r="BT4816">
            <v>228.6</v>
          </cell>
          <cell r="BY4816">
            <v>29.78</v>
          </cell>
        </row>
        <row r="4817">
          <cell r="BT4817">
            <v>5551.51</v>
          </cell>
          <cell r="BY4817">
            <v>723.14</v>
          </cell>
        </row>
        <row r="4818">
          <cell r="BT4818">
            <v>228.9</v>
          </cell>
          <cell r="BY4818">
            <v>29.82</v>
          </cell>
        </row>
        <row r="4819">
          <cell r="BT4819">
            <v>4607.88</v>
          </cell>
          <cell r="BY4819">
            <v>600.22</v>
          </cell>
        </row>
        <row r="4820">
          <cell r="BT4820">
            <v>230.4</v>
          </cell>
          <cell r="BY4820">
            <v>30.01</v>
          </cell>
        </row>
        <row r="4821">
          <cell r="BT4821">
            <v>229.71</v>
          </cell>
          <cell r="BY4821">
            <v>29.92</v>
          </cell>
        </row>
        <row r="4822">
          <cell r="BT4822">
            <v>13058.86</v>
          </cell>
          <cell r="BY4822">
            <v>1701.05</v>
          </cell>
        </row>
        <row r="4823">
          <cell r="BT4823">
            <v>114.75</v>
          </cell>
          <cell r="BY4823">
            <v>14.95</v>
          </cell>
        </row>
        <row r="4824">
          <cell r="BT4824">
            <v>2190.5500000000002</v>
          </cell>
          <cell r="BY4824">
            <v>285.33999999999997</v>
          </cell>
        </row>
        <row r="4825">
          <cell r="BT4825">
            <v>230.4</v>
          </cell>
          <cell r="BY4825">
            <v>30.01</v>
          </cell>
        </row>
        <row r="4826">
          <cell r="BT4826">
            <v>4854.8599999999997</v>
          </cell>
          <cell r="BY4826">
            <v>632.39</v>
          </cell>
        </row>
        <row r="4827">
          <cell r="BT4827">
            <v>4137.34</v>
          </cell>
          <cell r="BY4827">
            <v>542.12</v>
          </cell>
        </row>
        <row r="4828">
          <cell r="BT4828">
            <v>6712.14</v>
          </cell>
          <cell r="BY4828">
            <v>879.49</v>
          </cell>
        </row>
        <row r="4829">
          <cell r="BT4829">
            <v>766.04</v>
          </cell>
          <cell r="BY4829">
            <v>100.14</v>
          </cell>
        </row>
        <row r="4830">
          <cell r="BT4830">
            <v>1590.27</v>
          </cell>
          <cell r="BY4830">
            <v>207.96</v>
          </cell>
        </row>
        <row r="4831">
          <cell r="BT4831">
            <v>4033.64</v>
          </cell>
          <cell r="BY4831">
            <v>528.53</v>
          </cell>
        </row>
        <row r="4832">
          <cell r="BT4832">
            <v>4347</v>
          </cell>
          <cell r="BY4832">
            <v>569.59</v>
          </cell>
        </row>
        <row r="4833">
          <cell r="BT4833">
            <v>2702.22</v>
          </cell>
          <cell r="BY4833">
            <v>354.07</v>
          </cell>
        </row>
        <row r="4834">
          <cell r="BT4834">
            <v>1757.48</v>
          </cell>
          <cell r="BY4834">
            <v>230.28</v>
          </cell>
        </row>
        <row r="4835">
          <cell r="BT4835">
            <v>766.04</v>
          </cell>
          <cell r="BY4835">
            <v>100.14</v>
          </cell>
        </row>
        <row r="4836">
          <cell r="BT4836">
            <v>4369.9799999999996</v>
          </cell>
          <cell r="BY4836">
            <v>571.46</v>
          </cell>
        </row>
        <row r="4837">
          <cell r="BT4837">
            <v>766.04</v>
          </cell>
          <cell r="BY4837">
            <v>100.17</v>
          </cell>
        </row>
        <row r="4838">
          <cell r="BT4838">
            <v>6092.65</v>
          </cell>
          <cell r="BY4838">
            <v>798.32</v>
          </cell>
        </row>
        <row r="4839">
          <cell r="BT4839">
            <v>766.04</v>
          </cell>
          <cell r="BY4839">
            <v>100.14</v>
          </cell>
        </row>
        <row r="4840">
          <cell r="BT4840">
            <v>5506.15</v>
          </cell>
          <cell r="BY4840">
            <v>719.98</v>
          </cell>
        </row>
        <row r="4841">
          <cell r="BT4841">
            <v>766.04</v>
          </cell>
          <cell r="BY4841">
            <v>100.17</v>
          </cell>
        </row>
        <row r="4842">
          <cell r="BT4842">
            <v>5582.75</v>
          </cell>
          <cell r="BY4842">
            <v>730</v>
          </cell>
        </row>
        <row r="4843">
          <cell r="BT4843">
            <v>2234.08</v>
          </cell>
          <cell r="BY4843">
            <v>292.13</v>
          </cell>
        </row>
        <row r="4844">
          <cell r="BT4844">
            <v>3212.77</v>
          </cell>
          <cell r="BY4844">
            <v>418.5</v>
          </cell>
        </row>
        <row r="4845">
          <cell r="BT4845">
            <v>2319.35</v>
          </cell>
          <cell r="BY4845">
            <v>302.12</v>
          </cell>
        </row>
        <row r="4846">
          <cell r="BT4846">
            <v>168</v>
          </cell>
          <cell r="BY4846">
            <v>21.97</v>
          </cell>
        </row>
        <row r="4847">
          <cell r="BT4847">
            <v>180</v>
          </cell>
          <cell r="BY4847">
            <v>23.43</v>
          </cell>
        </row>
        <row r="4848">
          <cell r="BT4848">
            <v>1201.45</v>
          </cell>
          <cell r="BY4848">
            <v>157.43</v>
          </cell>
        </row>
        <row r="4849">
          <cell r="BT4849">
            <v>-1.45</v>
          </cell>
          <cell r="BY4849">
            <v>0.19</v>
          </cell>
        </row>
        <row r="4850">
          <cell r="BT4850">
            <v>164.82</v>
          </cell>
          <cell r="BY4850">
            <v>21.47</v>
          </cell>
        </row>
        <row r="4851">
          <cell r="BT4851">
            <v>1772.44</v>
          </cell>
          <cell r="BY4851">
            <v>230.88</v>
          </cell>
        </row>
        <row r="4852">
          <cell r="BT4852">
            <v>-0.52</v>
          </cell>
          <cell r="BY4852">
            <v>7.0000000000000007E-2</v>
          </cell>
        </row>
        <row r="4853">
          <cell r="BT4853">
            <v>1.87</v>
          </cell>
          <cell r="BY4853">
            <v>0.24</v>
          </cell>
        </row>
        <row r="4854">
          <cell r="BT4854">
            <v>14.84</v>
          </cell>
          <cell r="BY4854">
            <v>1.93</v>
          </cell>
        </row>
        <row r="4855">
          <cell r="BT4855">
            <v>2.3199999999999998</v>
          </cell>
          <cell r="BY4855">
            <v>0.3</v>
          </cell>
        </row>
        <row r="4856">
          <cell r="BT4856">
            <v>8.06</v>
          </cell>
          <cell r="BY4856">
            <v>1.05</v>
          </cell>
        </row>
        <row r="4857">
          <cell r="BT4857">
            <v>0.8</v>
          </cell>
          <cell r="BY4857">
            <v>0.1</v>
          </cell>
        </row>
        <row r="4858">
          <cell r="BT4858">
            <v>165</v>
          </cell>
          <cell r="BY4858">
            <v>21.62</v>
          </cell>
        </row>
        <row r="4859">
          <cell r="BT4859">
            <v>11625</v>
          </cell>
          <cell r="BY4859">
            <v>1514.27</v>
          </cell>
        </row>
        <row r="4860">
          <cell r="BT4860">
            <v>-19387.73</v>
          </cell>
          <cell r="BY4860">
            <v>2525.4499999999998</v>
          </cell>
        </row>
        <row r="4861">
          <cell r="BT4861">
            <v>19387.73</v>
          </cell>
          <cell r="BY4861">
            <v>2525.4499999999998</v>
          </cell>
        </row>
        <row r="4862">
          <cell r="BT4862">
            <v>809.71</v>
          </cell>
          <cell r="BY4862">
            <v>105.47</v>
          </cell>
        </row>
        <row r="4863">
          <cell r="BT4863">
            <v>6.84</v>
          </cell>
          <cell r="BY4863">
            <v>0.9</v>
          </cell>
        </row>
        <row r="4864">
          <cell r="BT4864">
            <v>4464.67</v>
          </cell>
          <cell r="BY4864">
            <v>0</v>
          </cell>
        </row>
        <row r="4865">
          <cell r="BT4865">
            <v>930.26</v>
          </cell>
          <cell r="BY4865">
            <v>0</v>
          </cell>
        </row>
        <row r="4866">
          <cell r="BT4866">
            <v>510.03</v>
          </cell>
          <cell r="BY4866">
            <v>0</v>
          </cell>
        </row>
        <row r="4867">
          <cell r="BT4867">
            <v>2761.23</v>
          </cell>
          <cell r="BY4867">
            <v>359.68</v>
          </cell>
        </row>
        <row r="4868">
          <cell r="BT4868">
            <v>3683.64</v>
          </cell>
          <cell r="BY4868">
            <v>479.83</v>
          </cell>
        </row>
        <row r="4869">
          <cell r="BT4869">
            <v>488.51</v>
          </cell>
          <cell r="BY4869">
            <v>63.63</v>
          </cell>
        </row>
        <row r="4870">
          <cell r="BT4870">
            <v>-2895.37</v>
          </cell>
          <cell r="BY4870">
            <v>377.15</v>
          </cell>
        </row>
        <row r="4871">
          <cell r="BT4871">
            <v>-25171</v>
          </cell>
          <cell r="BY4871">
            <v>3278.78</v>
          </cell>
        </row>
        <row r="4872">
          <cell r="BT4872">
            <v>-50363.25</v>
          </cell>
          <cell r="BY4872">
            <v>6560.32</v>
          </cell>
        </row>
        <row r="4873">
          <cell r="BT4873">
            <v>-57743.66</v>
          </cell>
          <cell r="BY4873">
            <v>7521.69</v>
          </cell>
        </row>
        <row r="4874">
          <cell r="BT4874">
            <v>-119107.3</v>
          </cell>
          <cell r="BY4874">
            <v>15514.92</v>
          </cell>
        </row>
        <row r="4875">
          <cell r="BT4875">
            <v>-29136.57</v>
          </cell>
          <cell r="BY4875">
            <v>3795.33</v>
          </cell>
        </row>
        <row r="4876">
          <cell r="BT4876">
            <v>1398.16</v>
          </cell>
          <cell r="BY4876">
            <v>182.12</v>
          </cell>
        </row>
        <row r="4877">
          <cell r="BT4877">
            <v>164.82</v>
          </cell>
          <cell r="BY4877">
            <v>21.47</v>
          </cell>
        </row>
        <row r="4878">
          <cell r="BT4878">
            <v>29136.57</v>
          </cell>
          <cell r="BY4878">
            <v>3795.33</v>
          </cell>
        </row>
        <row r="4879">
          <cell r="BT4879">
            <v>57743.66</v>
          </cell>
          <cell r="BY4879">
            <v>7521.69</v>
          </cell>
        </row>
        <row r="4880">
          <cell r="BT4880">
            <v>50363.25</v>
          </cell>
          <cell r="BY4880">
            <v>6560.32</v>
          </cell>
        </row>
        <row r="4881">
          <cell r="BT4881">
            <v>25171</v>
          </cell>
          <cell r="BY4881">
            <v>3278.77</v>
          </cell>
        </row>
        <row r="4882">
          <cell r="BT4882">
            <v>1582.54</v>
          </cell>
          <cell r="BY4882">
            <v>206.14</v>
          </cell>
        </row>
        <row r="4883">
          <cell r="BT4883">
            <v>2895.37</v>
          </cell>
          <cell r="BY4883">
            <v>377.15</v>
          </cell>
        </row>
        <row r="4884">
          <cell r="BT4884">
            <v>50363.25</v>
          </cell>
          <cell r="BY4884">
            <v>6560.32</v>
          </cell>
        </row>
        <row r="4885">
          <cell r="BT4885">
            <v>57743.66</v>
          </cell>
          <cell r="BY4885">
            <v>7521.69</v>
          </cell>
        </row>
        <row r="4886">
          <cell r="BT4886">
            <v>119107.3</v>
          </cell>
          <cell r="BY4886">
            <v>15514.92</v>
          </cell>
        </row>
        <row r="4887">
          <cell r="BT4887">
            <v>29136.57</v>
          </cell>
          <cell r="BY4887">
            <v>3795.33</v>
          </cell>
        </row>
        <row r="4888">
          <cell r="BT4888">
            <v>2895.37</v>
          </cell>
          <cell r="BY4888">
            <v>377.15</v>
          </cell>
        </row>
        <row r="4889">
          <cell r="BT4889">
            <v>25171</v>
          </cell>
          <cell r="BY4889">
            <v>3278.78</v>
          </cell>
        </row>
        <row r="4890">
          <cell r="BT4890">
            <v>119107.3</v>
          </cell>
          <cell r="BY4890">
            <v>15514.92</v>
          </cell>
        </row>
        <row r="4891">
          <cell r="BT4891">
            <v>-2761.23</v>
          </cell>
          <cell r="BY4891">
            <v>359.68</v>
          </cell>
        </row>
        <row r="4892">
          <cell r="BT4892">
            <v>-3683.64</v>
          </cell>
          <cell r="BY4892">
            <v>479.83</v>
          </cell>
        </row>
        <row r="4893">
          <cell r="BT4893">
            <v>-488.51</v>
          </cell>
          <cell r="BY4893">
            <v>63.63</v>
          </cell>
        </row>
        <row r="4894">
          <cell r="BT4894">
            <v>-1398.16</v>
          </cell>
          <cell r="BY4894">
            <v>182.12</v>
          </cell>
        </row>
        <row r="4895">
          <cell r="BT4895">
            <v>-164.82</v>
          </cell>
          <cell r="BY4895">
            <v>21.47</v>
          </cell>
        </row>
        <row r="4896">
          <cell r="BT4896">
            <v>-29136.57</v>
          </cell>
          <cell r="BY4896">
            <v>3795.33</v>
          </cell>
        </row>
        <row r="4897">
          <cell r="BT4897">
            <v>-57743.66</v>
          </cell>
          <cell r="BY4897">
            <v>7521.69</v>
          </cell>
        </row>
        <row r="4898">
          <cell r="BT4898">
            <v>-50363.25</v>
          </cell>
          <cell r="BY4898">
            <v>6560.32</v>
          </cell>
        </row>
        <row r="4899">
          <cell r="BT4899">
            <v>-25171</v>
          </cell>
          <cell r="BY4899">
            <v>3278.77</v>
          </cell>
        </row>
        <row r="4900">
          <cell r="BT4900">
            <v>-1582.54</v>
          </cell>
          <cell r="BY4900">
            <v>206.14</v>
          </cell>
        </row>
        <row r="4901">
          <cell r="BT4901">
            <v>-2895.37</v>
          </cell>
          <cell r="BY4901">
            <v>377.15</v>
          </cell>
        </row>
        <row r="4902">
          <cell r="BT4902">
            <v>-119107.3</v>
          </cell>
          <cell r="BY4902">
            <v>15514.92</v>
          </cell>
        </row>
        <row r="4903">
          <cell r="BT4903">
            <v>-0.02</v>
          </cell>
          <cell r="BY4903">
            <v>0</v>
          </cell>
        </row>
        <row r="4904">
          <cell r="BT4904">
            <v>-5730</v>
          </cell>
          <cell r="BY4904">
            <v>746.39</v>
          </cell>
        </row>
        <row r="4905">
          <cell r="BT4905">
            <v>-0.02</v>
          </cell>
          <cell r="BY4905">
            <v>0</v>
          </cell>
        </row>
        <row r="4906">
          <cell r="BT4906">
            <v>-0.04</v>
          </cell>
          <cell r="BY4906">
            <v>0.01</v>
          </cell>
        </row>
        <row r="4907">
          <cell r="BT4907">
            <v>-2.64</v>
          </cell>
          <cell r="BY4907">
            <v>0.34</v>
          </cell>
        </row>
        <row r="4908">
          <cell r="BT4908">
            <v>-0.02</v>
          </cell>
          <cell r="BY4908">
            <v>0</v>
          </cell>
        </row>
        <row r="4909">
          <cell r="BT4909">
            <v>-2.27</v>
          </cell>
          <cell r="BY4909">
            <v>0.3</v>
          </cell>
        </row>
        <row r="4910">
          <cell r="BT4910">
            <v>-1.07</v>
          </cell>
          <cell r="BY4910">
            <v>0.14000000000000001</v>
          </cell>
        </row>
        <row r="4911">
          <cell r="BT4911">
            <v>-0.06</v>
          </cell>
          <cell r="BY4911">
            <v>0.01</v>
          </cell>
        </row>
        <row r="4912">
          <cell r="BT4912">
            <v>-7.0000000000000007E-2</v>
          </cell>
          <cell r="BY4912">
            <v>0.01</v>
          </cell>
        </row>
        <row r="4913">
          <cell r="BT4913">
            <v>-0.03</v>
          </cell>
          <cell r="BY4913">
            <v>0</v>
          </cell>
        </row>
        <row r="4914">
          <cell r="BT4914">
            <v>-1037.6199999999999</v>
          </cell>
          <cell r="BY4914">
            <v>135.16</v>
          </cell>
        </row>
        <row r="4915">
          <cell r="BT4915">
            <v>1208.81</v>
          </cell>
          <cell r="BY4915">
            <v>157.46</v>
          </cell>
        </row>
        <row r="4916">
          <cell r="BT4916">
            <v>-1208.81</v>
          </cell>
          <cell r="BY4916">
            <v>157.46</v>
          </cell>
        </row>
        <row r="4917">
          <cell r="BT4917">
            <v>382.01</v>
          </cell>
          <cell r="BY4917">
            <v>49.76</v>
          </cell>
        </row>
        <row r="4918">
          <cell r="BT4918">
            <v>826.8</v>
          </cell>
          <cell r="BY4918">
            <v>107.7</v>
          </cell>
        </row>
        <row r="4919">
          <cell r="BT4919">
            <v>2336.9299999999998</v>
          </cell>
          <cell r="BY4919">
            <v>304.41000000000003</v>
          </cell>
        </row>
        <row r="4920">
          <cell r="BT4920">
            <v>535.5</v>
          </cell>
          <cell r="BY4920">
            <v>69.75</v>
          </cell>
        </row>
        <row r="4921">
          <cell r="BT4921">
            <v>1723.37</v>
          </cell>
          <cell r="BY4921">
            <v>224.49</v>
          </cell>
        </row>
        <row r="4922">
          <cell r="BT4922">
            <v>20738.599999999999</v>
          </cell>
          <cell r="BY4922">
            <v>2701.41</v>
          </cell>
        </row>
        <row r="4923">
          <cell r="BT4923">
            <v>1300.07</v>
          </cell>
          <cell r="BY4923">
            <v>169.35</v>
          </cell>
        </row>
        <row r="4924">
          <cell r="BT4924">
            <v>-1.02</v>
          </cell>
          <cell r="BY4924">
            <v>0.13</v>
          </cell>
        </row>
        <row r="4925">
          <cell r="BT4925">
            <v>38.409999999999997</v>
          </cell>
          <cell r="BY4925">
            <v>5.0199999999999996</v>
          </cell>
        </row>
        <row r="4926">
          <cell r="BT4926">
            <v>776.22</v>
          </cell>
          <cell r="BY4926">
            <v>101.11</v>
          </cell>
        </row>
        <row r="4927">
          <cell r="BT4927">
            <v>781.32</v>
          </cell>
          <cell r="BY4927">
            <v>101.77</v>
          </cell>
        </row>
        <row r="4928">
          <cell r="BT4928">
            <v>1052.6500000000001</v>
          </cell>
          <cell r="BY4928">
            <v>137.12</v>
          </cell>
        </row>
        <row r="4929">
          <cell r="BT4929">
            <v>769.61</v>
          </cell>
          <cell r="BY4929">
            <v>100.25</v>
          </cell>
        </row>
        <row r="4930">
          <cell r="BT4930">
            <v>628.13</v>
          </cell>
          <cell r="BY4930">
            <v>81.819999999999993</v>
          </cell>
        </row>
        <row r="4931">
          <cell r="BT4931">
            <v>762.26</v>
          </cell>
          <cell r="BY4931">
            <v>99.29</v>
          </cell>
        </row>
        <row r="4932">
          <cell r="BT4932">
            <v>513.46</v>
          </cell>
          <cell r="BY4932">
            <v>66.88</v>
          </cell>
        </row>
        <row r="4933">
          <cell r="BT4933">
            <v>628.13</v>
          </cell>
          <cell r="BY4933">
            <v>81.819999999999993</v>
          </cell>
        </row>
        <row r="4934">
          <cell r="BT4934">
            <v>762.26</v>
          </cell>
          <cell r="BY4934">
            <v>99.29</v>
          </cell>
        </row>
        <row r="4935">
          <cell r="BT4935">
            <v>781.32</v>
          </cell>
          <cell r="BY4935">
            <v>101.77</v>
          </cell>
        </row>
        <row r="4936">
          <cell r="BT4936">
            <v>1262</v>
          </cell>
          <cell r="BY4936">
            <v>164.39</v>
          </cell>
        </row>
        <row r="4937">
          <cell r="BT4937">
            <v>-20738.599999999999</v>
          </cell>
          <cell r="BY4937">
            <v>2701.41</v>
          </cell>
        </row>
        <row r="4938">
          <cell r="BT4938">
            <v>200</v>
          </cell>
          <cell r="BY4938">
            <v>26.05</v>
          </cell>
        </row>
        <row r="4939">
          <cell r="BT4939">
            <v>-200</v>
          </cell>
          <cell r="BY4939">
            <v>26.05</v>
          </cell>
        </row>
        <row r="4940">
          <cell r="BT4940">
            <v>628.13</v>
          </cell>
          <cell r="BY4940">
            <v>81.819999999999993</v>
          </cell>
        </row>
        <row r="4941">
          <cell r="BT4941">
            <v>536.21</v>
          </cell>
          <cell r="BY4941">
            <v>69.849999999999994</v>
          </cell>
        </row>
        <row r="4942">
          <cell r="BT4942">
            <v>535.5</v>
          </cell>
          <cell r="BY4942">
            <v>69.75</v>
          </cell>
        </row>
        <row r="4943">
          <cell r="BT4943">
            <v>171.45</v>
          </cell>
          <cell r="BY4943">
            <v>22.4</v>
          </cell>
        </row>
        <row r="4944">
          <cell r="BT4944">
            <v>535.5</v>
          </cell>
          <cell r="BY4944">
            <v>69.959999999999994</v>
          </cell>
        </row>
        <row r="4945">
          <cell r="BT4945">
            <v>2050.29</v>
          </cell>
          <cell r="BY4945">
            <v>267.07</v>
          </cell>
        </row>
        <row r="4946">
          <cell r="BT4946">
            <v>2375.34</v>
          </cell>
          <cell r="BY4946">
            <v>309.41000000000003</v>
          </cell>
        </row>
        <row r="4947">
          <cell r="BT4947">
            <v>90288.03</v>
          </cell>
          <cell r="BY4947">
            <v>11760.92</v>
          </cell>
        </row>
        <row r="4948">
          <cell r="BT4948">
            <v>2690.83</v>
          </cell>
          <cell r="BY4948">
            <v>350.5</v>
          </cell>
        </row>
        <row r="4949">
          <cell r="BT4949">
            <v>2207.17</v>
          </cell>
          <cell r="BY4949">
            <v>287.5</v>
          </cell>
        </row>
        <row r="4950">
          <cell r="BT4950">
            <v>2207.17</v>
          </cell>
          <cell r="BY4950">
            <v>287.5</v>
          </cell>
        </row>
        <row r="4951">
          <cell r="BT4951">
            <v>12450.77</v>
          </cell>
          <cell r="BY4951">
            <v>1621.8</v>
          </cell>
        </row>
        <row r="4952">
          <cell r="BT4952">
            <v>5331.77</v>
          </cell>
          <cell r="BY4952">
            <v>694.5</v>
          </cell>
        </row>
        <row r="4953">
          <cell r="BT4953">
            <v>2918.06</v>
          </cell>
          <cell r="BY4953">
            <v>381.6</v>
          </cell>
        </row>
        <row r="4954">
          <cell r="BT4954">
            <v>5331.77</v>
          </cell>
          <cell r="BY4954">
            <v>694.5</v>
          </cell>
        </row>
        <row r="4955">
          <cell r="BT4955">
            <v>135.72</v>
          </cell>
          <cell r="BY4955">
            <v>17.68</v>
          </cell>
        </row>
        <row r="4956">
          <cell r="BT4956">
            <v>542.29999999999995</v>
          </cell>
          <cell r="BY4956">
            <v>70.64</v>
          </cell>
        </row>
        <row r="4957">
          <cell r="BT4957">
            <v>380</v>
          </cell>
          <cell r="BY4957">
            <v>49.5</v>
          </cell>
        </row>
        <row r="4958">
          <cell r="BT4958">
            <v>291.43</v>
          </cell>
          <cell r="BY4958">
            <v>37.96</v>
          </cell>
        </row>
        <row r="4959">
          <cell r="BT4959">
            <v>2237.71</v>
          </cell>
          <cell r="BY4959">
            <v>291.48</v>
          </cell>
        </row>
        <row r="4960">
          <cell r="BT4960">
            <v>1086.75</v>
          </cell>
          <cell r="BY4960">
            <v>142</v>
          </cell>
        </row>
        <row r="4961">
          <cell r="BT4961">
            <v>1336.02</v>
          </cell>
          <cell r="BY4961">
            <v>174.57</v>
          </cell>
        </row>
        <row r="4962">
          <cell r="BT4962">
            <v>1336.63</v>
          </cell>
          <cell r="BY4962">
            <v>174.65</v>
          </cell>
        </row>
        <row r="4963">
          <cell r="BT4963">
            <v>3236.99</v>
          </cell>
          <cell r="BY4963">
            <v>422.96</v>
          </cell>
        </row>
        <row r="4964">
          <cell r="BT4964">
            <v>-1336.02</v>
          </cell>
          <cell r="BY4964">
            <v>174.57</v>
          </cell>
        </row>
        <row r="4965">
          <cell r="BT4965">
            <v>-3236.99</v>
          </cell>
          <cell r="BY4965">
            <v>422.96</v>
          </cell>
        </row>
        <row r="4966">
          <cell r="BT4966">
            <v>-1086.75</v>
          </cell>
          <cell r="BY4966">
            <v>142</v>
          </cell>
        </row>
        <row r="4967">
          <cell r="BT4967">
            <v>-1336.63</v>
          </cell>
          <cell r="BY4967">
            <v>174.65</v>
          </cell>
        </row>
        <row r="4968">
          <cell r="BT4968">
            <v>76.5</v>
          </cell>
          <cell r="BY4968">
            <v>9.9600000000000009</v>
          </cell>
        </row>
        <row r="4969">
          <cell r="BT4969">
            <v>3337.69</v>
          </cell>
          <cell r="BY4969">
            <v>434.77</v>
          </cell>
        </row>
        <row r="4970">
          <cell r="BT4970">
            <v>460.8</v>
          </cell>
          <cell r="BY4970">
            <v>60.02</v>
          </cell>
        </row>
        <row r="4971">
          <cell r="BT4971">
            <v>1947.49</v>
          </cell>
          <cell r="BY4971">
            <v>253.68</v>
          </cell>
        </row>
        <row r="4972">
          <cell r="BT4972">
            <v>2142.7199999999998</v>
          </cell>
          <cell r="BY4972">
            <v>279.11</v>
          </cell>
        </row>
        <row r="4973">
          <cell r="BT4973">
            <v>114.75</v>
          </cell>
          <cell r="BY4973">
            <v>14.95</v>
          </cell>
        </row>
        <row r="4974">
          <cell r="BT4974">
            <v>2155.2199999999998</v>
          </cell>
          <cell r="BY4974">
            <v>280.74</v>
          </cell>
        </row>
        <row r="4975">
          <cell r="BT4975">
            <v>-2690.83</v>
          </cell>
          <cell r="BY4975">
            <v>350.5</v>
          </cell>
        </row>
        <row r="4976">
          <cell r="BT4976">
            <v>-2207.17</v>
          </cell>
          <cell r="BY4976">
            <v>287.5</v>
          </cell>
        </row>
        <row r="4977">
          <cell r="BT4977">
            <v>-2207.17</v>
          </cell>
          <cell r="BY4977">
            <v>287.5</v>
          </cell>
        </row>
        <row r="4978">
          <cell r="BT4978">
            <v>-12450.77</v>
          </cell>
          <cell r="BY4978">
            <v>1621.8</v>
          </cell>
        </row>
        <row r="4979">
          <cell r="BT4979">
            <v>-5331.77</v>
          </cell>
          <cell r="BY4979">
            <v>694.5</v>
          </cell>
        </row>
        <row r="4980">
          <cell r="BT4980">
            <v>-2918.06</v>
          </cell>
          <cell r="BY4980">
            <v>381.6</v>
          </cell>
        </row>
        <row r="4981">
          <cell r="BT4981">
            <v>-5331.77</v>
          </cell>
          <cell r="BY4981">
            <v>694.5</v>
          </cell>
        </row>
        <row r="4982">
          <cell r="BT4982">
            <v>-90288.03</v>
          </cell>
          <cell r="BY4982">
            <v>11760.92</v>
          </cell>
        </row>
        <row r="4983">
          <cell r="BT4983">
            <v>7647.69</v>
          </cell>
          <cell r="BY4983">
            <v>1000</v>
          </cell>
        </row>
        <row r="4984">
          <cell r="BT4984">
            <v>76.48</v>
          </cell>
          <cell r="BY4984">
            <v>10</v>
          </cell>
        </row>
        <row r="4985">
          <cell r="BT4985">
            <v>764.77</v>
          </cell>
          <cell r="BY4985">
            <v>100</v>
          </cell>
        </row>
        <row r="4986">
          <cell r="BT4986">
            <v>6.79</v>
          </cell>
          <cell r="BY4986">
            <v>0.89</v>
          </cell>
        </row>
        <row r="4987">
          <cell r="BT4987">
            <v>826.8</v>
          </cell>
          <cell r="BY4987">
            <v>107.7</v>
          </cell>
        </row>
        <row r="4988">
          <cell r="BT4988">
            <v>1361.6</v>
          </cell>
          <cell r="BY4988">
            <v>177.36</v>
          </cell>
        </row>
        <row r="4989">
          <cell r="BT4989">
            <v>-1361.6</v>
          </cell>
          <cell r="BY4989">
            <v>177.36</v>
          </cell>
        </row>
        <row r="4990">
          <cell r="BT4990">
            <v>534.79999999999995</v>
          </cell>
          <cell r="BY4990">
            <v>69.66</v>
          </cell>
        </row>
        <row r="4991">
          <cell r="BT4991">
            <v>-2.09</v>
          </cell>
          <cell r="BY4991">
            <v>0.27</v>
          </cell>
        </row>
        <row r="4992">
          <cell r="BT4992">
            <v>2336.9299999999998</v>
          </cell>
          <cell r="BY4992">
            <v>305.33999999999997</v>
          </cell>
        </row>
        <row r="4993">
          <cell r="BT4993">
            <v>778.27</v>
          </cell>
          <cell r="BY4993">
            <v>101.38</v>
          </cell>
        </row>
        <row r="4994">
          <cell r="BT4994">
            <v>928.43</v>
          </cell>
          <cell r="BY4994">
            <v>120.94</v>
          </cell>
        </row>
        <row r="4995">
          <cell r="BT4995">
            <v>24629.5</v>
          </cell>
          <cell r="BY4995">
            <v>3208.24</v>
          </cell>
        </row>
        <row r="4996">
          <cell r="BT4996">
            <v>-0.17</v>
          </cell>
          <cell r="BY4996">
            <v>0.02</v>
          </cell>
        </row>
        <row r="4997">
          <cell r="BT4997">
            <v>0.4</v>
          </cell>
          <cell r="BY4997">
            <v>0.05</v>
          </cell>
        </row>
        <row r="4998">
          <cell r="BT4998">
            <v>1434.79</v>
          </cell>
          <cell r="BY4998">
            <v>186.9</v>
          </cell>
        </row>
        <row r="4999">
          <cell r="BT4999">
            <v>684.91</v>
          </cell>
          <cell r="BY4999">
            <v>89.22</v>
          </cell>
        </row>
        <row r="5000">
          <cell r="BT5000">
            <v>7588.47</v>
          </cell>
          <cell r="BY5000">
            <v>988.47</v>
          </cell>
        </row>
        <row r="5001">
          <cell r="BT5001">
            <v>625.27</v>
          </cell>
          <cell r="BY5001">
            <v>81.45</v>
          </cell>
        </row>
        <row r="5002">
          <cell r="BT5002">
            <v>809.1</v>
          </cell>
          <cell r="BY5002">
            <v>105.39</v>
          </cell>
        </row>
        <row r="5003">
          <cell r="BT5003">
            <v>628.13</v>
          </cell>
          <cell r="BY5003">
            <v>81.819999999999993</v>
          </cell>
        </row>
        <row r="5004">
          <cell r="BT5004">
            <v>799.33</v>
          </cell>
          <cell r="BY5004">
            <v>104.12</v>
          </cell>
        </row>
        <row r="5005">
          <cell r="BT5005">
            <v>1363.12</v>
          </cell>
          <cell r="BY5005">
            <v>177.56</v>
          </cell>
        </row>
        <row r="5006">
          <cell r="BT5006">
            <v>-24629.5</v>
          </cell>
          <cell r="BY5006">
            <v>3208.24</v>
          </cell>
        </row>
        <row r="5007">
          <cell r="BT5007">
            <v>1615.96</v>
          </cell>
          <cell r="BY5007">
            <v>210.49</v>
          </cell>
        </row>
        <row r="5008">
          <cell r="BT5008">
            <v>806.06</v>
          </cell>
          <cell r="BY5008">
            <v>105</v>
          </cell>
        </row>
        <row r="5009">
          <cell r="BT5009">
            <v>928.43</v>
          </cell>
          <cell r="BY5009">
            <v>120.94</v>
          </cell>
        </row>
        <row r="5010">
          <cell r="BT5010">
            <v>627.32000000000005</v>
          </cell>
          <cell r="BY5010">
            <v>82.04</v>
          </cell>
        </row>
        <row r="5011">
          <cell r="BT5011">
            <v>532.71</v>
          </cell>
          <cell r="BY5011">
            <v>69.39</v>
          </cell>
        </row>
        <row r="5012">
          <cell r="BT5012">
            <v>4752.38</v>
          </cell>
          <cell r="BY5012">
            <v>619.04999999999995</v>
          </cell>
        </row>
        <row r="5013">
          <cell r="BT5013">
            <v>684.91</v>
          </cell>
          <cell r="BY5013">
            <v>89.22</v>
          </cell>
        </row>
        <row r="5014">
          <cell r="BT5014">
            <v>117276.4</v>
          </cell>
          <cell r="BY5014">
            <v>15276.42</v>
          </cell>
        </row>
        <row r="5015">
          <cell r="BT5015">
            <v>135.72</v>
          </cell>
          <cell r="BY5015">
            <v>17.68</v>
          </cell>
        </row>
        <row r="5016">
          <cell r="BT5016">
            <v>468.35</v>
          </cell>
          <cell r="BY5016">
            <v>61.01</v>
          </cell>
        </row>
        <row r="5017">
          <cell r="BT5017">
            <v>380</v>
          </cell>
          <cell r="BY5017">
            <v>49.5</v>
          </cell>
        </row>
        <row r="5018">
          <cell r="BT5018">
            <v>291.43</v>
          </cell>
          <cell r="BY5018">
            <v>37.96</v>
          </cell>
        </row>
        <row r="5019">
          <cell r="BT5019">
            <v>2377.56</v>
          </cell>
          <cell r="BY5019">
            <v>309.7</v>
          </cell>
        </row>
        <row r="5020">
          <cell r="BT5020">
            <v>-3236.99</v>
          </cell>
          <cell r="BY5020">
            <v>422.96</v>
          </cell>
        </row>
        <row r="5021">
          <cell r="BT5021">
            <v>-1086.75</v>
          </cell>
          <cell r="BY5021">
            <v>142</v>
          </cell>
        </row>
        <row r="5022">
          <cell r="BT5022">
            <v>-2627.8</v>
          </cell>
          <cell r="BY5022">
            <v>343.36</v>
          </cell>
        </row>
        <row r="5023">
          <cell r="BT5023">
            <v>3236.99</v>
          </cell>
          <cell r="BY5023">
            <v>422.96</v>
          </cell>
        </row>
        <row r="5024">
          <cell r="BT5024">
            <v>1086.75</v>
          </cell>
          <cell r="BY5024">
            <v>142</v>
          </cell>
        </row>
        <row r="5025">
          <cell r="BT5025">
            <v>2627.8</v>
          </cell>
          <cell r="BY5025">
            <v>343.36</v>
          </cell>
        </row>
        <row r="5026">
          <cell r="BT5026">
            <v>2880.44</v>
          </cell>
          <cell r="BY5026">
            <v>375.21</v>
          </cell>
        </row>
        <row r="5027">
          <cell r="BT5027">
            <v>229.5</v>
          </cell>
          <cell r="BY5027">
            <v>29.89</v>
          </cell>
        </row>
        <row r="5028">
          <cell r="BT5028">
            <v>-117276.4</v>
          </cell>
          <cell r="BY5028">
            <v>15276.42</v>
          </cell>
        </row>
        <row r="5029">
          <cell r="BT5029">
            <v>751.63</v>
          </cell>
          <cell r="BY5029">
            <v>97.91</v>
          </cell>
        </row>
        <row r="5030">
          <cell r="BT5030">
            <v>382.01</v>
          </cell>
          <cell r="BY5030">
            <v>49.76</v>
          </cell>
        </row>
        <row r="5031">
          <cell r="BT5031">
            <v>1133.6400000000001</v>
          </cell>
          <cell r="BY5031">
            <v>147.66999999999999</v>
          </cell>
        </row>
        <row r="5032">
          <cell r="BT5032">
            <v>-1133.6400000000001</v>
          </cell>
          <cell r="BY5032">
            <v>147.66999999999999</v>
          </cell>
        </row>
        <row r="5033">
          <cell r="BT5033">
            <v>1260.6199999999999</v>
          </cell>
          <cell r="BY5033">
            <v>164.21</v>
          </cell>
        </row>
        <row r="5034">
          <cell r="BT5034">
            <v>4967.1400000000003</v>
          </cell>
          <cell r="BY5034">
            <v>647.02</v>
          </cell>
        </row>
        <row r="5035">
          <cell r="BT5035">
            <v>776.22</v>
          </cell>
          <cell r="BY5035">
            <v>101.11</v>
          </cell>
        </row>
        <row r="5036">
          <cell r="BT5036">
            <v>-4967.1400000000003</v>
          </cell>
          <cell r="BY5036">
            <v>647.02</v>
          </cell>
        </row>
        <row r="5037">
          <cell r="BT5037">
            <v>776.22</v>
          </cell>
          <cell r="BY5037">
            <v>101.11</v>
          </cell>
        </row>
        <row r="5038">
          <cell r="BT5038">
            <v>627.29999999999995</v>
          </cell>
          <cell r="BY5038">
            <v>81.709999999999994</v>
          </cell>
        </row>
        <row r="5039">
          <cell r="BT5039">
            <v>750.93</v>
          </cell>
          <cell r="BY5039">
            <v>97.82</v>
          </cell>
        </row>
        <row r="5040">
          <cell r="BT5040">
            <v>10302.25</v>
          </cell>
          <cell r="BY5040">
            <v>1341.97</v>
          </cell>
        </row>
        <row r="5041">
          <cell r="BT5041">
            <v>4526.4399999999996</v>
          </cell>
          <cell r="BY5041">
            <v>589.6</v>
          </cell>
        </row>
        <row r="5042">
          <cell r="BT5042">
            <v>6694.22</v>
          </cell>
          <cell r="BY5042">
            <v>875.4</v>
          </cell>
        </row>
        <row r="5043">
          <cell r="BT5043">
            <v>-6694.22</v>
          </cell>
          <cell r="BY5043">
            <v>875.4</v>
          </cell>
        </row>
        <row r="5044">
          <cell r="BT5044">
            <v>6694.2</v>
          </cell>
          <cell r="BY5044">
            <v>875.39</v>
          </cell>
        </row>
        <row r="5045">
          <cell r="BT5045">
            <v>6355.2</v>
          </cell>
          <cell r="BY5045">
            <v>827.81</v>
          </cell>
        </row>
        <row r="5046">
          <cell r="BT5046">
            <v>135.71</v>
          </cell>
          <cell r="BY5046">
            <v>17.68</v>
          </cell>
        </row>
        <row r="5047">
          <cell r="BT5047">
            <v>380</v>
          </cell>
          <cell r="BY5047">
            <v>49.5</v>
          </cell>
        </row>
        <row r="5048">
          <cell r="BT5048">
            <v>291.43</v>
          </cell>
          <cell r="BY5048">
            <v>37.96</v>
          </cell>
        </row>
        <row r="5049">
          <cell r="BT5049">
            <v>1398.57</v>
          </cell>
          <cell r="BY5049">
            <v>182.18</v>
          </cell>
        </row>
        <row r="5050">
          <cell r="BT5050">
            <v>2601.0100000000002</v>
          </cell>
          <cell r="BY5050">
            <v>339.86</v>
          </cell>
        </row>
        <row r="5051">
          <cell r="BT5051">
            <v>2601.0100000000002</v>
          </cell>
          <cell r="BY5051">
            <v>339.86</v>
          </cell>
        </row>
        <row r="5052">
          <cell r="BT5052">
            <v>4751.25</v>
          </cell>
          <cell r="BY5052">
            <v>620.82000000000005</v>
          </cell>
        </row>
        <row r="5053">
          <cell r="BT5053">
            <v>-2601.0100000000002</v>
          </cell>
          <cell r="BY5053">
            <v>339.86</v>
          </cell>
        </row>
        <row r="5054">
          <cell r="BT5054">
            <v>-4751.25</v>
          </cell>
          <cell r="BY5054">
            <v>620.82000000000005</v>
          </cell>
        </row>
        <row r="5055">
          <cell r="BT5055">
            <v>-2601.0100000000002</v>
          </cell>
          <cell r="BY5055">
            <v>339.86</v>
          </cell>
        </row>
        <row r="5056">
          <cell r="BT5056">
            <v>114.75</v>
          </cell>
          <cell r="BY5056">
            <v>14.95</v>
          </cell>
        </row>
        <row r="5057">
          <cell r="BT5057">
            <v>2155.23</v>
          </cell>
          <cell r="BY5057">
            <v>280.74</v>
          </cell>
        </row>
        <row r="5058">
          <cell r="BT5058">
            <v>0.01</v>
          </cell>
          <cell r="BY5058">
            <v>0</v>
          </cell>
        </row>
        <row r="5059">
          <cell r="BT5059">
            <v>-4526.4399999999996</v>
          </cell>
          <cell r="BY5059">
            <v>589.6</v>
          </cell>
        </row>
        <row r="5060">
          <cell r="BT5060">
            <v>-6694.22</v>
          </cell>
          <cell r="BY5060">
            <v>875.4</v>
          </cell>
        </row>
        <row r="5061">
          <cell r="BT5061">
            <v>6694.22</v>
          </cell>
          <cell r="BY5061">
            <v>875.4</v>
          </cell>
        </row>
        <row r="5062">
          <cell r="BT5062">
            <v>-6694.2</v>
          </cell>
          <cell r="BY5062">
            <v>875.39</v>
          </cell>
        </row>
        <row r="5063">
          <cell r="BT5063">
            <v>-6355.2</v>
          </cell>
          <cell r="BY5063">
            <v>827.81</v>
          </cell>
        </row>
        <row r="5064">
          <cell r="BT5064">
            <v>-10302.25</v>
          </cell>
          <cell r="BY5064">
            <v>1341.97</v>
          </cell>
        </row>
        <row r="5065">
          <cell r="BT5065">
            <v>29.76</v>
          </cell>
          <cell r="BY5065">
            <v>3.9</v>
          </cell>
        </row>
        <row r="5066">
          <cell r="BT5066">
            <v>-3.9</v>
          </cell>
          <cell r="BY5066">
            <v>0.51</v>
          </cell>
        </row>
        <row r="5067">
          <cell r="BT5067">
            <v>3.9</v>
          </cell>
          <cell r="BY5067">
            <v>0.51</v>
          </cell>
        </row>
        <row r="5068">
          <cell r="BT5068">
            <v>122.11</v>
          </cell>
          <cell r="BY5068">
            <v>16</v>
          </cell>
        </row>
        <row r="5069">
          <cell r="BT5069">
            <v>381.51</v>
          </cell>
          <cell r="BY5069">
            <v>49.7</v>
          </cell>
        </row>
        <row r="5070">
          <cell r="BT5070">
            <v>2701.1</v>
          </cell>
          <cell r="BY5070">
            <v>351.85</v>
          </cell>
        </row>
        <row r="5071">
          <cell r="BT5071">
            <v>-2701.1</v>
          </cell>
          <cell r="BY5071">
            <v>351.85</v>
          </cell>
        </row>
        <row r="5072">
          <cell r="BT5072">
            <v>535.5</v>
          </cell>
          <cell r="BY5072">
            <v>69.75</v>
          </cell>
        </row>
        <row r="5073">
          <cell r="BT5073">
            <v>1002.69</v>
          </cell>
          <cell r="BY5073">
            <v>130.61000000000001</v>
          </cell>
        </row>
        <row r="5074">
          <cell r="BT5074">
            <v>781.4</v>
          </cell>
          <cell r="BY5074">
            <v>101.79</v>
          </cell>
        </row>
        <row r="5075">
          <cell r="BT5075">
            <v>-0.7</v>
          </cell>
          <cell r="BY5075">
            <v>0.09</v>
          </cell>
        </row>
        <row r="5076">
          <cell r="BT5076">
            <v>777.94</v>
          </cell>
          <cell r="BY5076">
            <v>101.73</v>
          </cell>
        </row>
        <row r="5077">
          <cell r="BT5077">
            <v>627.29999999999995</v>
          </cell>
          <cell r="BY5077">
            <v>81.709999999999994</v>
          </cell>
        </row>
        <row r="5078">
          <cell r="BT5078">
            <v>780.3</v>
          </cell>
          <cell r="BY5078">
            <v>101.64</v>
          </cell>
        </row>
        <row r="5079">
          <cell r="BT5079">
            <v>10821.88</v>
          </cell>
          <cell r="BY5079">
            <v>1409.66</v>
          </cell>
        </row>
        <row r="5080">
          <cell r="BT5080">
            <v>777.94</v>
          </cell>
          <cell r="BY5080">
            <v>101.33</v>
          </cell>
        </row>
        <row r="5081">
          <cell r="BT5081">
            <v>382.5</v>
          </cell>
          <cell r="BY5081">
            <v>49.82</v>
          </cell>
        </row>
        <row r="5082">
          <cell r="BT5082">
            <v>1017.3</v>
          </cell>
          <cell r="BY5082">
            <v>132.51</v>
          </cell>
        </row>
        <row r="5083">
          <cell r="BT5083">
            <v>382.5</v>
          </cell>
          <cell r="BY5083">
            <v>49.82</v>
          </cell>
        </row>
        <row r="5084">
          <cell r="BT5084">
            <v>747.48</v>
          </cell>
          <cell r="BY5084">
            <v>97.37</v>
          </cell>
        </row>
        <row r="5085">
          <cell r="BT5085">
            <v>382.5</v>
          </cell>
          <cell r="BY5085">
            <v>49.82</v>
          </cell>
        </row>
        <row r="5086">
          <cell r="BT5086">
            <v>768.81</v>
          </cell>
          <cell r="BY5086">
            <v>100.15</v>
          </cell>
        </row>
        <row r="5087">
          <cell r="BT5087">
            <v>-10821.88</v>
          </cell>
          <cell r="BY5087">
            <v>1409.66</v>
          </cell>
        </row>
        <row r="5088">
          <cell r="BT5088">
            <v>627.29999999999995</v>
          </cell>
          <cell r="BY5088">
            <v>81.709999999999994</v>
          </cell>
        </row>
        <row r="5089">
          <cell r="BT5089">
            <v>650.25</v>
          </cell>
          <cell r="BY5089">
            <v>84.7</v>
          </cell>
        </row>
        <row r="5090">
          <cell r="BT5090">
            <v>-2.09</v>
          </cell>
          <cell r="BY5090">
            <v>0.27</v>
          </cell>
        </row>
        <row r="5091">
          <cell r="BT5091">
            <v>2050.29</v>
          </cell>
          <cell r="BY5091">
            <v>267.77</v>
          </cell>
        </row>
        <row r="5092">
          <cell r="BT5092">
            <v>752</v>
          </cell>
          <cell r="BY5092">
            <v>97.96</v>
          </cell>
        </row>
        <row r="5093">
          <cell r="BT5093">
            <v>763.1</v>
          </cell>
          <cell r="BY5093">
            <v>99.4</v>
          </cell>
        </row>
        <row r="5094">
          <cell r="BT5094">
            <v>627.29999999999995</v>
          </cell>
          <cell r="BY5094">
            <v>81.709999999999994</v>
          </cell>
        </row>
        <row r="5095">
          <cell r="BT5095">
            <v>772.39</v>
          </cell>
          <cell r="BY5095">
            <v>100.61</v>
          </cell>
        </row>
        <row r="5096">
          <cell r="BT5096">
            <v>763.1</v>
          </cell>
          <cell r="BY5096">
            <v>99.4</v>
          </cell>
        </row>
        <row r="5097">
          <cell r="BT5097">
            <v>4655</v>
          </cell>
          <cell r="BY5097">
            <v>606.36</v>
          </cell>
        </row>
        <row r="5098">
          <cell r="BT5098">
            <v>7020</v>
          </cell>
          <cell r="BY5098">
            <v>914.43</v>
          </cell>
        </row>
        <row r="5099">
          <cell r="BT5099">
            <v>-7020</v>
          </cell>
          <cell r="BY5099">
            <v>914.43</v>
          </cell>
        </row>
        <row r="5100">
          <cell r="BT5100">
            <v>6267.86</v>
          </cell>
          <cell r="BY5100">
            <v>816.45</v>
          </cell>
        </row>
        <row r="5101">
          <cell r="BT5101">
            <v>135.71</v>
          </cell>
          <cell r="BY5101">
            <v>17.68</v>
          </cell>
        </row>
        <row r="5102">
          <cell r="BT5102">
            <v>-6267.86</v>
          </cell>
          <cell r="BY5102">
            <v>816.45</v>
          </cell>
        </row>
        <row r="5103">
          <cell r="BT5103">
            <v>221.85</v>
          </cell>
          <cell r="BY5103">
            <v>28.9</v>
          </cell>
        </row>
        <row r="5104">
          <cell r="BT5104">
            <v>380</v>
          </cell>
          <cell r="BY5104">
            <v>49.5</v>
          </cell>
        </row>
        <row r="5105">
          <cell r="BT5105">
            <v>291.43</v>
          </cell>
          <cell r="BY5105">
            <v>37.96</v>
          </cell>
        </row>
        <row r="5106">
          <cell r="BT5106">
            <v>7020</v>
          </cell>
          <cell r="BY5106">
            <v>914.43</v>
          </cell>
        </row>
        <row r="5107">
          <cell r="BT5107">
            <v>2237.71</v>
          </cell>
          <cell r="BY5107">
            <v>291.48</v>
          </cell>
        </row>
        <row r="5108">
          <cell r="BT5108">
            <v>-1086.75</v>
          </cell>
          <cell r="BY5108">
            <v>142</v>
          </cell>
        </row>
        <row r="5109">
          <cell r="BT5109">
            <v>1086.75</v>
          </cell>
          <cell r="BY5109">
            <v>142</v>
          </cell>
        </row>
        <row r="5110">
          <cell r="BT5110">
            <v>1689.59</v>
          </cell>
          <cell r="BY5110">
            <v>220.77</v>
          </cell>
        </row>
        <row r="5111">
          <cell r="BT5111">
            <v>-1689.59</v>
          </cell>
          <cell r="BY5111">
            <v>220.77</v>
          </cell>
        </row>
        <row r="5112">
          <cell r="BT5112">
            <v>115.2</v>
          </cell>
          <cell r="BY5112">
            <v>15.01</v>
          </cell>
        </row>
        <row r="5113">
          <cell r="BT5113">
            <v>2725.59</v>
          </cell>
          <cell r="BY5113">
            <v>355.04</v>
          </cell>
        </row>
        <row r="5114">
          <cell r="BT5114">
            <v>-4655</v>
          </cell>
          <cell r="BY5114">
            <v>606.36</v>
          </cell>
        </row>
        <row r="5115">
          <cell r="BT5115">
            <v>-532.71</v>
          </cell>
          <cell r="BY5115">
            <v>69.39</v>
          </cell>
        </row>
        <row r="5116">
          <cell r="BT5116">
            <v>992.66</v>
          </cell>
          <cell r="BY5116">
            <v>129.30000000000001</v>
          </cell>
        </row>
        <row r="5117">
          <cell r="BT5117">
            <v>382.01</v>
          </cell>
          <cell r="BY5117">
            <v>49.76</v>
          </cell>
        </row>
        <row r="5118">
          <cell r="BT5118">
            <v>3795.23</v>
          </cell>
          <cell r="BY5118">
            <v>494.37</v>
          </cell>
        </row>
        <row r="5119">
          <cell r="BT5119">
            <v>-3795.23</v>
          </cell>
          <cell r="BY5119">
            <v>494.37</v>
          </cell>
        </row>
        <row r="5120">
          <cell r="BT5120">
            <v>532.71</v>
          </cell>
          <cell r="BY5120">
            <v>69.39</v>
          </cell>
        </row>
        <row r="5121">
          <cell r="BT5121">
            <v>532.71</v>
          </cell>
          <cell r="BY5121">
            <v>69.39</v>
          </cell>
        </row>
        <row r="5122">
          <cell r="BT5122">
            <v>380.51</v>
          </cell>
          <cell r="BY5122">
            <v>49.57</v>
          </cell>
        </row>
        <row r="5123">
          <cell r="BT5123">
            <v>748.07</v>
          </cell>
          <cell r="BY5123">
            <v>97.44</v>
          </cell>
        </row>
        <row r="5124">
          <cell r="BT5124">
            <v>759.27</v>
          </cell>
          <cell r="BY5124">
            <v>98.9</v>
          </cell>
        </row>
        <row r="5125">
          <cell r="BT5125">
            <v>534.11</v>
          </cell>
          <cell r="BY5125">
            <v>69.569999999999993</v>
          </cell>
        </row>
        <row r="5126">
          <cell r="BT5126">
            <v>21863.84</v>
          </cell>
          <cell r="BY5126">
            <v>2847.98</v>
          </cell>
        </row>
        <row r="5127">
          <cell r="BT5127">
            <v>8.6999999999999993</v>
          </cell>
          <cell r="BY5127">
            <v>1.1399999999999999</v>
          </cell>
        </row>
        <row r="5128">
          <cell r="BT5128">
            <v>-8.6999999999999993</v>
          </cell>
          <cell r="BY5128">
            <v>1.1399999999999999</v>
          </cell>
        </row>
        <row r="5129">
          <cell r="BT5129">
            <v>780.3</v>
          </cell>
          <cell r="BY5129">
            <v>101.64</v>
          </cell>
        </row>
        <row r="5130">
          <cell r="BT5130">
            <v>776.03</v>
          </cell>
          <cell r="BY5130">
            <v>101.09</v>
          </cell>
        </row>
        <row r="5131">
          <cell r="BT5131">
            <v>686.71</v>
          </cell>
          <cell r="BY5131">
            <v>89.45</v>
          </cell>
        </row>
        <row r="5132">
          <cell r="BT5132">
            <v>12127.29</v>
          </cell>
          <cell r="BY5132">
            <v>1579.7</v>
          </cell>
        </row>
        <row r="5133">
          <cell r="BT5133">
            <v>686.71</v>
          </cell>
          <cell r="BY5133">
            <v>89.45</v>
          </cell>
        </row>
        <row r="5134">
          <cell r="BT5134">
            <v>2583.5300000000002</v>
          </cell>
          <cell r="BY5134">
            <v>336.53</v>
          </cell>
        </row>
        <row r="5135">
          <cell r="BT5135">
            <v>-21863.84</v>
          </cell>
          <cell r="BY5135">
            <v>2847.98</v>
          </cell>
        </row>
        <row r="5136">
          <cell r="BT5136">
            <v>909.97</v>
          </cell>
          <cell r="BY5136">
            <v>118.53</v>
          </cell>
        </row>
        <row r="5137">
          <cell r="BT5137">
            <v>901.27</v>
          </cell>
          <cell r="BY5137">
            <v>117.4</v>
          </cell>
        </row>
        <row r="5138">
          <cell r="BT5138">
            <v>781.32</v>
          </cell>
          <cell r="BY5138">
            <v>102.04</v>
          </cell>
        </row>
        <row r="5139">
          <cell r="BT5139">
            <v>627.29999999999995</v>
          </cell>
          <cell r="BY5139">
            <v>81.709999999999994</v>
          </cell>
        </row>
        <row r="5140">
          <cell r="BT5140">
            <v>18675.78</v>
          </cell>
          <cell r="BY5140">
            <v>2432.71</v>
          </cell>
        </row>
        <row r="5141">
          <cell r="BT5141">
            <v>15123.5</v>
          </cell>
          <cell r="BY5141">
            <v>1969.99</v>
          </cell>
        </row>
        <row r="5142">
          <cell r="BT5142">
            <v>30870</v>
          </cell>
          <cell r="BY5142">
            <v>4021.13</v>
          </cell>
        </row>
        <row r="5143">
          <cell r="BT5143">
            <v>3307.5</v>
          </cell>
          <cell r="BY5143">
            <v>430.83</v>
          </cell>
        </row>
        <row r="5144">
          <cell r="BT5144">
            <v>-3307.5</v>
          </cell>
          <cell r="BY5144">
            <v>430.83</v>
          </cell>
        </row>
        <row r="5145">
          <cell r="BT5145">
            <v>8190</v>
          </cell>
          <cell r="BY5145">
            <v>1066.83</v>
          </cell>
        </row>
        <row r="5146">
          <cell r="BT5146">
            <v>-8190</v>
          </cell>
          <cell r="BY5146">
            <v>1066.83</v>
          </cell>
        </row>
        <row r="5147">
          <cell r="BT5147">
            <v>7312.5</v>
          </cell>
          <cell r="BY5147">
            <v>952.53</v>
          </cell>
        </row>
        <row r="5148">
          <cell r="BT5148">
            <v>135.71</v>
          </cell>
          <cell r="BY5148">
            <v>17.68</v>
          </cell>
        </row>
        <row r="5149">
          <cell r="BT5149">
            <v>-7312.5</v>
          </cell>
          <cell r="BY5149">
            <v>952.53</v>
          </cell>
        </row>
        <row r="5150">
          <cell r="BT5150">
            <v>271.14999999999998</v>
          </cell>
          <cell r="BY5150">
            <v>35.32</v>
          </cell>
        </row>
        <row r="5151">
          <cell r="BT5151">
            <v>380</v>
          </cell>
          <cell r="BY5151">
            <v>49.5</v>
          </cell>
        </row>
        <row r="5152">
          <cell r="BT5152">
            <v>291.43</v>
          </cell>
          <cell r="BY5152">
            <v>37.96</v>
          </cell>
        </row>
        <row r="5153">
          <cell r="BT5153">
            <v>8190</v>
          </cell>
          <cell r="BY5153">
            <v>1066.83</v>
          </cell>
        </row>
        <row r="5154">
          <cell r="BT5154">
            <v>1818.14</v>
          </cell>
          <cell r="BY5154">
            <v>236.83</v>
          </cell>
        </row>
        <row r="5155">
          <cell r="BT5155">
            <v>3541.05</v>
          </cell>
          <cell r="BY5155">
            <v>462.69</v>
          </cell>
        </row>
        <row r="5156">
          <cell r="BT5156">
            <v>1336.63</v>
          </cell>
          <cell r="BY5156">
            <v>174.65</v>
          </cell>
        </row>
        <row r="5157">
          <cell r="BT5157">
            <v>-3541.05</v>
          </cell>
          <cell r="BY5157">
            <v>462.69</v>
          </cell>
        </row>
        <row r="5158">
          <cell r="BT5158">
            <v>-1336.63</v>
          </cell>
          <cell r="BY5158">
            <v>174.65</v>
          </cell>
        </row>
        <row r="5159">
          <cell r="BT5159">
            <v>-229.8</v>
          </cell>
          <cell r="BY5159">
            <v>29.93</v>
          </cell>
        </row>
        <row r="5160">
          <cell r="BT5160">
            <v>229.2</v>
          </cell>
          <cell r="BY5160">
            <v>29.86</v>
          </cell>
        </row>
        <row r="5161">
          <cell r="BT5161">
            <v>229.5</v>
          </cell>
          <cell r="BY5161">
            <v>29.89</v>
          </cell>
        </row>
        <row r="5162">
          <cell r="BT5162">
            <v>229.5</v>
          </cell>
          <cell r="BY5162">
            <v>29.89</v>
          </cell>
        </row>
        <row r="5163">
          <cell r="BT5163">
            <v>6327.24</v>
          </cell>
          <cell r="BY5163">
            <v>824.19</v>
          </cell>
        </row>
        <row r="5164">
          <cell r="BT5164">
            <v>6928.85</v>
          </cell>
          <cell r="BY5164">
            <v>902.55</v>
          </cell>
        </row>
        <row r="5165">
          <cell r="BT5165">
            <v>229.5</v>
          </cell>
          <cell r="BY5165">
            <v>29.89</v>
          </cell>
        </row>
        <row r="5166">
          <cell r="BT5166">
            <v>4847.99</v>
          </cell>
          <cell r="BY5166">
            <v>631.5</v>
          </cell>
        </row>
        <row r="5167">
          <cell r="BT5167">
            <v>6393.64</v>
          </cell>
          <cell r="BY5167">
            <v>832.84</v>
          </cell>
        </row>
        <row r="5168">
          <cell r="BT5168">
            <v>3960.73</v>
          </cell>
          <cell r="BY5168">
            <v>515.91999999999996</v>
          </cell>
        </row>
        <row r="5169">
          <cell r="BT5169">
            <v>237.81</v>
          </cell>
          <cell r="BY5169">
            <v>30.98</v>
          </cell>
        </row>
        <row r="5170">
          <cell r="BT5170">
            <v>17267.04</v>
          </cell>
          <cell r="BY5170">
            <v>2249.1999999999998</v>
          </cell>
        </row>
        <row r="5171">
          <cell r="BT5171">
            <v>-17267.04</v>
          </cell>
          <cell r="BY5171">
            <v>2249.1999999999998</v>
          </cell>
        </row>
        <row r="5172">
          <cell r="BT5172">
            <v>229.8</v>
          </cell>
          <cell r="BY5172">
            <v>29.93</v>
          </cell>
        </row>
        <row r="5173">
          <cell r="BT5173">
            <v>229.8</v>
          </cell>
          <cell r="BY5173">
            <v>29.93</v>
          </cell>
        </row>
        <row r="5174">
          <cell r="BT5174">
            <v>241.3</v>
          </cell>
          <cell r="BY5174">
            <v>31.43</v>
          </cell>
        </row>
        <row r="5175">
          <cell r="BT5175">
            <v>3966.2</v>
          </cell>
          <cell r="BY5175">
            <v>516.64</v>
          </cell>
        </row>
        <row r="5176">
          <cell r="BT5176">
            <v>6264.69</v>
          </cell>
          <cell r="BY5176">
            <v>816.04</v>
          </cell>
        </row>
        <row r="5177">
          <cell r="BT5177">
            <v>-6264.69</v>
          </cell>
          <cell r="BY5177">
            <v>816.04</v>
          </cell>
        </row>
        <row r="5178">
          <cell r="BT5178">
            <v>6264.69</v>
          </cell>
          <cell r="BY5178">
            <v>816.04</v>
          </cell>
        </row>
        <row r="5179">
          <cell r="BT5179">
            <v>229.5</v>
          </cell>
          <cell r="BY5179">
            <v>29.89</v>
          </cell>
        </row>
        <row r="5180">
          <cell r="BT5180">
            <v>5185.3900000000003</v>
          </cell>
          <cell r="BY5180">
            <v>675.45</v>
          </cell>
        </row>
        <row r="5181">
          <cell r="BT5181">
            <v>5130.6499999999996</v>
          </cell>
          <cell r="BY5181">
            <v>668.32</v>
          </cell>
        </row>
        <row r="5182">
          <cell r="BT5182">
            <v>229.5</v>
          </cell>
          <cell r="BY5182">
            <v>29.89</v>
          </cell>
        </row>
        <row r="5183">
          <cell r="BT5183">
            <v>3387.86</v>
          </cell>
          <cell r="BY5183">
            <v>441.3</v>
          </cell>
        </row>
        <row r="5184">
          <cell r="BT5184">
            <v>114.75</v>
          </cell>
          <cell r="BY5184">
            <v>14.95</v>
          </cell>
        </row>
        <row r="5185">
          <cell r="BT5185">
            <v>2190.54</v>
          </cell>
          <cell r="BY5185">
            <v>285.33999999999997</v>
          </cell>
        </row>
        <row r="5186">
          <cell r="BT5186">
            <v>229.5</v>
          </cell>
          <cell r="BY5186">
            <v>29.89</v>
          </cell>
        </row>
        <row r="5187">
          <cell r="BT5187">
            <v>4847.99</v>
          </cell>
          <cell r="BY5187">
            <v>631.5</v>
          </cell>
        </row>
        <row r="5188">
          <cell r="BT5188">
            <v>229.5</v>
          </cell>
          <cell r="BY5188">
            <v>29.89</v>
          </cell>
        </row>
        <row r="5189">
          <cell r="BT5189">
            <v>229.5</v>
          </cell>
          <cell r="BY5189">
            <v>29.89</v>
          </cell>
        </row>
        <row r="5190">
          <cell r="BT5190">
            <v>4807.5</v>
          </cell>
          <cell r="BY5190">
            <v>626.22</v>
          </cell>
        </row>
        <row r="5191">
          <cell r="BT5191">
            <v>115.2</v>
          </cell>
          <cell r="BY5191">
            <v>15.01</v>
          </cell>
        </row>
        <row r="5192">
          <cell r="BT5192">
            <v>2725.58</v>
          </cell>
          <cell r="BY5192">
            <v>355.03</v>
          </cell>
        </row>
        <row r="5193">
          <cell r="BT5193">
            <v>27562.5</v>
          </cell>
          <cell r="BY5193">
            <v>3590.29</v>
          </cell>
        </row>
        <row r="5194">
          <cell r="BT5194">
            <v>30111.57</v>
          </cell>
          <cell r="BY5194">
            <v>3937.69</v>
          </cell>
        </row>
        <row r="5195">
          <cell r="BT5195">
            <v>23523.119999999999</v>
          </cell>
          <cell r="BY5195">
            <v>3076.12</v>
          </cell>
        </row>
        <row r="5196">
          <cell r="BT5196">
            <v>100137.38</v>
          </cell>
          <cell r="BY5196">
            <v>13094.97</v>
          </cell>
        </row>
        <row r="5197">
          <cell r="BT5197">
            <v>22029.71</v>
          </cell>
          <cell r="BY5197">
            <v>2888.32</v>
          </cell>
        </row>
        <row r="5198">
          <cell r="BT5198">
            <v>-27562.5</v>
          </cell>
          <cell r="BY5198">
            <v>3590.29</v>
          </cell>
        </row>
        <row r="5199">
          <cell r="BT5199">
            <v>-18675.78</v>
          </cell>
          <cell r="BY5199">
            <v>2432.71</v>
          </cell>
        </row>
        <row r="5200">
          <cell r="BT5200">
            <v>-15123.5</v>
          </cell>
          <cell r="BY5200">
            <v>1969.99</v>
          </cell>
        </row>
        <row r="5201">
          <cell r="BT5201">
            <v>7647.69</v>
          </cell>
          <cell r="BY5201">
            <v>1000</v>
          </cell>
        </row>
        <row r="5202">
          <cell r="BT5202">
            <v>76.48</v>
          </cell>
          <cell r="BY5202">
            <v>10</v>
          </cell>
        </row>
        <row r="5203">
          <cell r="BT5203">
            <v>381.59</v>
          </cell>
          <cell r="BY5203">
            <v>50</v>
          </cell>
        </row>
        <row r="5204">
          <cell r="BT5204">
            <v>-30111.57</v>
          </cell>
          <cell r="BY5204">
            <v>3937.69</v>
          </cell>
        </row>
        <row r="5205">
          <cell r="BT5205">
            <v>-23523.119999999999</v>
          </cell>
          <cell r="BY5205">
            <v>3076.12</v>
          </cell>
        </row>
        <row r="5206">
          <cell r="BT5206">
            <v>-100137.38</v>
          </cell>
          <cell r="BY5206">
            <v>13094.97</v>
          </cell>
        </row>
        <row r="5207">
          <cell r="BT5207">
            <v>-22029.71</v>
          </cell>
          <cell r="BY5207">
            <v>2888.32</v>
          </cell>
        </row>
        <row r="5208">
          <cell r="BT5208">
            <v>2400.5</v>
          </cell>
          <cell r="BY5208">
            <v>312.69</v>
          </cell>
        </row>
        <row r="5209">
          <cell r="BT5209">
            <v>3179.79</v>
          </cell>
          <cell r="BY5209">
            <v>414.2</v>
          </cell>
        </row>
        <row r="5210">
          <cell r="BT5210">
            <v>-3179.79</v>
          </cell>
          <cell r="BY5210">
            <v>414.2</v>
          </cell>
        </row>
        <row r="5211">
          <cell r="BT5211">
            <v>779.29</v>
          </cell>
          <cell r="BY5211">
            <v>101.51</v>
          </cell>
        </row>
        <row r="5212">
          <cell r="BT5212">
            <v>1934.46</v>
          </cell>
          <cell r="BY5212">
            <v>251.98</v>
          </cell>
        </row>
        <row r="5213">
          <cell r="BT5213">
            <v>10627.93</v>
          </cell>
          <cell r="BY5213">
            <v>1384.39</v>
          </cell>
        </row>
        <row r="5214">
          <cell r="BT5214">
            <v>776.22</v>
          </cell>
          <cell r="BY5214">
            <v>101.11</v>
          </cell>
        </row>
        <row r="5215">
          <cell r="BT5215">
            <v>982.7</v>
          </cell>
          <cell r="BY5215">
            <v>128.01</v>
          </cell>
        </row>
        <row r="5216">
          <cell r="BT5216">
            <v>776.22</v>
          </cell>
          <cell r="BY5216">
            <v>101.11</v>
          </cell>
        </row>
        <row r="5217">
          <cell r="BT5217">
            <v>1235.1099999999999</v>
          </cell>
          <cell r="BY5217">
            <v>160.88999999999999</v>
          </cell>
        </row>
        <row r="5218">
          <cell r="BT5218">
            <v>928.43</v>
          </cell>
          <cell r="BY5218">
            <v>120.94</v>
          </cell>
        </row>
        <row r="5219">
          <cell r="BT5219">
            <v>-10627.93</v>
          </cell>
          <cell r="BY5219">
            <v>1384.39</v>
          </cell>
        </row>
        <row r="5220">
          <cell r="BT5220">
            <v>759.2</v>
          </cell>
          <cell r="BY5220">
            <v>98.89</v>
          </cell>
        </row>
        <row r="5221">
          <cell r="BT5221">
            <v>780.3</v>
          </cell>
          <cell r="BY5221">
            <v>101.64</v>
          </cell>
        </row>
        <row r="5222">
          <cell r="BT5222">
            <v>1827.98</v>
          </cell>
          <cell r="BY5222">
            <v>238.11</v>
          </cell>
        </row>
        <row r="5223">
          <cell r="BT5223">
            <v>627.29999999999995</v>
          </cell>
          <cell r="BY5223">
            <v>81.709999999999994</v>
          </cell>
        </row>
        <row r="5224">
          <cell r="BT5224">
            <v>10160</v>
          </cell>
          <cell r="BY5224">
            <v>1323.44</v>
          </cell>
        </row>
        <row r="5225">
          <cell r="BT5225">
            <v>6030</v>
          </cell>
          <cell r="BY5225">
            <v>785.47</v>
          </cell>
        </row>
        <row r="5226">
          <cell r="BT5226">
            <v>-6030</v>
          </cell>
          <cell r="BY5226">
            <v>785.47</v>
          </cell>
        </row>
        <row r="5227">
          <cell r="BT5227">
            <v>5383.93</v>
          </cell>
          <cell r="BY5227">
            <v>701.31</v>
          </cell>
        </row>
        <row r="5228">
          <cell r="BT5228">
            <v>135.71</v>
          </cell>
          <cell r="BY5228">
            <v>17.68</v>
          </cell>
        </row>
        <row r="5229">
          <cell r="BT5229">
            <v>-5383.93</v>
          </cell>
          <cell r="BY5229">
            <v>701.31</v>
          </cell>
        </row>
        <row r="5230">
          <cell r="BT5230">
            <v>380</v>
          </cell>
          <cell r="BY5230">
            <v>49.5</v>
          </cell>
        </row>
        <row r="5231">
          <cell r="BT5231">
            <v>291.42</v>
          </cell>
          <cell r="BY5231">
            <v>37.96</v>
          </cell>
        </row>
        <row r="5232">
          <cell r="BT5232">
            <v>6030</v>
          </cell>
          <cell r="BY5232">
            <v>785.47</v>
          </cell>
        </row>
        <row r="5233">
          <cell r="BT5233">
            <v>2237.71</v>
          </cell>
          <cell r="BY5233">
            <v>291.48</v>
          </cell>
        </row>
        <row r="5234">
          <cell r="BT5234">
            <v>5057.07</v>
          </cell>
          <cell r="BY5234">
            <v>660.78</v>
          </cell>
        </row>
        <row r="5235">
          <cell r="BT5235">
            <v>-5057.07</v>
          </cell>
          <cell r="BY5235">
            <v>660.78</v>
          </cell>
        </row>
        <row r="5236">
          <cell r="BT5236">
            <v>8952.49</v>
          </cell>
          <cell r="BY5236">
            <v>1166.1500000000001</v>
          </cell>
        </row>
        <row r="5237">
          <cell r="BT5237">
            <v>9256.5</v>
          </cell>
          <cell r="BY5237">
            <v>1205.75</v>
          </cell>
        </row>
        <row r="5238">
          <cell r="BT5238">
            <v>-9256.5</v>
          </cell>
          <cell r="BY5238">
            <v>1205.75</v>
          </cell>
        </row>
        <row r="5239">
          <cell r="BT5239">
            <v>304.01</v>
          </cell>
          <cell r="BY5239">
            <v>39.6</v>
          </cell>
        </row>
        <row r="5240">
          <cell r="BT5240">
            <v>-10160</v>
          </cell>
          <cell r="BY5240">
            <v>1323.44</v>
          </cell>
        </row>
        <row r="5241">
          <cell r="BT5241">
            <v>15295.38</v>
          </cell>
          <cell r="BY5241">
            <v>2000</v>
          </cell>
        </row>
        <row r="5242">
          <cell r="BT5242">
            <v>152.94999999999999</v>
          </cell>
          <cell r="BY5242">
            <v>20</v>
          </cell>
        </row>
        <row r="5243">
          <cell r="BT5243">
            <v>118.29</v>
          </cell>
          <cell r="BY5243">
            <v>15.5</v>
          </cell>
        </row>
        <row r="5244">
          <cell r="BT5244">
            <v>2651.68</v>
          </cell>
          <cell r="BY5244">
            <v>346.48</v>
          </cell>
        </row>
        <row r="5245">
          <cell r="BT5245">
            <v>5467.06</v>
          </cell>
          <cell r="BY5245">
            <v>714.35</v>
          </cell>
        </row>
        <row r="5246">
          <cell r="BT5246">
            <v>4263.21</v>
          </cell>
          <cell r="BY5246">
            <v>557.04999999999995</v>
          </cell>
        </row>
        <row r="5247">
          <cell r="BT5247">
            <v>-2651.68</v>
          </cell>
          <cell r="BY5247">
            <v>346.48</v>
          </cell>
        </row>
        <row r="5248">
          <cell r="BT5248">
            <v>-5467.06</v>
          </cell>
          <cell r="BY5248">
            <v>714.35</v>
          </cell>
        </row>
        <row r="5249">
          <cell r="BT5249">
            <v>-12542.12</v>
          </cell>
          <cell r="BY5249">
            <v>1638.81</v>
          </cell>
        </row>
        <row r="5250">
          <cell r="BT5250">
            <v>-4263.21</v>
          </cell>
          <cell r="BY5250">
            <v>557.04999999999995</v>
          </cell>
        </row>
        <row r="5251">
          <cell r="BT5251">
            <v>12929.72</v>
          </cell>
          <cell r="BY5251">
            <v>1690.18</v>
          </cell>
        </row>
        <row r="5252">
          <cell r="BT5252">
            <v>12542.12</v>
          </cell>
          <cell r="BY5252">
            <v>1638.81</v>
          </cell>
        </row>
        <row r="5253">
          <cell r="BT5253">
            <v>-12929.72</v>
          </cell>
          <cell r="BY5253">
            <v>1690.18</v>
          </cell>
        </row>
        <row r="5254">
          <cell r="BT5254">
            <v>76.5</v>
          </cell>
          <cell r="BY5254">
            <v>9.9600000000000009</v>
          </cell>
        </row>
        <row r="5255">
          <cell r="BT5255">
            <v>3337.69</v>
          </cell>
          <cell r="BY5255">
            <v>434.77</v>
          </cell>
        </row>
        <row r="5256">
          <cell r="BT5256">
            <v>15.26</v>
          </cell>
          <cell r="BY5256">
            <v>2</v>
          </cell>
        </row>
        <row r="5257">
          <cell r="BT5257">
            <v>525</v>
          </cell>
          <cell r="BY5257">
            <v>68.39</v>
          </cell>
        </row>
        <row r="5258">
          <cell r="BT5258">
            <v>15</v>
          </cell>
          <cell r="BY5258">
            <v>1.97</v>
          </cell>
        </row>
        <row r="5259">
          <cell r="BT5259">
            <v>6350.89</v>
          </cell>
          <cell r="BY5259">
            <v>827.27</v>
          </cell>
        </row>
        <row r="5260">
          <cell r="BT5260">
            <v>1200</v>
          </cell>
          <cell r="BY5260">
            <v>156.31</v>
          </cell>
        </row>
        <row r="5261">
          <cell r="BT5261">
            <v>2000</v>
          </cell>
          <cell r="BY5261">
            <v>260.52</v>
          </cell>
        </row>
        <row r="5262">
          <cell r="BT5262">
            <v>866.5</v>
          </cell>
          <cell r="BY5262">
            <v>113.31</v>
          </cell>
        </row>
        <row r="5263">
          <cell r="BT5263">
            <v>869.25</v>
          </cell>
          <cell r="BY5263">
            <v>113.13</v>
          </cell>
        </row>
        <row r="5264">
          <cell r="BT5264">
            <v>578</v>
          </cell>
          <cell r="BY5264">
            <v>75.59</v>
          </cell>
        </row>
        <row r="5265">
          <cell r="BT5265">
            <v>0.02</v>
          </cell>
          <cell r="BY5265">
            <v>0</v>
          </cell>
        </row>
        <row r="5266">
          <cell r="BT5266">
            <v>94.37</v>
          </cell>
          <cell r="BY5266">
            <v>12.29</v>
          </cell>
        </row>
        <row r="5267">
          <cell r="BT5267">
            <v>-94.37</v>
          </cell>
          <cell r="BY5267">
            <v>12.29</v>
          </cell>
        </row>
        <row r="5268">
          <cell r="BT5268">
            <v>94.37</v>
          </cell>
          <cell r="BY5268">
            <v>12.29</v>
          </cell>
        </row>
        <row r="5269">
          <cell r="BT5269">
            <v>81950</v>
          </cell>
          <cell r="BY5269">
            <v>10674.81</v>
          </cell>
        </row>
        <row r="5270">
          <cell r="BT5270">
            <v>5405.83</v>
          </cell>
          <cell r="BY5270">
            <v>704.16</v>
          </cell>
        </row>
        <row r="5271">
          <cell r="BT5271">
            <v>-1456.67</v>
          </cell>
          <cell r="BY5271">
            <v>189.75</v>
          </cell>
        </row>
        <row r="5272">
          <cell r="BT5272">
            <v>5400</v>
          </cell>
          <cell r="BY5272">
            <v>703.4</v>
          </cell>
        </row>
        <row r="5273">
          <cell r="BT5273">
            <v>10383.07</v>
          </cell>
          <cell r="BY5273">
            <v>1352.5</v>
          </cell>
        </row>
        <row r="5274">
          <cell r="BT5274">
            <v>4400</v>
          </cell>
          <cell r="BY5274">
            <v>575.39</v>
          </cell>
        </row>
        <row r="5275">
          <cell r="BT5275">
            <v>3298</v>
          </cell>
          <cell r="BY5275">
            <v>429.6</v>
          </cell>
        </row>
        <row r="5276">
          <cell r="BT5276">
            <v>-14015.2</v>
          </cell>
          <cell r="BY5276">
            <v>1825.62</v>
          </cell>
        </row>
        <row r="5277">
          <cell r="BT5277">
            <v>0</v>
          </cell>
          <cell r="BY5277">
            <v>1.02</v>
          </cell>
        </row>
        <row r="5278">
          <cell r="BT5278">
            <v>0</v>
          </cell>
          <cell r="BY5278">
            <v>12.18</v>
          </cell>
        </row>
        <row r="5279">
          <cell r="BT5279">
            <v>0</v>
          </cell>
          <cell r="BY5279">
            <v>79.05</v>
          </cell>
        </row>
        <row r="5280">
          <cell r="BT5280">
            <v>0</v>
          </cell>
          <cell r="BY5280">
            <v>0.49</v>
          </cell>
        </row>
        <row r="5281">
          <cell r="BT5281">
            <v>0</v>
          </cell>
          <cell r="BY5281">
            <v>529.25</v>
          </cell>
        </row>
        <row r="5282">
          <cell r="BT5282">
            <v>0</v>
          </cell>
          <cell r="BY5282">
            <v>8.85</v>
          </cell>
        </row>
        <row r="5283">
          <cell r="BT5283">
            <v>0</v>
          </cell>
          <cell r="BY5283">
            <v>1.61</v>
          </cell>
        </row>
        <row r="5284">
          <cell r="BT5284">
            <v>0</v>
          </cell>
          <cell r="BY5284">
            <v>33.46</v>
          </cell>
        </row>
        <row r="5285">
          <cell r="BT5285">
            <v>0</v>
          </cell>
          <cell r="BY5285">
            <v>37.96</v>
          </cell>
        </row>
        <row r="5286">
          <cell r="BT5286">
            <v>0</v>
          </cell>
          <cell r="BY5286">
            <v>12.08</v>
          </cell>
        </row>
        <row r="5287">
          <cell r="BT5287">
            <v>0</v>
          </cell>
          <cell r="BY5287">
            <v>0.39</v>
          </cell>
        </row>
        <row r="5288">
          <cell r="BT5288">
            <v>0</v>
          </cell>
          <cell r="BY5288">
            <v>0.75</v>
          </cell>
        </row>
        <row r="5289">
          <cell r="BT5289">
            <v>0</v>
          </cell>
          <cell r="BY5289">
            <v>0.05</v>
          </cell>
        </row>
        <row r="5290">
          <cell r="BT5290">
            <v>0</v>
          </cell>
          <cell r="BY5290">
            <v>0.06</v>
          </cell>
        </row>
        <row r="5291">
          <cell r="BT5291">
            <v>1.46</v>
          </cell>
          <cell r="BY5291">
            <v>0.19</v>
          </cell>
        </row>
        <row r="5292">
          <cell r="BT5292">
            <v>0</v>
          </cell>
          <cell r="BY5292">
            <v>0</v>
          </cell>
        </row>
        <row r="5293">
          <cell r="BT5293">
            <v>0</v>
          </cell>
          <cell r="BY5293">
            <v>0.01</v>
          </cell>
        </row>
        <row r="5294">
          <cell r="BT5294">
            <v>0</v>
          </cell>
          <cell r="BY5294">
            <v>0.01</v>
          </cell>
        </row>
        <row r="5295">
          <cell r="BT5295">
            <v>0</v>
          </cell>
          <cell r="BY5295">
            <v>0.02</v>
          </cell>
        </row>
        <row r="5296">
          <cell r="BT5296">
            <v>0</v>
          </cell>
          <cell r="BY5296">
            <v>0.01</v>
          </cell>
        </row>
        <row r="5297">
          <cell r="BT5297">
            <v>0</v>
          </cell>
          <cell r="BY5297">
            <v>0.01</v>
          </cell>
        </row>
        <row r="5298">
          <cell r="BT5298">
            <v>0</v>
          </cell>
          <cell r="BY5298">
            <v>0.17</v>
          </cell>
        </row>
        <row r="5299">
          <cell r="BT5299">
            <v>0</v>
          </cell>
          <cell r="BY5299">
            <v>0.02</v>
          </cell>
        </row>
        <row r="5300">
          <cell r="BT5300">
            <v>0</v>
          </cell>
          <cell r="BY5300">
            <v>0.02</v>
          </cell>
        </row>
        <row r="5301">
          <cell r="BT5301">
            <v>0</v>
          </cell>
          <cell r="BY5301">
            <v>0.16</v>
          </cell>
        </row>
        <row r="5302">
          <cell r="BT5302">
            <v>0</v>
          </cell>
          <cell r="BY5302">
            <v>27.25</v>
          </cell>
        </row>
        <row r="5303">
          <cell r="BT5303">
            <v>3.43</v>
          </cell>
          <cell r="BY5303">
            <v>0.45</v>
          </cell>
        </row>
        <row r="5304">
          <cell r="BT5304">
            <v>3.39</v>
          </cell>
          <cell r="BY5304">
            <v>0.44</v>
          </cell>
        </row>
        <row r="5305">
          <cell r="BT5305">
            <v>0</v>
          </cell>
          <cell r="BY5305">
            <v>0</v>
          </cell>
        </row>
        <row r="5306">
          <cell r="BT5306">
            <v>0</v>
          </cell>
          <cell r="BY5306">
            <v>0.01</v>
          </cell>
        </row>
        <row r="5307">
          <cell r="BT5307">
            <v>0</v>
          </cell>
          <cell r="BY5307">
            <v>4.3</v>
          </cell>
        </row>
        <row r="5308">
          <cell r="BT5308">
            <v>0</v>
          </cell>
          <cell r="BY5308">
            <v>0.01</v>
          </cell>
        </row>
        <row r="5309">
          <cell r="BT5309">
            <v>0</v>
          </cell>
          <cell r="BY5309">
            <v>0.01</v>
          </cell>
        </row>
        <row r="5310">
          <cell r="BT5310">
            <v>0</v>
          </cell>
          <cell r="BY5310">
            <v>0.56000000000000005</v>
          </cell>
        </row>
        <row r="5311">
          <cell r="BT5311">
            <v>0</v>
          </cell>
          <cell r="BY5311">
            <v>0.01</v>
          </cell>
        </row>
        <row r="5312">
          <cell r="BT5312">
            <v>0</v>
          </cell>
          <cell r="BY5312">
            <v>14.72</v>
          </cell>
        </row>
        <row r="5313">
          <cell r="BT5313">
            <v>0</v>
          </cell>
          <cell r="BY5313">
            <v>0.32</v>
          </cell>
        </row>
        <row r="5314">
          <cell r="BT5314">
            <v>0</v>
          </cell>
          <cell r="BY5314">
            <v>20.98</v>
          </cell>
        </row>
        <row r="5315">
          <cell r="BT5315">
            <v>0</v>
          </cell>
          <cell r="BY5315">
            <v>0.39</v>
          </cell>
        </row>
        <row r="5316">
          <cell r="BT5316">
            <v>0</v>
          </cell>
          <cell r="BY5316">
            <v>1.1299999999999999</v>
          </cell>
        </row>
        <row r="5317">
          <cell r="BT5317">
            <v>0</v>
          </cell>
          <cell r="BY5317">
            <v>0.57999999999999996</v>
          </cell>
        </row>
        <row r="5318">
          <cell r="BT5318">
            <v>0</v>
          </cell>
          <cell r="BY5318">
            <v>0.02</v>
          </cell>
        </row>
        <row r="5319">
          <cell r="BT5319">
            <v>0</v>
          </cell>
          <cell r="BY5319">
            <v>0.01</v>
          </cell>
        </row>
        <row r="5320">
          <cell r="BT5320">
            <v>0</v>
          </cell>
          <cell r="BY5320">
            <v>27.53</v>
          </cell>
        </row>
        <row r="5321">
          <cell r="BT5321">
            <v>0</v>
          </cell>
          <cell r="BY5321">
            <v>0.01</v>
          </cell>
        </row>
        <row r="5322">
          <cell r="BT5322">
            <v>0</v>
          </cell>
          <cell r="BY5322">
            <v>0.01</v>
          </cell>
        </row>
        <row r="5323">
          <cell r="BT5323">
            <v>0</v>
          </cell>
          <cell r="BY5323">
            <v>0.02</v>
          </cell>
        </row>
        <row r="5324">
          <cell r="BT5324">
            <v>0</v>
          </cell>
          <cell r="BY5324">
            <v>0.01</v>
          </cell>
        </row>
        <row r="5325">
          <cell r="BT5325">
            <v>0</v>
          </cell>
          <cell r="BY5325">
            <v>0.19</v>
          </cell>
        </row>
        <row r="5326">
          <cell r="BT5326">
            <v>1723.46</v>
          </cell>
          <cell r="BY5326">
            <v>0</v>
          </cell>
        </row>
        <row r="5327">
          <cell r="BT5327">
            <v>0</v>
          </cell>
          <cell r="BY5327">
            <v>0.04</v>
          </cell>
        </row>
        <row r="5328">
          <cell r="BT5328">
            <v>0</v>
          </cell>
          <cell r="BY5328">
            <v>0</v>
          </cell>
        </row>
        <row r="5329">
          <cell r="BT5329">
            <v>0</v>
          </cell>
          <cell r="BY5329">
            <v>7.0000000000000007E-2</v>
          </cell>
        </row>
        <row r="5330">
          <cell r="BT5330">
            <v>0</v>
          </cell>
          <cell r="BY5330">
            <v>0.11</v>
          </cell>
        </row>
        <row r="5331">
          <cell r="BT5331">
            <v>0</v>
          </cell>
          <cell r="BY5331">
            <v>0.01</v>
          </cell>
        </row>
        <row r="5332">
          <cell r="BT5332">
            <v>0</v>
          </cell>
          <cell r="BY5332">
            <v>0.17</v>
          </cell>
        </row>
        <row r="5333">
          <cell r="BT5333">
            <v>0</v>
          </cell>
          <cell r="BY5333">
            <v>0.25</v>
          </cell>
        </row>
        <row r="5334">
          <cell r="BT5334">
            <v>0</v>
          </cell>
          <cell r="BY5334">
            <v>1.04</v>
          </cell>
        </row>
        <row r="5335">
          <cell r="BT5335">
            <v>0</v>
          </cell>
          <cell r="BY5335">
            <v>0.01</v>
          </cell>
        </row>
        <row r="5336">
          <cell r="BT5336">
            <v>114.94</v>
          </cell>
          <cell r="BY5336">
            <v>15.06</v>
          </cell>
        </row>
        <row r="5337">
          <cell r="BT5337">
            <v>0.03</v>
          </cell>
          <cell r="BY5337">
            <v>0.03</v>
          </cell>
        </row>
        <row r="5338">
          <cell r="BT5338">
            <v>0</v>
          </cell>
          <cell r="BY5338">
            <v>0.56000000000000005</v>
          </cell>
        </row>
        <row r="5339">
          <cell r="BT5339">
            <v>0</v>
          </cell>
          <cell r="BY5339">
            <v>2.08</v>
          </cell>
        </row>
        <row r="5340">
          <cell r="BT5340">
            <v>0</v>
          </cell>
          <cell r="BY5340">
            <v>0.39</v>
          </cell>
        </row>
        <row r="5341">
          <cell r="BT5341">
            <v>0</v>
          </cell>
          <cell r="BY5341">
            <v>0.57999999999999996</v>
          </cell>
        </row>
        <row r="5342">
          <cell r="BT5342">
            <v>0</v>
          </cell>
          <cell r="BY5342">
            <v>5.0999999999999996</v>
          </cell>
        </row>
        <row r="5343">
          <cell r="BT5343">
            <v>0</v>
          </cell>
          <cell r="BY5343">
            <v>0.27</v>
          </cell>
        </row>
        <row r="5344">
          <cell r="BT5344">
            <v>0</v>
          </cell>
          <cell r="BY5344">
            <v>0.04</v>
          </cell>
        </row>
        <row r="5345">
          <cell r="BT5345">
            <v>0</v>
          </cell>
          <cell r="BY5345">
            <v>0</v>
          </cell>
        </row>
        <row r="5346">
          <cell r="BT5346">
            <v>2434.41</v>
          </cell>
          <cell r="BY5346">
            <v>0</v>
          </cell>
        </row>
        <row r="5347">
          <cell r="BT5347">
            <v>0</v>
          </cell>
          <cell r="BY5347">
            <v>8.08</v>
          </cell>
        </row>
        <row r="5348">
          <cell r="BT5348">
            <v>0</v>
          </cell>
          <cell r="BY5348">
            <v>0.01</v>
          </cell>
        </row>
        <row r="5349">
          <cell r="BT5349">
            <v>0</v>
          </cell>
          <cell r="BY5349">
            <v>0.19</v>
          </cell>
        </row>
        <row r="5350">
          <cell r="BT5350">
            <v>0</v>
          </cell>
          <cell r="BY5350">
            <v>1.34</v>
          </cell>
        </row>
        <row r="5351">
          <cell r="BT5351">
            <v>0</v>
          </cell>
          <cell r="BY5351">
            <v>0.06</v>
          </cell>
        </row>
        <row r="5352">
          <cell r="BT5352">
            <v>-191</v>
          </cell>
          <cell r="BY5352">
            <v>24.88</v>
          </cell>
        </row>
        <row r="5353">
          <cell r="BT5353">
            <v>-1038.06</v>
          </cell>
          <cell r="BY5353">
            <v>135.22</v>
          </cell>
        </row>
        <row r="5354">
          <cell r="BT5354">
            <v>1038.06</v>
          </cell>
          <cell r="BY5354">
            <v>135.22</v>
          </cell>
        </row>
        <row r="5355">
          <cell r="BT5355">
            <v>-943.69</v>
          </cell>
          <cell r="BY5355">
            <v>122.93</v>
          </cell>
        </row>
        <row r="5356">
          <cell r="BT5356">
            <v>0</v>
          </cell>
          <cell r="BY5356">
            <v>58</v>
          </cell>
        </row>
        <row r="5357">
          <cell r="BT5357">
            <v>0</v>
          </cell>
          <cell r="BY5357">
            <v>0</v>
          </cell>
        </row>
        <row r="5358">
          <cell r="BT5358">
            <v>0</v>
          </cell>
          <cell r="BY5358">
            <v>0</v>
          </cell>
        </row>
        <row r="5359">
          <cell r="BT5359">
            <v>0</v>
          </cell>
          <cell r="BY5359">
            <v>0.21</v>
          </cell>
        </row>
        <row r="5360">
          <cell r="BT5360">
            <v>0</v>
          </cell>
          <cell r="BY5360">
            <v>0.87</v>
          </cell>
        </row>
        <row r="5361">
          <cell r="BT5361">
            <v>0</v>
          </cell>
          <cell r="BY5361">
            <v>0.01</v>
          </cell>
        </row>
        <row r="5362">
          <cell r="BT5362">
            <v>0</v>
          </cell>
          <cell r="BY5362">
            <v>0</v>
          </cell>
        </row>
        <row r="5363">
          <cell r="BT5363">
            <v>-0.48</v>
          </cell>
          <cell r="BY5363">
            <v>0.06</v>
          </cell>
        </row>
        <row r="5364">
          <cell r="BT5364">
            <v>0</v>
          </cell>
          <cell r="BY5364">
            <v>0</v>
          </cell>
        </row>
        <row r="5365">
          <cell r="BT5365">
            <v>0</v>
          </cell>
          <cell r="BY5365">
            <v>0.19</v>
          </cell>
        </row>
        <row r="5366">
          <cell r="BT5366">
            <v>0</v>
          </cell>
          <cell r="BY5366">
            <v>4.58</v>
          </cell>
        </row>
        <row r="5367">
          <cell r="BT5367">
            <v>0</v>
          </cell>
          <cell r="BY5367">
            <v>2.04</v>
          </cell>
        </row>
        <row r="5368">
          <cell r="BT5368">
            <v>0</v>
          </cell>
          <cell r="BY5368">
            <v>20.78</v>
          </cell>
        </row>
        <row r="5369">
          <cell r="BT5369">
            <v>-0.01</v>
          </cell>
          <cell r="BY5369">
            <v>0.05</v>
          </cell>
        </row>
        <row r="5370">
          <cell r="BT5370">
            <v>0</v>
          </cell>
          <cell r="BY5370">
            <v>0.45</v>
          </cell>
        </row>
        <row r="5371">
          <cell r="BT5371">
            <v>0</v>
          </cell>
          <cell r="BY5371">
            <v>6.25</v>
          </cell>
        </row>
        <row r="5372">
          <cell r="BT5372">
            <v>0</v>
          </cell>
          <cell r="BY5372">
            <v>98.72</v>
          </cell>
        </row>
        <row r="5373">
          <cell r="BT5373">
            <v>0</v>
          </cell>
          <cell r="BY5373">
            <v>1.44</v>
          </cell>
        </row>
        <row r="5374">
          <cell r="BT5374">
            <v>0</v>
          </cell>
          <cell r="BY5374">
            <v>0</v>
          </cell>
        </row>
        <row r="5375">
          <cell r="BT5375">
            <v>0</v>
          </cell>
          <cell r="BY5375">
            <v>0</v>
          </cell>
        </row>
        <row r="5376">
          <cell r="BT5376">
            <v>0</v>
          </cell>
          <cell r="BY5376">
            <v>0</v>
          </cell>
        </row>
        <row r="5377">
          <cell r="BT5377">
            <v>0</v>
          </cell>
          <cell r="BY5377">
            <v>5.04</v>
          </cell>
        </row>
        <row r="5378">
          <cell r="BT5378">
            <v>0</v>
          </cell>
          <cell r="BY5378">
            <v>0.56000000000000005</v>
          </cell>
        </row>
        <row r="5379">
          <cell r="BT5379">
            <v>0</v>
          </cell>
          <cell r="BY5379">
            <v>0.25</v>
          </cell>
        </row>
        <row r="5380">
          <cell r="BT5380">
            <v>0</v>
          </cell>
          <cell r="BY5380">
            <v>3.75</v>
          </cell>
        </row>
        <row r="5381">
          <cell r="BT5381">
            <v>0</v>
          </cell>
          <cell r="BY5381">
            <v>0</v>
          </cell>
        </row>
        <row r="5382">
          <cell r="BT5382">
            <v>0</v>
          </cell>
          <cell r="BY5382">
            <v>0</v>
          </cell>
        </row>
        <row r="5383">
          <cell r="BT5383">
            <v>0</v>
          </cell>
          <cell r="BY5383">
            <v>0.16</v>
          </cell>
        </row>
        <row r="5384">
          <cell r="BT5384">
            <v>0</v>
          </cell>
          <cell r="BY5384">
            <v>1.86</v>
          </cell>
        </row>
        <row r="5385">
          <cell r="BT5385">
            <v>0</v>
          </cell>
          <cell r="BY5385">
            <v>1.62</v>
          </cell>
        </row>
        <row r="5386">
          <cell r="BT5386">
            <v>0</v>
          </cell>
          <cell r="BY5386">
            <v>0.1</v>
          </cell>
        </row>
        <row r="5387">
          <cell r="BT5387">
            <v>0</v>
          </cell>
          <cell r="BY5387">
            <v>14.53</v>
          </cell>
        </row>
        <row r="5388">
          <cell r="BT5388">
            <v>0</v>
          </cell>
          <cell r="BY5388">
            <v>0</v>
          </cell>
        </row>
        <row r="5389">
          <cell r="BT5389">
            <v>0</v>
          </cell>
          <cell r="BY5389">
            <v>0.01</v>
          </cell>
        </row>
        <row r="5390">
          <cell r="BT5390">
            <v>-86.4</v>
          </cell>
          <cell r="BY5390">
            <v>11.32</v>
          </cell>
        </row>
        <row r="5391">
          <cell r="BT5391">
            <v>0</v>
          </cell>
          <cell r="BY5391">
            <v>0</v>
          </cell>
        </row>
        <row r="5392">
          <cell r="BT5392">
            <v>0</v>
          </cell>
          <cell r="BY5392">
            <v>0</v>
          </cell>
        </row>
        <row r="5393">
          <cell r="BT5393">
            <v>-4.29</v>
          </cell>
          <cell r="BY5393">
            <v>0.56000000000000005</v>
          </cell>
        </row>
        <row r="5394">
          <cell r="BT5394">
            <v>0</v>
          </cell>
          <cell r="BY5394">
            <v>0</v>
          </cell>
        </row>
        <row r="5395">
          <cell r="BT5395">
            <v>-60.3</v>
          </cell>
          <cell r="BY5395">
            <v>0</v>
          </cell>
        </row>
        <row r="5396">
          <cell r="BT5396">
            <v>0</v>
          </cell>
          <cell r="BY5396">
            <v>2.2599999999999998</v>
          </cell>
        </row>
        <row r="5397">
          <cell r="BT5397">
            <v>0</v>
          </cell>
          <cell r="BY5397">
            <v>0.02</v>
          </cell>
        </row>
        <row r="5398">
          <cell r="BT5398">
            <v>0</v>
          </cell>
          <cell r="BY5398">
            <v>0.11</v>
          </cell>
        </row>
        <row r="5399">
          <cell r="BT5399">
            <v>0</v>
          </cell>
          <cell r="BY5399">
            <v>0.01</v>
          </cell>
        </row>
        <row r="5400">
          <cell r="BT5400">
            <v>0</v>
          </cell>
          <cell r="BY5400">
            <v>0.16</v>
          </cell>
        </row>
        <row r="5401">
          <cell r="BT5401">
            <v>0</v>
          </cell>
          <cell r="BY5401">
            <v>0.01</v>
          </cell>
        </row>
        <row r="5402">
          <cell r="BT5402">
            <v>-17.78</v>
          </cell>
          <cell r="BY5402">
            <v>2.33</v>
          </cell>
        </row>
        <row r="5403">
          <cell r="BT5403">
            <v>0</v>
          </cell>
          <cell r="BY5403">
            <v>0</v>
          </cell>
        </row>
        <row r="5404">
          <cell r="BT5404">
            <v>0</v>
          </cell>
          <cell r="BY5404">
            <v>11.05</v>
          </cell>
        </row>
        <row r="5405">
          <cell r="BT5405">
            <v>0</v>
          </cell>
          <cell r="BY5405">
            <v>9.32</v>
          </cell>
        </row>
        <row r="5406">
          <cell r="BT5406">
            <v>0</v>
          </cell>
          <cell r="BY5406">
            <v>114.37</v>
          </cell>
        </row>
        <row r="5407">
          <cell r="BT5407">
            <v>0</v>
          </cell>
          <cell r="BY5407">
            <v>0</v>
          </cell>
        </row>
        <row r="5408">
          <cell r="BT5408">
            <v>2000</v>
          </cell>
          <cell r="BY5408">
            <v>262.33999999999997</v>
          </cell>
        </row>
        <row r="5409">
          <cell r="BT5409">
            <v>500</v>
          </cell>
          <cell r="BY5409">
            <v>65.13</v>
          </cell>
        </row>
        <row r="5410">
          <cell r="BT5410">
            <v>1078.0999999999999</v>
          </cell>
          <cell r="BY5410">
            <v>141.26</v>
          </cell>
        </row>
        <row r="5411">
          <cell r="BT5411">
            <v>1591.85</v>
          </cell>
          <cell r="BY5411">
            <v>208.17</v>
          </cell>
        </row>
        <row r="5412">
          <cell r="BT5412">
            <v>2208.06</v>
          </cell>
          <cell r="BY5412">
            <v>287.62</v>
          </cell>
        </row>
        <row r="5413">
          <cell r="BT5413">
            <v>2765.51</v>
          </cell>
          <cell r="BY5413">
            <v>360.24</v>
          </cell>
        </row>
        <row r="5414">
          <cell r="BT5414">
            <v>5586.43</v>
          </cell>
          <cell r="BY5414">
            <v>731.99</v>
          </cell>
        </row>
        <row r="5415">
          <cell r="BT5415">
            <v>1600</v>
          </cell>
          <cell r="BY5415">
            <v>208.42</v>
          </cell>
        </row>
        <row r="5416">
          <cell r="BT5416">
            <v>1600</v>
          </cell>
          <cell r="BY5416">
            <v>208.42</v>
          </cell>
        </row>
        <row r="5417">
          <cell r="BT5417">
            <v>128.75</v>
          </cell>
          <cell r="BY5417">
            <v>16.84</v>
          </cell>
        </row>
        <row r="5418">
          <cell r="BT5418">
            <v>586.4</v>
          </cell>
          <cell r="BY5418">
            <v>76.319999999999993</v>
          </cell>
        </row>
        <row r="5419">
          <cell r="BT5419">
            <v>425</v>
          </cell>
          <cell r="BY5419">
            <v>55.58</v>
          </cell>
        </row>
        <row r="5420">
          <cell r="BT5420">
            <v>1106.5999999999999</v>
          </cell>
          <cell r="BY5420">
            <v>144.71</v>
          </cell>
        </row>
        <row r="5421">
          <cell r="BT5421">
            <v>1003.1</v>
          </cell>
          <cell r="BY5421">
            <v>130.66</v>
          </cell>
        </row>
        <row r="5422">
          <cell r="BT5422">
            <v>6700</v>
          </cell>
          <cell r="BY5422">
            <v>872.74</v>
          </cell>
        </row>
        <row r="5423">
          <cell r="BT5423">
            <v>18900</v>
          </cell>
          <cell r="BY5423">
            <v>2461.91</v>
          </cell>
        </row>
        <row r="5424">
          <cell r="BT5424">
            <v>558.33000000000004</v>
          </cell>
          <cell r="BY5424">
            <v>72.73</v>
          </cell>
        </row>
        <row r="5425">
          <cell r="BT5425">
            <v>2998.33</v>
          </cell>
          <cell r="BY5425">
            <v>390.56</v>
          </cell>
        </row>
        <row r="5426">
          <cell r="BT5426">
            <v>558.33000000000004</v>
          </cell>
          <cell r="BY5426">
            <v>72.73</v>
          </cell>
        </row>
        <row r="5427">
          <cell r="BT5427">
            <v>9860.83</v>
          </cell>
          <cell r="BY5427">
            <v>1284.47</v>
          </cell>
        </row>
        <row r="5428">
          <cell r="BT5428">
            <v>500</v>
          </cell>
          <cell r="BY5428">
            <v>65.13</v>
          </cell>
        </row>
        <row r="5429">
          <cell r="BT5429">
            <v>1700</v>
          </cell>
          <cell r="BY5429">
            <v>221.44</v>
          </cell>
        </row>
        <row r="5430">
          <cell r="BT5430">
            <v>848.89</v>
          </cell>
          <cell r="BY5430">
            <v>110.58</v>
          </cell>
        </row>
        <row r="5431">
          <cell r="BT5431">
            <v>2394.63</v>
          </cell>
          <cell r="BY5431">
            <v>311.92</v>
          </cell>
        </row>
        <row r="5432">
          <cell r="BT5432">
            <v>1648</v>
          </cell>
          <cell r="BY5432">
            <v>214.67</v>
          </cell>
        </row>
        <row r="5433">
          <cell r="BT5433">
            <v>1862</v>
          </cell>
          <cell r="BY5433">
            <v>242.34</v>
          </cell>
        </row>
        <row r="5434">
          <cell r="BT5434">
            <v>4198.25</v>
          </cell>
          <cell r="BY5434">
            <v>550.1</v>
          </cell>
        </row>
        <row r="5435">
          <cell r="BT5435">
            <v>1491.22</v>
          </cell>
          <cell r="BY5435">
            <v>195.01</v>
          </cell>
        </row>
        <row r="5436">
          <cell r="BT5436">
            <v>10969.89</v>
          </cell>
          <cell r="BY5436">
            <v>1428.94</v>
          </cell>
        </row>
        <row r="5437">
          <cell r="BT5437">
            <v>25272.33</v>
          </cell>
          <cell r="BY5437">
            <v>3291.97</v>
          </cell>
        </row>
        <row r="5438">
          <cell r="BT5438">
            <v>4001.8</v>
          </cell>
          <cell r="BY5438">
            <v>524.36</v>
          </cell>
        </row>
        <row r="5439">
          <cell r="BT5439">
            <v>21741.1</v>
          </cell>
          <cell r="BY5439">
            <v>2832</v>
          </cell>
        </row>
        <row r="5440">
          <cell r="BT5440">
            <v>2400</v>
          </cell>
          <cell r="BY5440">
            <v>312.62</v>
          </cell>
        </row>
        <row r="5441">
          <cell r="BT5441">
            <v>611.86</v>
          </cell>
          <cell r="BY5441">
            <v>79.7</v>
          </cell>
        </row>
        <row r="5442">
          <cell r="BT5442">
            <v>-21741.1</v>
          </cell>
          <cell r="BY5442">
            <v>2832</v>
          </cell>
        </row>
        <row r="5443">
          <cell r="BT5443">
            <v>24350.03</v>
          </cell>
          <cell r="BY5443">
            <v>3181.57</v>
          </cell>
        </row>
        <row r="5444">
          <cell r="BT5444">
            <v>570.74</v>
          </cell>
          <cell r="BY5444">
            <v>74.34</v>
          </cell>
        </row>
        <row r="5445">
          <cell r="BT5445">
            <v>1986.4</v>
          </cell>
          <cell r="BY5445">
            <v>258.75</v>
          </cell>
        </row>
        <row r="5446">
          <cell r="BT5446">
            <v>5200</v>
          </cell>
          <cell r="BY5446">
            <v>679.12</v>
          </cell>
        </row>
        <row r="5447">
          <cell r="BT5447">
            <v>-5200</v>
          </cell>
          <cell r="BY5447">
            <v>679.12</v>
          </cell>
        </row>
        <row r="5448">
          <cell r="BT5448">
            <v>1327.26</v>
          </cell>
          <cell r="BY5448">
            <v>173.91</v>
          </cell>
        </row>
        <row r="5449">
          <cell r="BT5449">
            <v>1455.3</v>
          </cell>
          <cell r="BY5449">
            <v>189.41</v>
          </cell>
        </row>
        <row r="5450">
          <cell r="BT5450">
            <v>7605</v>
          </cell>
          <cell r="BY5450">
            <v>993.21</v>
          </cell>
        </row>
        <row r="5451">
          <cell r="BT5451">
            <v>3040</v>
          </cell>
          <cell r="BY5451">
            <v>397.03</v>
          </cell>
        </row>
        <row r="5452">
          <cell r="BT5452">
            <v>-7605</v>
          </cell>
          <cell r="BY5452">
            <v>993.21</v>
          </cell>
        </row>
        <row r="5453">
          <cell r="BT5453">
            <v>84165.5</v>
          </cell>
          <cell r="BY5453">
            <v>10992.01</v>
          </cell>
        </row>
        <row r="5454">
          <cell r="BT5454">
            <v>-3040</v>
          </cell>
          <cell r="BY5454">
            <v>397.03</v>
          </cell>
        </row>
        <row r="5455">
          <cell r="BT5455">
            <v>7605</v>
          </cell>
          <cell r="BY5455">
            <v>993.21</v>
          </cell>
        </row>
        <row r="5456">
          <cell r="BT5456">
            <v>59100</v>
          </cell>
          <cell r="BY5456">
            <v>7718.47</v>
          </cell>
        </row>
        <row r="5457">
          <cell r="BT5457">
            <v>5200</v>
          </cell>
          <cell r="BY5457">
            <v>679.12</v>
          </cell>
        </row>
        <row r="5458">
          <cell r="BT5458">
            <v>1742.04</v>
          </cell>
          <cell r="BY5458">
            <v>226.92</v>
          </cell>
        </row>
        <row r="5459">
          <cell r="BT5459">
            <v>53400</v>
          </cell>
          <cell r="BY5459">
            <v>6955.88</v>
          </cell>
        </row>
        <row r="5460">
          <cell r="BT5460">
            <v>2000</v>
          </cell>
          <cell r="BY5460">
            <v>260.52</v>
          </cell>
        </row>
        <row r="5461">
          <cell r="BT5461">
            <v>1341.86</v>
          </cell>
          <cell r="BY5461">
            <v>174.79</v>
          </cell>
        </row>
        <row r="5462">
          <cell r="BT5462">
            <v>-331.35</v>
          </cell>
          <cell r="BY5462">
            <v>43.16</v>
          </cell>
        </row>
        <row r="5463">
          <cell r="BT5463">
            <v>442.03</v>
          </cell>
          <cell r="BY5463">
            <v>57.58</v>
          </cell>
        </row>
        <row r="5464">
          <cell r="BT5464">
            <v>331.35</v>
          </cell>
          <cell r="BY5464">
            <v>43.16</v>
          </cell>
        </row>
        <row r="5465">
          <cell r="BT5465">
            <v>-442.03</v>
          </cell>
          <cell r="BY5465">
            <v>57.58</v>
          </cell>
        </row>
        <row r="5466">
          <cell r="BT5466">
            <v>5661.36</v>
          </cell>
          <cell r="BY5466">
            <v>737.46</v>
          </cell>
        </row>
        <row r="5467">
          <cell r="BT5467">
            <v>267000</v>
          </cell>
          <cell r="BY5467">
            <v>34779.43</v>
          </cell>
        </row>
        <row r="5468">
          <cell r="BT5468">
            <v>6500</v>
          </cell>
          <cell r="BY5468">
            <v>846.69</v>
          </cell>
        </row>
        <row r="5469">
          <cell r="BT5469">
            <v>5451.68</v>
          </cell>
          <cell r="BY5469">
            <v>710.14</v>
          </cell>
        </row>
        <row r="5470">
          <cell r="BT5470">
            <v>-0.1</v>
          </cell>
          <cell r="BY5470">
            <v>0.01</v>
          </cell>
        </row>
        <row r="5471">
          <cell r="BT5471">
            <v>47379.41</v>
          </cell>
          <cell r="BY5471">
            <v>6171.65</v>
          </cell>
        </row>
        <row r="5472">
          <cell r="BT5472">
            <v>1073.92</v>
          </cell>
          <cell r="BY5472">
            <v>139.88999999999999</v>
          </cell>
        </row>
        <row r="5473">
          <cell r="BT5473">
            <v>47478.62</v>
          </cell>
          <cell r="BY5473">
            <v>6184.57</v>
          </cell>
        </row>
        <row r="5474">
          <cell r="BT5474">
            <v>1073.9100000000001</v>
          </cell>
          <cell r="BY5474">
            <v>139.88999999999999</v>
          </cell>
        </row>
        <row r="5475">
          <cell r="BT5475">
            <v>82400</v>
          </cell>
          <cell r="BY5475">
            <v>10733.42</v>
          </cell>
        </row>
        <row r="5476">
          <cell r="BT5476">
            <v>217.62</v>
          </cell>
          <cell r="BY5476">
            <v>28.35</v>
          </cell>
        </row>
        <row r="5477">
          <cell r="BT5477">
            <v>7000</v>
          </cell>
          <cell r="BY5477">
            <v>911.82</v>
          </cell>
        </row>
        <row r="5478">
          <cell r="BT5478">
            <v>250</v>
          </cell>
          <cell r="BY5478">
            <v>32.57</v>
          </cell>
        </row>
        <row r="5479">
          <cell r="BT5479">
            <v>209.56</v>
          </cell>
          <cell r="BY5479">
            <v>27.3</v>
          </cell>
        </row>
        <row r="5480">
          <cell r="BT5480">
            <v>-1090.6400000000001</v>
          </cell>
          <cell r="BY5480">
            <v>142.07</v>
          </cell>
        </row>
        <row r="5481">
          <cell r="BT5481">
            <v>35780.080000000002</v>
          </cell>
          <cell r="BY5481">
            <v>4660.71</v>
          </cell>
        </row>
        <row r="5482">
          <cell r="BT5482">
            <v>1622.39</v>
          </cell>
          <cell r="BY5482">
            <v>211.88</v>
          </cell>
        </row>
        <row r="5483">
          <cell r="BT5483">
            <v>385.17</v>
          </cell>
          <cell r="BY5483">
            <v>50.3</v>
          </cell>
        </row>
        <row r="5484">
          <cell r="BT5484">
            <v>4460.34</v>
          </cell>
          <cell r="BY5484">
            <v>584.44000000000005</v>
          </cell>
        </row>
        <row r="5485">
          <cell r="BT5485">
            <v>-1622.39</v>
          </cell>
          <cell r="BY5485">
            <v>211.88</v>
          </cell>
        </row>
        <row r="5486">
          <cell r="BT5486">
            <v>938.01</v>
          </cell>
          <cell r="BY5486">
            <v>122.19</v>
          </cell>
        </row>
        <row r="5487">
          <cell r="BT5487">
            <v>-4460.34</v>
          </cell>
          <cell r="BY5487">
            <v>584.44000000000005</v>
          </cell>
        </row>
        <row r="5488">
          <cell r="BT5488">
            <v>18151.740000000002</v>
          </cell>
          <cell r="BY5488">
            <v>2370.62</v>
          </cell>
        </row>
        <row r="5489">
          <cell r="BT5489">
            <v>-385.17</v>
          </cell>
          <cell r="BY5489">
            <v>50.3</v>
          </cell>
        </row>
        <row r="5490">
          <cell r="BT5490">
            <v>40594.68</v>
          </cell>
          <cell r="BY5490">
            <v>5287.86</v>
          </cell>
        </row>
        <row r="5491">
          <cell r="BT5491">
            <v>1076.95</v>
          </cell>
          <cell r="BY5491">
            <v>140.28</v>
          </cell>
        </row>
        <row r="5492">
          <cell r="BT5492">
            <v>860.74</v>
          </cell>
          <cell r="BY5492">
            <v>112.12</v>
          </cell>
        </row>
        <row r="5493">
          <cell r="BT5493">
            <v>1622.39</v>
          </cell>
          <cell r="BY5493">
            <v>211.88</v>
          </cell>
        </row>
        <row r="5494">
          <cell r="BT5494">
            <v>8501.7999999999993</v>
          </cell>
          <cell r="BY5494">
            <v>1107.44</v>
          </cell>
        </row>
        <row r="5495">
          <cell r="BT5495">
            <v>-8501.7999999999993</v>
          </cell>
          <cell r="BY5495">
            <v>1107.44</v>
          </cell>
        </row>
        <row r="5496">
          <cell r="BT5496">
            <v>2029.9</v>
          </cell>
          <cell r="BY5496">
            <v>264.41000000000003</v>
          </cell>
        </row>
        <row r="5497">
          <cell r="BT5497">
            <v>6471.9</v>
          </cell>
          <cell r="BY5497">
            <v>843.03</v>
          </cell>
        </row>
        <row r="5498">
          <cell r="BT5498">
            <v>-2761.23</v>
          </cell>
          <cell r="BY5498">
            <v>359.68</v>
          </cell>
        </row>
        <row r="5499">
          <cell r="BT5499">
            <v>3683.64</v>
          </cell>
          <cell r="BY5499">
            <v>479.83</v>
          </cell>
        </row>
        <row r="5500">
          <cell r="BT5500">
            <v>2761.23</v>
          </cell>
          <cell r="BY5500">
            <v>359.68</v>
          </cell>
        </row>
        <row r="5501">
          <cell r="BT5501">
            <v>-3683.64</v>
          </cell>
          <cell r="BY5501">
            <v>479.83</v>
          </cell>
        </row>
        <row r="5502">
          <cell r="BT5502">
            <v>6350.89</v>
          </cell>
          <cell r="BY5502">
            <v>827.27</v>
          </cell>
        </row>
        <row r="5503">
          <cell r="BT5503">
            <v>3000</v>
          </cell>
          <cell r="BY5503">
            <v>390.78</v>
          </cell>
        </row>
        <row r="5504">
          <cell r="BT5504">
            <v>339.5</v>
          </cell>
          <cell r="BY5504">
            <v>44.22</v>
          </cell>
        </row>
        <row r="5505">
          <cell r="BT5505">
            <v>1934.7</v>
          </cell>
          <cell r="BY5505">
            <v>252.01</v>
          </cell>
        </row>
        <row r="5506">
          <cell r="BT5506">
            <v>136525</v>
          </cell>
          <cell r="BY5506">
            <v>17783.75</v>
          </cell>
        </row>
        <row r="5507">
          <cell r="BT5507">
            <v>11710.41</v>
          </cell>
          <cell r="BY5507">
            <v>1525.4</v>
          </cell>
        </row>
        <row r="5508">
          <cell r="BT5508">
            <v>11710.42</v>
          </cell>
          <cell r="BY5508">
            <v>1525.4</v>
          </cell>
        </row>
        <row r="5509">
          <cell r="BT5509">
            <v>7550</v>
          </cell>
          <cell r="BY5509">
            <v>983.46</v>
          </cell>
        </row>
        <row r="5510">
          <cell r="BT5510">
            <v>17297.72</v>
          </cell>
          <cell r="BY5510">
            <v>2253.1999999999998</v>
          </cell>
        </row>
        <row r="5511">
          <cell r="BT5511">
            <v>1200</v>
          </cell>
          <cell r="BY5511">
            <v>156.91999999999999</v>
          </cell>
        </row>
        <row r="5512">
          <cell r="BT5512">
            <v>2140</v>
          </cell>
          <cell r="BY5512">
            <v>278.76</v>
          </cell>
        </row>
        <row r="5513">
          <cell r="BT5513">
            <v>1291.6400000000001</v>
          </cell>
          <cell r="BY5513">
            <v>168.25</v>
          </cell>
        </row>
        <row r="5514">
          <cell r="BT5514">
            <v>2208.06</v>
          </cell>
          <cell r="BY5514">
            <v>287.62</v>
          </cell>
        </row>
        <row r="5515">
          <cell r="BT5515">
            <v>3040</v>
          </cell>
          <cell r="BY5515">
            <v>397.03</v>
          </cell>
        </row>
        <row r="5516">
          <cell r="BT5516">
            <v>4000</v>
          </cell>
          <cell r="BY5516">
            <v>521.04</v>
          </cell>
        </row>
        <row r="5517">
          <cell r="BT5517">
            <v>444.3</v>
          </cell>
          <cell r="BY5517">
            <v>57.83</v>
          </cell>
        </row>
        <row r="5518">
          <cell r="BT5518">
            <v>189.9</v>
          </cell>
          <cell r="BY5518">
            <v>24.74</v>
          </cell>
        </row>
        <row r="5519">
          <cell r="BT5519">
            <v>-189.9</v>
          </cell>
          <cell r="BY5519">
            <v>24.74</v>
          </cell>
        </row>
        <row r="5520">
          <cell r="BT5520">
            <v>17500</v>
          </cell>
          <cell r="BY5520">
            <v>2279.5500000000002</v>
          </cell>
        </row>
        <row r="5521">
          <cell r="BT5521">
            <v>4392</v>
          </cell>
          <cell r="BY5521">
            <v>572.1</v>
          </cell>
        </row>
        <row r="5522">
          <cell r="BT5522">
            <v>4391.99</v>
          </cell>
          <cell r="BY5522">
            <v>572.1</v>
          </cell>
        </row>
        <row r="5523">
          <cell r="BT5523">
            <v>1000</v>
          </cell>
          <cell r="BY5523">
            <v>130.26</v>
          </cell>
        </row>
        <row r="5524">
          <cell r="BT5524">
            <v>4460.34</v>
          </cell>
          <cell r="BY5524">
            <v>584.44000000000005</v>
          </cell>
        </row>
        <row r="5525">
          <cell r="BT5525">
            <v>2724.05</v>
          </cell>
          <cell r="BY5525">
            <v>354.83</v>
          </cell>
        </row>
        <row r="5526">
          <cell r="BT5526">
            <v>385.17</v>
          </cell>
          <cell r="BY5526">
            <v>50.3</v>
          </cell>
        </row>
        <row r="5527">
          <cell r="BT5527">
            <v>320</v>
          </cell>
          <cell r="BY5527">
            <v>41.68</v>
          </cell>
        </row>
        <row r="5528">
          <cell r="BT5528">
            <v>1398.16</v>
          </cell>
          <cell r="BY5528">
            <v>182.12</v>
          </cell>
        </row>
        <row r="5529">
          <cell r="BT5529">
            <v>164.82</v>
          </cell>
          <cell r="BY5529">
            <v>21.47</v>
          </cell>
        </row>
        <row r="5530">
          <cell r="BT5530">
            <v>1582.54</v>
          </cell>
          <cell r="BY5530">
            <v>206.14</v>
          </cell>
        </row>
        <row r="5531">
          <cell r="BT5531">
            <v>-1398.16</v>
          </cell>
          <cell r="BY5531">
            <v>182.12</v>
          </cell>
        </row>
        <row r="5532">
          <cell r="BT5532">
            <v>-1582.54</v>
          </cell>
          <cell r="BY5532">
            <v>206.14</v>
          </cell>
        </row>
        <row r="5533">
          <cell r="BT5533">
            <v>-164.82</v>
          </cell>
          <cell r="BY5533">
            <v>21.47</v>
          </cell>
        </row>
        <row r="5534">
          <cell r="BT5534">
            <v>89.29</v>
          </cell>
          <cell r="BY5534">
            <v>11.68</v>
          </cell>
        </row>
        <row r="5535">
          <cell r="BT5535">
            <v>720.71</v>
          </cell>
          <cell r="BY5535">
            <v>94.25</v>
          </cell>
        </row>
        <row r="5536">
          <cell r="BT5536">
            <v>4000</v>
          </cell>
          <cell r="BY5536">
            <v>521.04</v>
          </cell>
        </row>
        <row r="5537">
          <cell r="BT5537">
            <v>720.71</v>
          </cell>
          <cell r="BY5537">
            <v>94.2</v>
          </cell>
        </row>
        <row r="5538">
          <cell r="BT5538">
            <v>89.29</v>
          </cell>
          <cell r="BY5538">
            <v>11.67</v>
          </cell>
        </row>
        <row r="5539">
          <cell r="BT5539">
            <v>642.29</v>
          </cell>
          <cell r="BY5539">
            <v>84</v>
          </cell>
        </row>
        <row r="5540">
          <cell r="BT5540">
            <v>2350.14</v>
          </cell>
          <cell r="BY5540">
            <v>306.13</v>
          </cell>
        </row>
        <row r="5541">
          <cell r="BT5541">
            <v>346.48</v>
          </cell>
          <cell r="BY5541">
            <v>45.27</v>
          </cell>
        </row>
        <row r="5542">
          <cell r="BT5542">
            <v>557.04999999999995</v>
          </cell>
          <cell r="BY5542">
            <v>72.78</v>
          </cell>
        </row>
        <row r="5543">
          <cell r="BT5543">
            <v>462.69</v>
          </cell>
          <cell r="BY5543">
            <v>60.46</v>
          </cell>
        </row>
        <row r="5544">
          <cell r="BT5544">
            <v>174.65</v>
          </cell>
          <cell r="BY5544">
            <v>22.82</v>
          </cell>
        </row>
        <row r="5545">
          <cell r="BT5545">
            <v>1690.18</v>
          </cell>
          <cell r="BY5545">
            <v>220.84</v>
          </cell>
        </row>
        <row r="5546">
          <cell r="BT5546">
            <v>714.35</v>
          </cell>
          <cell r="BY5546">
            <v>93.34</v>
          </cell>
        </row>
        <row r="5547">
          <cell r="BT5547">
            <v>220.77</v>
          </cell>
          <cell r="BY5547">
            <v>28.85</v>
          </cell>
        </row>
        <row r="5548">
          <cell r="BT5548">
            <v>660.78</v>
          </cell>
          <cell r="BY5548">
            <v>86.34</v>
          </cell>
        </row>
        <row r="5549">
          <cell r="BT5549">
            <v>339.86</v>
          </cell>
          <cell r="BY5549">
            <v>44.41</v>
          </cell>
        </row>
        <row r="5550">
          <cell r="BT5550">
            <v>339.86</v>
          </cell>
          <cell r="BY5550">
            <v>44.41</v>
          </cell>
        </row>
        <row r="5551">
          <cell r="BT5551">
            <v>142</v>
          </cell>
          <cell r="BY5551">
            <v>18.55</v>
          </cell>
        </row>
        <row r="5552">
          <cell r="BT5552">
            <v>174.65</v>
          </cell>
          <cell r="BY5552">
            <v>22.82</v>
          </cell>
        </row>
        <row r="5553">
          <cell r="BT5553">
            <v>202.11</v>
          </cell>
          <cell r="BY5553">
            <v>26.41</v>
          </cell>
        </row>
        <row r="5554">
          <cell r="BT5554">
            <v>422.96</v>
          </cell>
          <cell r="BY5554">
            <v>55.26</v>
          </cell>
        </row>
        <row r="5555">
          <cell r="BT5555">
            <v>142</v>
          </cell>
          <cell r="BY5555">
            <v>18.55</v>
          </cell>
        </row>
        <row r="5556">
          <cell r="BT5556">
            <v>422.96</v>
          </cell>
          <cell r="BY5556">
            <v>55.26</v>
          </cell>
        </row>
        <row r="5557">
          <cell r="BT5557">
            <v>343.36</v>
          </cell>
          <cell r="BY5557">
            <v>44.86</v>
          </cell>
        </row>
        <row r="5558">
          <cell r="BT5558">
            <v>620.82000000000005</v>
          </cell>
          <cell r="BY5558">
            <v>81.12</v>
          </cell>
        </row>
        <row r="5559">
          <cell r="BT5559">
            <v>174.57</v>
          </cell>
          <cell r="BY5559">
            <v>22.81</v>
          </cell>
        </row>
        <row r="5560">
          <cell r="BT5560">
            <v>142</v>
          </cell>
          <cell r="BY5560">
            <v>18.55</v>
          </cell>
        </row>
        <row r="5561">
          <cell r="BT5561">
            <v>1638.81</v>
          </cell>
          <cell r="BY5561">
            <v>214.13</v>
          </cell>
        </row>
        <row r="5562">
          <cell r="BT5562">
            <v>235</v>
          </cell>
          <cell r="BY5562">
            <v>30.59</v>
          </cell>
        </row>
        <row r="5563">
          <cell r="BT5563">
            <v>156</v>
          </cell>
          <cell r="BY5563">
            <v>20.399999999999999</v>
          </cell>
        </row>
        <row r="5564">
          <cell r="BT5564">
            <v>58.62</v>
          </cell>
          <cell r="BY5564">
            <v>7.64</v>
          </cell>
        </row>
        <row r="5565">
          <cell r="BT5565">
            <v>1724.9</v>
          </cell>
          <cell r="BY5565">
            <v>224.69</v>
          </cell>
        </row>
        <row r="5566">
          <cell r="BT5566">
            <v>547.13</v>
          </cell>
          <cell r="BY5566">
            <v>71.27</v>
          </cell>
        </row>
        <row r="5567">
          <cell r="BT5567">
            <v>-58.62</v>
          </cell>
          <cell r="BY5567">
            <v>7.64</v>
          </cell>
        </row>
        <row r="5568">
          <cell r="BT5568">
            <v>51400</v>
          </cell>
          <cell r="BY5568">
            <v>6695.36</v>
          </cell>
        </row>
        <row r="5569">
          <cell r="BT5569">
            <v>4283.33</v>
          </cell>
          <cell r="BY5569">
            <v>557.95000000000005</v>
          </cell>
        </row>
        <row r="5570">
          <cell r="BT5570">
            <v>4283.33</v>
          </cell>
          <cell r="BY5570">
            <v>557.95000000000005</v>
          </cell>
        </row>
        <row r="5571">
          <cell r="BT5571">
            <v>2750</v>
          </cell>
          <cell r="BY5571">
            <v>358.22</v>
          </cell>
        </row>
        <row r="5572">
          <cell r="BT5572">
            <v>6512.38</v>
          </cell>
          <cell r="BY5572">
            <v>848.3</v>
          </cell>
        </row>
        <row r="5573">
          <cell r="BT5573">
            <v>1200</v>
          </cell>
          <cell r="BY5573">
            <v>156.91999999999999</v>
          </cell>
        </row>
        <row r="5574">
          <cell r="BT5574">
            <v>1600</v>
          </cell>
          <cell r="BY5574">
            <v>208.42</v>
          </cell>
        </row>
        <row r="5575">
          <cell r="BT5575">
            <v>488.51</v>
          </cell>
          <cell r="BY5575">
            <v>63.63</v>
          </cell>
        </row>
        <row r="5576">
          <cell r="BT5576">
            <v>-488.51</v>
          </cell>
          <cell r="BY5576">
            <v>63.63</v>
          </cell>
        </row>
        <row r="5577">
          <cell r="BT5577">
            <v>4418.3</v>
          </cell>
          <cell r="BY5577">
            <v>577.73</v>
          </cell>
        </row>
        <row r="5578">
          <cell r="BT5578">
            <v>9373.14</v>
          </cell>
          <cell r="BY5578">
            <v>1229.48</v>
          </cell>
        </row>
        <row r="5579">
          <cell r="BT5579">
            <v>4973.57</v>
          </cell>
          <cell r="BY5579">
            <v>647.86</v>
          </cell>
        </row>
        <row r="5580">
          <cell r="BT5580">
            <v>1418.75</v>
          </cell>
          <cell r="BY5580">
            <v>185.46</v>
          </cell>
        </row>
        <row r="5581">
          <cell r="BT5581">
            <v>484</v>
          </cell>
          <cell r="BY5581">
            <v>63.29</v>
          </cell>
        </row>
        <row r="5582">
          <cell r="BT5582">
            <v>72.72</v>
          </cell>
          <cell r="BY5582">
            <v>9.51</v>
          </cell>
        </row>
        <row r="5583">
          <cell r="BT5583">
            <v>89.29</v>
          </cell>
          <cell r="BY5583">
            <v>11.67</v>
          </cell>
        </row>
        <row r="5584">
          <cell r="BT5584">
            <v>-1589</v>
          </cell>
          <cell r="BY5584">
            <v>207.71</v>
          </cell>
        </row>
        <row r="5585">
          <cell r="BT5585">
            <v>-89.29</v>
          </cell>
          <cell r="BY5585">
            <v>11.67</v>
          </cell>
        </row>
        <row r="5586">
          <cell r="BT5586">
            <v>340</v>
          </cell>
          <cell r="BY5586">
            <v>44.25</v>
          </cell>
        </row>
        <row r="5587">
          <cell r="BT5587">
            <v>985.25</v>
          </cell>
          <cell r="BY5587">
            <v>128.85</v>
          </cell>
        </row>
        <row r="5588">
          <cell r="BT5588">
            <v>47630</v>
          </cell>
          <cell r="BY5588">
            <v>6204.28</v>
          </cell>
        </row>
        <row r="5589">
          <cell r="BT5589">
            <v>3969.17</v>
          </cell>
          <cell r="BY5589">
            <v>517.02</v>
          </cell>
        </row>
        <row r="5590">
          <cell r="BT5590">
            <v>3969.17</v>
          </cell>
          <cell r="BY5590">
            <v>517.02</v>
          </cell>
        </row>
        <row r="5591">
          <cell r="BT5591">
            <v>2850</v>
          </cell>
          <cell r="BY5591">
            <v>371.24</v>
          </cell>
        </row>
        <row r="5592">
          <cell r="BT5592">
            <v>5330.08</v>
          </cell>
          <cell r="BY5592">
            <v>694.3</v>
          </cell>
        </row>
        <row r="5593">
          <cell r="BT5593">
            <v>1200</v>
          </cell>
          <cell r="BY5593">
            <v>156.91999999999999</v>
          </cell>
        </row>
        <row r="5594">
          <cell r="BT5594">
            <v>2880</v>
          </cell>
          <cell r="BY5594">
            <v>375.15</v>
          </cell>
        </row>
        <row r="5595">
          <cell r="BT5595">
            <v>27562.5</v>
          </cell>
          <cell r="BY5595">
            <v>3590.3</v>
          </cell>
        </row>
        <row r="5596">
          <cell r="BT5596">
            <v>-27562.5</v>
          </cell>
          <cell r="BY5596">
            <v>3590.3</v>
          </cell>
        </row>
        <row r="5597">
          <cell r="BT5597">
            <v>-2566818.86</v>
          </cell>
          <cell r="BY5597">
            <v>334353.82</v>
          </cell>
        </row>
        <row r="5598">
          <cell r="BT5598">
            <v>40521.800000000003</v>
          </cell>
          <cell r="BY5598">
            <v>5278.37</v>
          </cell>
        </row>
        <row r="5599">
          <cell r="BT5599">
            <v>40521.800000000003</v>
          </cell>
          <cell r="BY5599">
            <v>5278.37</v>
          </cell>
        </row>
        <row r="5600">
          <cell r="BT5600">
            <v>41068.720000000001</v>
          </cell>
          <cell r="BY5600">
            <v>5349.61</v>
          </cell>
        </row>
        <row r="5601">
          <cell r="BT5601">
            <v>56846.400000000001</v>
          </cell>
          <cell r="BY5601">
            <v>7398.56</v>
          </cell>
        </row>
        <row r="5602">
          <cell r="BT5602">
            <v>32029.4</v>
          </cell>
          <cell r="BY5602">
            <v>4168.63</v>
          </cell>
        </row>
        <row r="5603">
          <cell r="BT5603">
            <v>675393.68</v>
          </cell>
          <cell r="BY5603">
            <v>87904</v>
          </cell>
        </row>
        <row r="5604">
          <cell r="BT5604">
            <v>10270</v>
          </cell>
          <cell r="BY5604">
            <v>1342.91</v>
          </cell>
        </row>
        <row r="5605">
          <cell r="BT5605">
            <v>8408.4</v>
          </cell>
          <cell r="BY5605">
            <v>1101.75</v>
          </cell>
        </row>
        <row r="5606">
          <cell r="BT5606">
            <v>16816.8</v>
          </cell>
          <cell r="BY5606">
            <v>2199.13</v>
          </cell>
        </row>
        <row r="5607">
          <cell r="BT5607">
            <v>231884.88</v>
          </cell>
          <cell r="BY5607">
            <v>30325.9</v>
          </cell>
        </row>
        <row r="5608">
          <cell r="BT5608">
            <v>199412.63</v>
          </cell>
          <cell r="BY5608">
            <v>25954</v>
          </cell>
        </row>
        <row r="5609">
          <cell r="BT5609">
            <v>64893.24</v>
          </cell>
          <cell r="BY5609">
            <v>8446</v>
          </cell>
        </row>
        <row r="5610">
          <cell r="BT5610">
            <v>11720.43</v>
          </cell>
          <cell r="BY5610">
            <v>1535.73</v>
          </cell>
        </row>
        <row r="5611">
          <cell r="BT5611">
            <v>66256.56</v>
          </cell>
          <cell r="BY5611">
            <v>8679.61</v>
          </cell>
        </row>
        <row r="5612">
          <cell r="BT5612">
            <v>5431.68</v>
          </cell>
          <cell r="BY5612">
            <v>711.71</v>
          </cell>
        </row>
        <row r="5613">
          <cell r="BT5613">
            <v>61139.519999999997</v>
          </cell>
          <cell r="BY5613">
            <v>8011.11</v>
          </cell>
        </row>
        <row r="5614">
          <cell r="BT5614">
            <v>27141.65</v>
          </cell>
          <cell r="BY5614">
            <v>3549</v>
          </cell>
        </row>
        <row r="5615">
          <cell r="BT5615">
            <v>-675393.68</v>
          </cell>
          <cell r="BY5615">
            <v>87901.63</v>
          </cell>
        </row>
        <row r="5616">
          <cell r="BT5616">
            <v>92937.32</v>
          </cell>
          <cell r="BY5616">
            <v>12096</v>
          </cell>
        </row>
        <row r="5617">
          <cell r="BT5617">
            <v>504025.14</v>
          </cell>
          <cell r="BY5617">
            <v>65600</v>
          </cell>
        </row>
        <row r="5618">
          <cell r="BT5618">
            <v>675393.68</v>
          </cell>
          <cell r="BY5618">
            <v>87904</v>
          </cell>
        </row>
        <row r="5619">
          <cell r="BT5619">
            <v>190292.35</v>
          </cell>
          <cell r="BY5619">
            <v>24960.76</v>
          </cell>
        </row>
        <row r="5620">
          <cell r="BT5620">
            <v>203850.87</v>
          </cell>
          <cell r="BY5620">
            <v>26739.24</v>
          </cell>
        </row>
        <row r="5621">
          <cell r="BT5621">
            <v>7523.59</v>
          </cell>
          <cell r="BY5621">
            <v>980</v>
          </cell>
        </row>
        <row r="5622">
          <cell r="BT5622">
            <v>12991.55</v>
          </cell>
          <cell r="BY5622">
            <v>1692.28</v>
          </cell>
        </row>
        <row r="5623">
          <cell r="BT5623">
            <v>37893</v>
          </cell>
          <cell r="BY5623">
            <v>4931.7700000000004</v>
          </cell>
        </row>
        <row r="5624">
          <cell r="BT5624">
            <v>37893</v>
          </cell>
          <cell r="BY5624">
            <v>4931.7700000000004</v>
          </cell>
        </row>
        <row r="5625">
          <cell r="BT5625">
            <v>37791</v>
          </cell>
          <cell r="BY5625">
            <v>4918.5</v>
          </cell>
        </row>
        <row r="5626">
          <cell r="BT5626">
            <v>34752.239999999998</v>
          </cell>
          <cell r="BY5626">
            <v>4523</v>
          </cell>
        </row>
        <row r="5627">
          <cell r="BT5627">
            <v>-19.68</v>
          </cell>
          <cell r="BY5627">
            <v>2.56</v>
          </cell>
        </row>
        <row r="5628">
          <cell r="BT5628">
            <v>-221.52</v>
          </cell>
          <cell r="BY5628">
            <v>28.86</v>
          </cell>
        </row>
        <row r="5629">
          <cell r="BT5629">
            <v>26077.48</v>
          </cell>
          <cell r="BY5629">
            <v>3396.85</v>
          </cell>
        </row>
        <row r="5630">
          <cell r="BT5630">
            <v>3975.05</v>
          </cell>
          <cell r="BY5630">
            <v>517.79</v>
          </cell>
        </row>
        <row r="5631">
          <cell r="BT5631">
            <v>3975.05</v>
          </cell>
          <cell r="BY5631">
            <v>517.79</v>
          </cell>
        </row>
        <row r="5632">
          <cell r="BT5632">
            <v>-616.16999999999996</v>
          </cell>
          <cell r="BY5632">
            <v>0</v>
          </cell>
        </row>
        <row r="5633">
          <cell r="BT5633">
            <v>-3341.67</v>
          </cell>
          <cell r="BY5633">
            <v>0</v>
          </cell>
        </row>
        <row r="5634">
          <cell r="BT5634">
            <v>-1322.1</v>
          </cell>
          <cell r="BY5634">
            <v>0</v>
          </cell>
        </row>
        <row r="5635">
          <cell r="BT5635">
            <v>-430.24</v>
          </cell>
          <cell r="BY5635">
            <v>0</v>
          </cell>
        </row>
        <row r="5636">
          <cell r="BT5636">
            <v>3964.35</v>
          </cell>
          <cell r="BY5636">
            <v>516.4</v>
          </cell>
        </row>
        <row r="5637">
          <cell r="BT5637">
            <v>-11584.08</v>
          </cell>
          <cell r="BY5637">
            <v>1508.94</v>
          </cell>
        </row>
        <row r="5638">
          <cell r="BT5638">
            <v>-54.37</v>
          </cell>
          <cell r="BY5638">
            <v>0</v>
          </cell>
        </row>
        <row r="5639">
          <cell r="BT5639">
            <v>-42.71</v>
          </cell>
          <cell r="BY5639">
            <v>0</v>
          </cell>
        </row>
        <row r="5640">
          <cell r="BT5640">
            <v>40900</v>
          </cell>
          <cell r="BY5640">
            <v>5327.63</v>
          </cell>
        </row>
        <row r="5641">
          <cell r="BT5641">
            <v>10920</v>
          </cell>
          <cell r="BY5641">
            <v>1422.44</v>
          </cell>
        </row>
        <row r="5642">
          <cell r="BT5642">
            <v>4116.96</v>
          </cell>
          <cell r="BY5642">
            <v>536.28</v>
          </cell>
        </row>
        <row r="5643">
          <cell r="BT5643">
            <v>13712.16</v>
          </cell>
          <cell r="BY5643">
            <v>1796.7</v>
          </cell>
        </row>
        <row r="5644">
          <cell r="BT5644">
            <v>17630.240000000002</v>
          </cell>
          <cell r="BY5644">
            <v>2310.09</v>
          </cell>
        </row>
        <row r="5645">
          <cell r="BT5645">
            <v>22668.36</v>
          </cell>
          <cell r="BY5645">
            <v>2970.24</v>
          </cell>
        </row>
        <row r="5646">
          <cell r="BT5646">
            <v>3102</v>
          </cell>
          <cell r="BY5646">
            <v>406.36</v>
          </cell>
        </row>
        <row r="5647">
          <cell r="BT5647">
            <v>52982.720000000001</v>
          </cell>
          <cell r="BY5647">
            <v>6940.74</v>
          </cell>
        </row>
        <row r="5648">
          <cell r="BT5648">
            <v>70562.3</v>
          </cell>
          <cell r="BY5648">
            <v>9227.43</v>
          </cell>
        </row>
        <row r="5649">
          <cell r="BT5649">
            <v>8584.7999999999993</v>
          </cell>
          <cell r="BY5649">
            <v>1121.78</v>
          </cell>
        </row>
        <row r="5650">
          <cell r="BT5650">
            <v>4560</v>
          </cell>
          <cell r="BY5650">
            <v>595.86</v>
          </cell>
        </row>
        <row r="5651">
          <cell r="BT5651">
            <v>222646.14</v>
          </cell>
          <cell r="BY5651">
            <v>29188.91</v>
          </cell>
        </row>
        <row r="5652">
          <cell r="BT5652">
            <v>19039.28</v>
          </cell>
          <cell r="BY5652">
            <v>2480</v>
          </cell>
        </row>
        <row r="5653">
          <cell r="BT5653">
            <v>77539.009999999995</v>
          </cell>
          <cell r="BY5653">
            <v>10100</v>
          </cell>
        </row>
        <row r="5654">
          <cell r="BT5654">
            <v>6909.42</v>
          </cell>
          <cell r="BY5654">
            <v>900</v>
          </cell>
        </row>
        <row r="5655">
          <cell r="BT5655">
            <v>698.62</v>
          </cell>
          <cell r="BY5655">
            <v>91</v>
          </cell>
        </row>
        <row r="5656">
          <cell r="BT5656">
            <v>5700.73</v>
          </cell>
          <cell r="BY5656">
            <v>742.56</v>
          </cell>
        </row>
        <row r="5657">
          <cell r="BT5657">
            <v>3761.79</v>
          </cell>
          <cell r="BY5657">
            <v>490</v>
          </cell>
        </row>
        <row r="5658">
          <cell r="BT5658">
            <v>1289.76</v>
          </cell>
          <cell r="BY5658">
            <v>168</v>
          </cell>
        </row>
        <row r="5659">
          <cell r="BT5659">
            <v>7803.03</v>
          </cell>
          <cell r="BY5659">
            <v>1016.4</v>
          </cell>
        </row>
        <row r="5660">
          <cell r="BT5660">
            <v>580.39</v>
          </cell>
          <cell r="BY5660">
            <v>75.599999999999994</v>
          </cell>
        </row>
        <row r="5661">
          <cell r="BT5661">
            <v>52680.160000000003</v>
          </cell>
          <cell r="BY5661">
            <v>6861.96</v>
          </cell>
        </row>
        <row r="5662">
          <cell r="BT5662">
            <v>2134.5500000000002</v>
          </cell>
          <cell r="BY5662">
            <v>278.04000000000002</v>
          </cell>
        </row>
        <row r="5663">
          <cell r="BT5663">
            <v>22232.2</v>
          </cell>
          <cell r="BY5663">
            <v>2895.9</v>
          </cell>
        </row>
        <row r="5664">
          <cell r="BT5664">
            <v>338.56</v>
          </cell>
          <cell r="BY5664">
            <v>44.1</v>
          </cell>
        </row>
        <row r="5665">
          <cell r="BT5665">
            <v>-8584.7999999999993</v>
          </cell>
          <cell r="BY5665">
            <v>1121.78</v>
          </cell>
        </row>
        <row r="5666">
          <cell r="BT5666">
            <v>-4560</v>
          </cell>
          <cell r="BY5666">
            <v>595.86</v>
          </cell>
        </row>
        <row r="5667">
          <cell r="BT5667">
            <v>4972.8</v>
          </cell>
          <cell r="BY5667">
            <v>649.79999999999995</v>
          </cell>
        </row>
        <row r="5668">
          <cell r="BT5668">
            <v>30080</v>
          </cell>
          <cell r="BY5668">
            <v>3930.55</v>
          </cell>
        </row>
        <row r="5669">
          <cell r="BT5669">
            <v>-40900</v>
          </cell>
          <cell r="BY5669">
            <v>5327.63</v>
          </cell>
        </row>
        <row r="5670">
          <cell r="BT5670">
            <v>-10920</v>
          </cell>
          <cell r="BY5670">
            <v>1422.44</v>
          </cell>
        </row>
        <row r="5671">
          <cell r="BT5671">
            <v>-4116.96</v>
          </cell>
          <cell r="BY5671">
            <v>536.28</v>
          </cell>
        </row>
        <row r="5672">
          <cell r="BT5672">
            <v>122100</v>
          </cell>
          <cell r="BY5672">
            <v>15954.81</v>
          </cell>
        </row>
        <row r="5673">
          <cell r="BT5673">
            <v>-1592.64</v>
          </cell>
          <cell r="BY5673">
            <v>207.46</v>
          </cell>
        </row>
        <row r="5674">
          <cell r="BT5674">
            <v>-94</v>
          </cell>
          <cell r="BY5674">
            <v>12.24</v>
          </cell>
        </row>
        <row r="5675">
          <cell r="BT5675">
            <v>-7080.64</v>
          </cell>
          <cell r="BY5675">
            <v>922.32</v>
          </cell>
        </row>
        <row r="5676">
          <cell r="BT5676">
            <v>28400</v>
          </cell>
          <cell r="BY5676">
            <v>3699.38</v>
          </cell>
        </row>
        <row r="5677">
          <cell r="BT5677">
            <v>22400</v>
          </cell>
          <cell r="BY5677">
            <v>2917.82</v>
          </cell>
        </row>
        <row r="5678">
          <cell r="BT5678">
            <v>10978.56</v>
          </cell>
          <cell r="BY5678">
            <v>1430.07</v>
          </cell>
        </row>
        <row r="5679">
          <cell r="BT5679">
            <v>198779.51999999999</v>
          </cell>
          <cell r="BY5679">
            <v>26060</v>
          </cell>
        </row>
        <row r="5680">
          <cell r="BT5680">
            <v>-13712.16</v>
          </cell>
          <cell r="BY5680">
            <v>1786.15</v>
          </cell>
        </row>
        <row r="5681">
          <cell r="BT5681">
            <v>-22668.36</v>
          </cell>
          <cell r="BY5681">
            <v>2952.78</v>
          </cell>
        </row>
        <row r="5682">
          <cell r="BT5682">
            <v>24307.919999999998</v>
          </cell>
          <cell r="BY5682">
            <v>3181.66</v>
          </cell>
        </row>
        <row r="5683">
          <cell r="BT5683">
            <v>40184.82</v>
          </cell>
          <cell r="BY5683">
            <v>5259.79</v>
          </cell>
        </row>
        <row r="5684">
          <cell r="BT5684">
            <v>-126.2</v>
          </cell>
          <cell r="BY5684">
            <v>0</v>
          </cell>
        </row>
        <row r="5685">
          <cell r="BT5685">
            <v>-1.92</v>
          </cell>
          <cell r="BY5685">
            <v>0</v>
          </cell>
        </row>
        <row r="5686">
          <cell r="BT5686">
            <v>-108.08</v>
          </cell>
          <cell r="BY5686">
            <v>0</v>
          </cell>
        </row>
        <row r="5687">
          <cell r="BT5687">
            <v>-440.15</v>
          </cell>
          <cell r="BY5687">
            <v>0</v>
          </cell>
        </row>
        <row r="5688">
          <cell r="BT5688">
            <v>-39.22</v>
          </cell>
          <cell r="BY5688">
            <v>0</v>
          </cell>
        </row>
        <row r="5689">
          <cell r="BT5689">
            <v>-3.97</v>
          </cell>
          <cell r="BY5689">
            <v>0</v>
          </cell>
        </row>
        <row r="5690">
          <cell r="BT5690">
            <v>-32.36</v>
          </cell>
          <cell r="BY5690">
            <v>0</v>
          </cell>
        </row>
        <row r="5691">
          <cell r="BT5691">
            <v>-21.35</v>
          </cell>
          <cell r="BY5691">
            <v>0</v>
          </cell>
        </row>
        <row r="5692">
          <cell r="BT5692">
            <v>-7.32</v>
          </cell>
          <cell r="BY5692">
            <v>0</v>
          </cell>
        </row>
        <row r="5693">
          <cell r="BT5693">
            <v>-44.29</v>
          </cell>
          <cell r="BY5693">
            <v>0</v>
          </cell>
        </row>
        <row r="5694">
          <cell r="BT5694">
            <v>-3.29</v>
          </cell>
          <cell r="BY5694">
            <v>0</v>
          </cell>
        </row>
        <row r="5695">
          <cell r="BT5695">
            <v>-299.05</v>
          </cell>
          <cell r="BY5695">
            <v>0</v>
          </cell>
        </row>
        <row r="5696">
          <cell r="BT5696">
            <v>-12.12</v>
          </cell>
          <cell r="BY5696">
            <v>0</v>
          </cell>
        </row>
        <row r="5697">
          <cell r="BT5697">
            <v>1189.06</v>
          </cell>
          <cell r="BY5697">
            <v>155.79</v>
          </cell>
        </row>
        <row r="5698">
          <cell r="BT5698">
            <v>824.83</v>
          </cell>
          <cell r="BY5698">
            <v>108.07</v>
          </cell>
        </row>
        <row r="5699">
          <cell r="BT5699">
            <v>326.33999999999997</v>
          </cell>
          <cell r="BY5699">
            <v>42.76</v>
          </cell>
        </row>
        <row r="5700">
          <cell r="BT5700">
            <v>106.2</v>
          </cell>
          <cell r="BY5700">
            <v>13.91</v>
          </cell>
        </row>
        <row r="5701">
          <cell r="BT5701">
            <v>263.58</v>
          </cell>
          <cell r="BY5701">
            <v>34.450000000000003</v>
          </cell>
        </row>
        <row r="5702">
          <cell r="BT5702">
            <v>-594.53</v>
          </cell>
          <cell r="BY5702">
            <v>77.900000000000006</v>
          </cell>
        </row>
        <row r="5703">
          <cell r="BT5703">
            <v>163.62</v>
          </cell>
          <cell r="BY5703">
            <v>21.44</v>
          </cell>
        </row>
        <row r="5704">
          <cell r="BT5704">
            <v>594.53</v>
          </cell>
          <cell r="BY5704">
            <v>77.900000000000006</v>
          </cell>
        </row>
        <row r="5705">
          <cell r="BT5705">
            <v>-163.62</v>
          </cell>
          <cell r="BY5705">
            <v>21.31</v>
          </cell>
        </row>
        <row r="5706">
          <cell r="BT5706">
            <v>2226.41</v>
          </cell>
          <cell r="BY5706">
            <v>292.04000000000002</v>
          </cell>
        </row>
        <row r="5707">
          <cell r="BT5707">
            <v>1525.95</v>
          </cell>
          <cell r="BY5707">
            <v>200.16</v>
          </cell>
        </row>
        <row r="5708">
          <cell r="BT5708">
            <v>588.09</v>
          </cell>
          <cell r="BY5708">
            <v>77.14</v>
          </cell>
        </row>
        <row r="5709">
          <cell r="BT5709">
            <v>2384.9899999999998</v>
          </cell>
          <cell r="BY5709">
            <v>312.83999999999997</v>
          </cell>
        </row>
        <row r="5710">
          <cell r="BT5710">
            <v>1634.74</v>
          </cell>
          <cell r="BY5710">
            <v>214.43</v>
          </cell>
        </row>
        <row r="5711">
          <cell r="BT5711">
            <v>629.94000000000005</v>
          </cell>
          <cell r="BY5711">
            <v>82.63</v>
          </cell>
        </row>
        <row r="5712">
          <cell r="BT5712">
            <v>23.28</v>
          </cell>
          <cell r="BY5712">
            <v>3.05</v>
          </cell>
        </row>
        <row r="5713">
          <cell r="BT5713">
            <v>951.75</v>
          </cell>
          <cell r="BY5713">
            <v>124.68</v>
          </cell>
        </row>
        <row r="5714">
          <cell r="BT5714">
            <v>13.74</v>
          </cell>
          <cell r="BY5714">
            <v>1.8</v>
          </cell>
        </row>
        <row r="5715">
          <cell r="BT5715">
            <v>4.12</v>
          </cell>
          <cell r="BY5715">
            <v>0.54</v>
          </cell>
        </row>
        <row r="5716">
          <cell r="BT5716">
            <v>63.05</v>
          </cell>
          <cell r="BY5716">
            <v>8.26</v>
          </cell>
        </row>
        <row r="5717">
          <cell r="BT5717">
            <v>94.66</v>
          </cell>
          <cell r="BY5717">
            <v>12.4</v>
          </cell>
        </row>
        <row r="5718">
          <cell r="BT5718">
            <v>3875.78</v>
          </cell>
          <cell r="BY5718">
            <v>507.73</v>
          </cell>
        </row>
        <row r="5719">
          <cell r="BT5719">
            <v>55.8</v>
          </cell>
          <cell r="BY5719">
            <v>7.31</v>
          </cell>
        </row>
        <row r="5720">
          <cell r="BT5720">
            <v>16.72</v>
          </cell>
          <cell r="BY5720">
            <v>2.19</v>
          </cell>
        </row>
        <row r="5721">
          <cell r="BT5721">
            <v>256.79000000000002</v>
          </cell>
          <cell r="BY5721">
            <v>33.64</v>
          </cell>
        </row>
        <row r="5722">
          <cell r="BT5722">
            <v>8.4700000000000006</v>
          </cell>
          <cell r="BY5722">
            <v>1.1100000000000001</v>
          </cell>
        </row>
        <row r="5723">
          <cell r="BT5723">
            <v>345.42</v>
          </cell>
          <cell r="BY5723">
            <v>45.25</v>
          </cell>
        </row>
        <row r="5724">
          <cell r="BT5724">
            <v>4.96</v>
          </cell>
          <cell r="BY5724">
            <v>0.65</v>
          </cell>
        </row>
        <row r="5725">
          <cell r="BT5725">
            <v>1.53</v>
          </cell>
          <cell r="BY5725">
            <v>0.2</v>
          </cell>
        </row>
        <row r="5726">
          <cell r="BT5726">
            <v>22.9</v>
          </cell>
          <cell r="BY5726">
            <v>3</v>
          </cell>
        </row>
        <row r="5727">
          <cell r="BT5727">
            <v>0.84</v>
          </cell>
          <cell r="BY5727">
            <v>0.11</v>
          </cell>
        </row>
        <row r="5728">
          <cell r="BT5728">
            <v>34.89</v>
          </cell>
          <cell r="BY5728">
            <v>4.57</v>
          </cell>
        </row>
        <row r="5729">
          <cell r="BT5729">
            <v>0.53</v>
          </cell>
          <cell r="BY5729">
            <v>7.0000000000000007E-2</v>
          </cell>
        </row>
        <row r="5730">
          <cell r="BT5730">
            <v>0.15</v>
          </cell>
          <cell r="BY5730">
            <v>0.02</v>
          </cell>
        </row>
        <row r="5731">
          <cell r="BT5731">
            <v>2.29</v>
          </cell>
          <cell r="BY5731">
            <v>0.3</v>
          </cell>
        </row>
        <row r="5732">
          <cell r="BT5732">
            <v>6.95</v>
          </cell>
          <cell r="BY5732">
            <v>0.91</v>
          </cell>
        </row>
        <row r="5733">
          <cell r="BT5733">
            <v>284.95999999999998</v>
          </cell>
          <cell r="BY5733">
            <v>37.33</v>
          </cell>
        </row>
        <row r="5734">
          <cell r="BT5734">
            <v>4.12</v>
          </cell>
          <cell r="BY5734">
            <v>0.54</v>
          </cell>
        </row>
        <row r="5735">
          <cell r="BT5735">
            <v>1.22</v>
          </cell>
          <cell r="BY5735">
            <v>0.16</v>
          </cell>
        </row>
        <row r="5736">
          <cell r="BT5736">
            <v>18.850000000000001</v>
          </cell>
          <cell r="BY5736">
            <v>2.4700000000000002</v>
          </cell>
        </row>
        <row r="5737">
          <cell r="BT5737">
            <v>4.58</v>
          </cell>
          <cell r="BY5737">
            <v>0.6</v>
          </cell>
        </row>
        <row r="5738">
          <cell r="BT5738">
            <v>188.01</v>
          </cell>
          <cell r="BY5738">
            <v>24.63</v>
          </cell>
        </row>
        <row r="5739">
          <cell r="BT5739">
            <v>2.75</v>
          </cell>
          <cell r="BY5739">
            <v>0.36</v>
          </cell>
        </row>
        <row r="5740">
          <cell r="BT5740">
            <v>0.84</v>
          </cell>
          <cell r="BY5740">
            <v>0.11</v>
          </cell>
        </row>
        <row r="5741">
          <cell r="BT5741">
            <v>12.44</v>
          </cell>
          <cell r="BY5741">
            <v>1.63</v>
          </cell>
        </row>
        <row r="5742">
          <cell r="BT5742">
            <v>1.6</v>
          </cell>
          <cell r="BY5742">
            <v>0.21</v>
          </cell>
        </row>
        <row r="5743">
          <cell r="BT5743">
            <v>64.5</v>
          </cell>
          <cell r="BY5743">
            <v>8.4499999999999993</v>
          </cell>
        </row>
        <row r="5744">
          <cell r="BT5744">
            <v>0.92</v>
          </cell>
          <cell r="BY5744">
            <v>0.12</v>
          </cell>
        </row>
        <row r="5745">
          <cell r="BT5745">
            <v>0.31</v>
          </cell>
          <cell r="BY5745">
            <v>0.04</v>
          </cell>
        </row>
        <row r="5746">
          <cell r="BT5746">
            <v>4.2699999999999996</v>
          </cell>
          <cell r="BY5746">
            <v>0.56000000000000005</v>
          </cell>
        </row>
        <row r="5747">
          <cell r="BT5747">
            <v>9.5399999999999991</v>
          </cell>
          <cell r="BY5747">
            <v>1.25</v>
          </cell>
        </row>
        <row r="5748">
          <cell r="BT5748">
            <v>390.07</v>
          </cell>
          <cell r="BY5748">
            <v>51.1</v>
          </cell>
        </row>
        <row r="5749">
          <cell r="BT5749">
            <v>5.65</v>
          </cell>
          <cell r="BY5749">
            <v>0.74</v>
          </cell>
        </row>
        <row r="5750">
          <cell r="BT5750">
            <v>1.68</v>
          </cell>
          <cell r="BY5750">
            <v>0.22</v>
          </cell>
        </row>
        <row r="5751">
          <cell r="BT5751">
            <v>25.8</v>
          </cell>
          <cell r="BY5751">
            <v>3.38</v>
          </cell>
        </row>
        <row r="5752">
          <cell r="BT5752">
            <v>0.69</v>
          </cell>
          <cell r="BY5752">
            <v>0.09</v>
          </cell>
        </row>
        <row r="5753">
          <cell r="BT5753">
            <v>29.01</v>
          </cell>
          <cell r="BY5753">
            <v>3.8</v>
          </cell>
        </row>
        <row r="5754">
          <cell r="BT5754">
            <v>0.38</v>
          </cell>
          <cell r="BY5754">
            <v>0.05</v>
          </cell>
        </row>
        <row r="5755">
          <cell r="BT5755">
            <v>0.15</v>
          </cell>
          <cell r="BY5755">
            <v>0.02</v>
          </cell>
        </row>
        <row r="5756">
          <cell r="BT5756">
            <v>1.91</v>
          </cell>
          <cell r="BY5756">
            <v>0.25</v>
          </cell>
        </row>
        <row r="5757">
          <cell r="BT5757">
            <v>64.349999999999994</v>
          </cell>
          <cell r="BY5757">
            <v>8.43</v>
          </cell>
        </row>
        <row r="5758">
          <cell r="BT5758">
            <v>2633.35</v>
          </cell>
          <cell r="BY5758">
            <v>344.97</v>
          </cell>
        </row>
        <row r="5759">
          <cell r="BT5759">
            <v>37.94</v>
          </cell>
          <cell r="BY5759">
            <v>4.97</v>
          </cell>
        </row>
        <row r="5760">
          <cell r="BT5760">
            <v>11.37</v>
          </cell>
          <cell r="BY5760">
            <v>1.49</v>
          </cell>
        </row>
        <row r="5761">
          <cell r="BT5761">
            <v>174.43</v>
          </cell>
          <cell r="BY5761">
            <v>22.85</v>
          </cell>
        </row>
        <row r="5762">
          <cell r="BT5762">
            <v>2.6</v>
          </cell>
          <cell r="BY5762">
            <v>0.34</v>
          </cell>
        </row>
        <row r="5763">
          <cell r="BT5763">
            <v>106.72</v>
          </cell>
          <cell r="BY5763">
            <v>13.98</v>
          </cell>
        </row>
        <row r="5764">
          <cell r="BT5764">
            <v>1.53</v>
          </cell>
          <cell r="BY5764">
            <v>0.2</v>
          </cell>
        </row>
        <row r="5765">
          <cell r="BT5765">
            <v>0.46</v>
          </cell>
          <cell r="BY5765">
            <v>0.06</v>
          </cell>
        </row>
        <row r="5766">
          <cell r="BT5766">
            <v>7.1</v>
          </cell>
          <cell r="BY5766">
            <v>0.93</v>
          </cell>
        </row>
        <row r="5767">
          <cell r="BT5767">
            <v>27.18</v>
          </cell>
          <cell r="BY5767">
            <v>3.56</v>
          </cell>
        </row>
        <row r="5768">
          <cell r="BT5768">
            <v>1111.29</v>
          </cell>
          <cell r="BY5768">
            <v>145.58000000000001</v>
          </cell>
        </row>
        <row r="5769">
          <cell r="BT5769">
            <v>16.03</v>
          </cell>
          <cell r="BY5769">
            <v>2.1</v>
          </cell>
        </row>
        <row r="5770">
          <cell r="BT5770">
            <v>4.8099999999999996</v>
          </cell>
          <cell r="BY5770">
            <v>0.63</v>
          </cell>
        </row>
        <row r="5771">
          <cell r="BT5771">
            <v>73.59</v>
          </cell>
          <cell r="BY5771">
            <v>9.64</v>
          </cell>
        </row>
        <row r="5772">
          <cell r="BT5772">
            <v>0.38</v>
          </cell>
          <cell r="BY5772">
            <v>0.05</v>
          </cell>
        </row>
        <row r="5773">
          <cell r="BT5773">
            <v>16.95</v>
          </cell>
          <cell r="BY5773">
            <v>2.2200000000000002</v>
          </cell>
        </row>
        <row r="5774">
          <cell r="BT5774">
            <v>0.23</v>
          </cell>
          <cell r="BY5774">
            <v>0.03</v>
          </cell>
        </row>
        <row r="5775">
          <cell r="BT5775">
            <v>0.08</v>
          </cell>
          <cell r="BY5775">
            <v>0.01</v>
          </cell>
        </row>
        <row r="5776">
          <cell r="BT5776">
            <v>1.1499999999999999</v>
          </cell>
          <cell r="BY5776">
            <v>0.15</v>
          </cell>
        </row>
        <row r="5777">
          <cell r="BT5777">
            <v>9.16</v>
          </cell>
          <cell r="BY5777">
            <v>1.2</v>
          </cell>
        </row>
        <row r="5778">
          <cell r="BT5778">
            <v>376.11</v>
          </cell>
          <cell r="BY5778">
            <v>49.27</v>
          </cell>
        </row>
        <row r="5779">
          <cell r="BT5779">
            <v>5.42</v>
          </cell>
          <cell r="BY5779">
            <v>0.71</v>
          </cell>
        </row>
        <row r="5780">
          <cell r="BT5780">
            <v>1.6</v>
          </cell>
          <cell r="BY5780">
            <v>0.21</v>
          </cell>
        </row>
        <row r="5781">
          <cell r="BT5781">
            <v>24.89</v>
          </cell>
          <cell r="BY5781">
            <v>3.26</v>
          </cell>
        </row>
        <row r="5782">
          <cell r="BT5782">
            <v>-301.92</v>
          </cell>
          <cell r="BY5782">
            <v>39.479999999999997</v>
          </cell>
        </row>
        <row r="5783">
          <cell r="BT5783">
            <v>133.26</v>
          </cell>
          <cell r="BY5783">
            <v>17.43</v>
          </cell>
        </row>
        <row r="5784">
          <cell r="BT5784">
            <v>-0.02</v>
          </cell>
          <cell r="BY5784">
            <v>0</v>
          </cell>
        </row>
        <row r="5785">
          <cell r="BT5785">
            <v>-57.69</v>
          </cell>
          <cell r="BY5785">
            <v>7.54</v>
          </cell>
        </row>
        <row r="5786">
          <cell r="BT5786">
            <v>140.05000000000001</v>
          </cell>
          <cell r="BY5786">
            <v>18.37</v>
          </cell>
        </row>
        <row r="5787">
          <cell r="BT5787">
            <v>149.96</v>
          </cell>
          <cell r="BY5787">
            <v>19.670000000000002</v>
          </cell>
        </row>
        <row r="5788">
          <cell r="BT5788">
            <v>26.49</v>
          </cell>
          <cell r="BY5788">
            <v>3.47</v>
          </cell>
        </row>
        <row r="5789">
          <cell r="BT5789">
            <v>107.94</v>
          </cell>
          <cell r="BY5789">
            <v>14.14</v>
          </cell>
        </row>
        <row r="5790">
          <cell r="BT5790">
            <v>9.6199999999999992</v>
          </cell>
          <cell r="BY5790">
            <v>1.26</v>
          </cell>
        </row>
        <row r="5791">
          <cell r="BT5791">
            <v>0.99</v>
          </cell>
          <cell r="BY5791">
            <v>0.13</v>
          </cell>
        </row>
        <row r="5792">
          <cell r="BT5792">
            <v>7.94</v>
          </cell>
          <cell r="BY5792">
            <v>1.04</v>
          </cell>
        </row>
        <row r="5793">
          <cell r="BT5793">
            <v>5.27</v>
          </cell>
          <cell r="BY5793">
            <v>0.69</v>
          </cell>
        </row>
        <row r="5794">
          <cell r="BT5794">
            <v>1.83</v>
          </cell>
          <cell r="BY5794">
            <v>0.24</v>
          </cell>
        </row>
        <row r="5795">
          <cell r="BT5795">
            <v>10.84</v>
          </cell>
          <cell r="BY5795">
            <v>1.42</v>
          </cell>
        </row>
        <row r="5796">
          <cell r="BT5796">
            <v>0.84</v>
          </cell>
          <cell r="BY5796">
            <v>0.11</v>
          </cell>
        </row>
        <row r="5797">
          <cell r="BT5797">
            <v>73.36</v>
          </cell>
          <cell r="BY5797">
            <v>9.61</v>
          </cell>
        </row>
        <row r="5798">
          <cell r="BT5798">
            <v>2.98</v>
          </cell>
          <cell r="BY5798">
            <v>0.39</v>
          </cell>
        </row>
        <row r="5799">
          <cell r="BT5799">
            <v>30.99</v>
          </cell>
          <cell r="BY5799">
            <v>4.0599999999999996</v>
          </cell>
        </row>
        <row r="5800">
          <cell r="BT5800">
            <v>0.46</v>
          </cell>
          <cell r="BY5800">
            <v>0.06</v>
          </cell>
        </row>
        <row r="5801">
          <cell r="BT5801">
            <v>10.46</v>
          </cell>
          <cell r="BY5801">
            <v>1.37</v>
          </cell>
        </row>
        <row r="5802">
          <cell r="BT5802">
            <v>28003.3</v>
          </cell>
          <cell r="BY5802">
            <v>3644.69</v>
          </cell>
        </row>
        <row r="5803">
          <cell r="BT5803">
            <v>8.7899999999999991</v>
          </cell>
          <cell r="BY5803">
            <v>1.1499999999999999</v>
          </cell>
        </row>
        <row r="5804">
          <cell r="BT5804">
            <v>373.77</v>
          </cell>
          <cell r="BY5804">
            <v>48.97</v>
          </cell>
        </row>
        <row r="5805">
          <cell r="BT5805">
            <v>3849.11</v>
          </cell>
          <cell r="BY5805">
            <v>504.31</v>
          </cell>
        </row>
        <row r="5806">
          <cell r="BT5806">
            <v>278.93</v>
          </cell>
          <cell r="BY5806">
            <v>36.549999999999997</v>
          </cell>
        </row>
        <row r="5807">
          <cell r="BT5807">
            <v>2872.47</v>
          </cell>
          <cell r="BY5807">
            <v>376.35</v>
          </cell>
        </row>
        <row r="5808">
          <cell r="BT5808">
            <v>25614.25</v>
          </cell>
          <cell r="BY5808">
            <v>3333.75</v>
          </cell>
        </row>
        <row r="5809">
          <cell r="BT5809">
            <v>22.98</v>
          </cell>
          <cell r="BY5809">
            <v>3.01</v>
          </cell>
        </row>
        <row r="5810">
          <cell r="BT5810">
            <v>110.36</v>
          </cell>
          <cell r="BY5810">
            <v>14.46</v>
          </cell>
        </row>
        <row r="5811">
          <cell r="BT5811">
            <v>1136.47</v>
          </cell>
          <cell r="BY5811">
            <v>148.9</v>
          </cell>
        </row>
        <row r="5812">
          <cell r="BT5812">
            <v>10134.030000000001</v>
          </cell>
          <cell r="BY5812">
            <v>1318.97</v>
          </cell>
        </row>
        <row r="5813">
          <cell r="BT5813">
            <v>9.09</v>
          </cell>
          <cell r="BY5813">
            <v>1.19</v>
          </cell>
        </row>
        <row r="5814">
          <cell r="BT5814">
            <v>35.909999999999997</v>
          </cell>
          <cell r="BY5814">
            <v>4.71</v>
          </cell>
        </row>
        <row r="5815">
          <cell r="BT5815">
            <v>369.83</v>
          </cell>
          <cell r="BY5815">
            <v>48.46</v>
          </cell>
        </row>
        <row r="5816">
          <cell r="BT5816">
            <v>3297.84</v>
          </cell>
          <cell r="BY5816">
            <v>429.22</v>
          </cell>
        </row>
        <row r="5817">
          <cell r="BT5817">
            <v>2.96</v>
          </cell>
          <cell r="BY5817">
            <v>0.39</v>
          </cell>
        </row>
        <row r="5818">
          <cell r="BT5818">
            <v>159.99</v>
          </cell>
          <cell r="BY5818">
            <v>20.91</v>
          </cell>
        </row>
        <row r="5819">
          <cell r="BT5819">
            <v>1218.07</v>
          </cell>
          <cell r="BY5819">
            <v>159.19999999999999</v>
          </cell>
        </row>
        <row r="5820">
          <cell r="BT5820">
            <v>-14001.65</v>
          </cell>
          <cell r="BY5820">
            <v>1822.35</v>
          </cell>
        </row>
        <row r="5821">
          <cell r="BT5821">
            <v>-4.4000000000000004</v>
          </cell>
          <cell r="BY5821">
            <v>0.57999999999999996</v>
          </cell>
        </row>
        <row r="5822">
          <cell r="BT5822">
            <v>-186.88</v>
          </cell>
          <cell r="BY5822">
            <v>24.49</v>
          </cell>
        </row>
        <row r="5823">
          <cell r="BT5823">
            <v>-1924.56</v>
          </cell>
          <cell r="BY5823">
            <v>252.16</v>
          </cell>
        </row>
        <row r="5824">
          <cell r="BT5824">
            <v>3666.38</v>
          </cell>
          <cell r="BY5824">
            <v>479.41</v>
          </cell>
        </row>
        <row r="5825">
          <cell r="BT5825">
            <v>25.02</v>
          </cell>
          <cell r="BY5825">
            <v>3.27</v>
          </cell>
        </row>
        <row r="5826">
          <cell r="BT5826">
            <v>3853.39</v>
          </cell>
          <cell r="BY5826">
            <v>501.53</v>
          </cell>
        </row>
        <row r="5827">
          <cell r="BT5827">
            <v>1.21</v>
          </cell>
          <cell r="BY5827">
            <v>0.16</v>
          </cell>
        </row>
        <row r="5828">
          <cell r="BT5828">
            <v>51.43</v>
          </cell>
          <cell r="BY5828">
            <v>6.74</v>
          </cell>
        </row>
        <row r="5829">
          <cell r="BT5829">
            <v>529.66</v>
          </cell>
          <cell r="BY5829">
            <v>69.400000000000006</v>
          </cell>
        </row>
        <row r="5830">
          <cell r="BT5830">
            <v>14001.65</v>
          </cell>
          <cell r="BY5830">
            <v>1822.35</v>
          </cell>
        </row>
        <row r="5831">
          <cell r="BT5831">
            <v>4.4000000000000004</v>
          </cell>
          <cell r="BY5831">
            <v>0.57999999999999996</v>
          </cell>
        </row>
        <row r="5832">
          <cell r="BT5832">
            <v>186.88</v>
          </cell>
          <cell r="BY5832">
            <v>24.49</v>
          </cell>
        </row>
        <row r="5833">
          <cell r="BT5833">
            <v>1924.56</v>
          </cell>
          <cell r="BY5833">
            <v>252.16</v>
          </cell>
        </row>
        <row r="5834">
          <cell r="BT5834">
            <v>12.5</v>
          </cell>
          <cell r="BY5834">
            <v>1.64</v>
          </cell>
        </row>
        <row r="5835">
          <cell r="BT5835">
            <v>75.02</v>
          </cell>
          <cell r="BY5835">
            <v>9.84</v>
          </cell>
        </row>
        <row r="5836">
          <cell r="BT5836">
            <v>12.5</v>
          </cell>
          <cell r="BY5836">
            <v>1.64</v>
          </cell>
        </row>
        <row r="5837">
          <cell r="BT5837">
            <v>75.02</v>
          </cell>
          <cell r="BY5837">
            <v>9.84</v>
          </cell>
        </row>
        <row r="5838">
          <cell r="BT5838">
            <v>-8.26</v>
          </cell>
          <cell r="BY5838">
            <v>1.08</v>
          </cell>
        </row>
        <row r="5839">
          <cell r="BT5839">
            <v>5.91</v>
          </cell>
          <cell r="BY5839">
            <v>0.77</v>
          </cell>
        </row>
        <row r="5840">
          <cell r="BT5840">
            <v>-70.680000000000007</v>
          </cell>
          <cell r="BY5840">
            <v>9.24</v>
          </cell>
        </row>
        <row r="5841">
          <cell r="BT5841">
            <v>-3.87</v>
          </cell>
          <cell r="BY5841">
            <v>0.5</v>
          </cell>
        </row>
        <row r="5842">
          <cell r="BT5842">
            <v>-227.13</v>
          </cell>
          <cell r="BY5842">
            <v>29.59</v>
          </cell>
        </row>
        <row r="5843">
          <cell r="BT5843">
            <v>-5.55</v>
          </cell>
          <cell r="BY5843">
            <v>0.72</v>
          </cell>
        </row>
        <row r="5844">
          <cell r="BT5844">
            <v>-407.86</v>
          </cell>
          <cell r="BY5844">
            <v>53.13</v>
          </cell>
        </row>
        <row r="5845">
          <cell r="BT5845">
            <v>-30.11</v>
          </cell>
          <cell r="BY5845">
            <v>3.92</v>
          </cell>
        </row>
        <row r="5846">
          <cell r="BT5846">
            <v>-11.92</v>
          </cell>
          <cell r="BY5846">
            <v>1.55</v>
          </cell>
        </row>
        <row r="5847">
          <cell r="BT5847">
            <v>-19.98</v>
          </cell>
          <cell r="BY5847">
            <v>2.61</v>
          </cell>
        </row>
        <row r="5848">
          <cell r="BT5848">
            <v>-188.6</v>
          </cell>
          <cell r="BY5848">
            <v>24.66</v>
          </cell>
        </row>
        <row r="5849">
          <cell r="BT5849">
            <v>-1022.78</v>
          </cell>
          <cell r="BY5849">
            <v>133.75</v>
          </cell>
        </row>
        <row r="5850">
          <cell r="BT5850">
            <v>-404.66</v>
          </cell>
          <cell r="BY5850">
            <v>52.92</v>
          </cell>
        </row>
        <row r="5851">
          <cell r="BT5851">
            <v>-131.68</v>
          </cell>
          <cell r="BY5851">
            <v>17.22</v>
          </cell>
        </row>
        <row r="5852">
          <cell r="BT5852">
            <v>-30.11</v>
          </cell>
          <cell r="BY5852">
            <v>3.92</v>
          </cell>
        </row>
        <row r="5853">
          <cell r="BT5853">
            <v>-11.92</v>
          </cell>
          <cell r="BY5853">
            <v>1.55</v>
          </cell>
        </row>
        <row r="5854">
          <cell r="BT5854">
            <v>-3.49</v>
          </cell>
          <cell r="BY5854">
            <v>0.45</v>
          </cell>
        </row>
        <row r="5855">
          <cell r="BT5855">
            <v>-202.62</v>
          </cell>
          <cell r="BY5855">
            <v>26.39</v>
          </cell>
        </row>
        <row r="5856">
          <cell r="BT5856">
            <v>-60.06</v>
          </cell>
          <cell r="BY5856">
            <v>7.82</v>
          </cell>
        </row>
        <row r="5857">
          <cell r="BT5857">
            <v>-1152.0899999999999</v>
          </cell>
          <cell r="BY5857">
            <v>142.33000000000001</v>
          </cell>
        </row>
        <row r="5858">
          <cell r="BT5858">
            <v>-374.95</v>
          </cell>
          <cell r="BY5858">
            <v>46.32</v>
          </cell>
        </row>
        <row r="5859">
          <cell r="BT5859">
            <v>70.680000000000007</v>
          </cell>
          <cell r="BY5859">
            <v>9.24</v>
          </cell>
        </row>
        <row r="5860">
          <cell r="BT5860">
            <v>-70.7</v>
          </cell>
          <cell r="BY5860">
            <v>9.24</v>
          </cell>
        </row>
        <row r="5861">
          <cell r="BT5861">
            <v>-0.36</v>
          </cell>
          <cell r="BY5861">
            <v>0.05</v>
          </cell>
        </row>
        <row r="5862">
          <cell r="BT5862">
            <v>2.5</v>
          </cell>
          <cell r="BY5862">
            <v>0.33</v>
          </cell>
        </row>
        <row r="5863">
          <cell r="BT5863">
            <v>332.7</v>
          </cell>
          <cell r="BY5863">
            <v>46.85</v>
          </cell>
        </row>
        <row r="5864">
          <cell r="BT5864">
            <v>-2911.92</v>
          </cell>
          <cell r="BY5864">
            <v>359.73</v>
          </cell>
        </row>
        <row r="5865">
          <cell r="BT5865">
            <v>-7.35</v>
          </cell>
          <cell r="BY5865">
            <v>0</v>
          </cell>
        </row>
        <row r="5866">
          <cell r="BT5866">
            <v>-12.98</v>
          </cell>
          <cell r="BY5866">
            <v>1.7</v>
          </cell>
        </row>
        <row r="5867">
          <cell r="BT5867">
            <v>7.04</v>
          </cell>
          <cell r="BY5867">
            <v>0.92</v>
          </cell>
        </row>
        <row r="5868">
          <cell r="BT5868">
            <v>70.680000000000007</v>
          </cell>
          <cell r="BY5868">
            <v>9.24</v>
          </cell>
        </row>
        <row r="5869">
          <cell r="BT5869">
            <v>-598.54</v>
          </cell>
          <cell r="BY5869">
            <v>78.27</v>
          </cell>
        </row>
        <row r="5870">
          <cell r="BT5870">
            <v>5.55</v>
          </cell>
          <cell r="BY5870">
            <v>0.72</v>
          </cell>
        </row>
        <row r="5871">
          <cell r="BT5871">
            <v>407.86</v>
          </cell>
          <cell r="BY5871">
            <v>53.13</v>
          </cell>
        </row>
        <row r="5872">
          <cell r="BT5872">
            <v>30.11</v>
          </cell>
          <cell r="BY5872">
            <v>3.92</v>
          </cell>
        </row>
        <row r="5873">
          <cell r="BT5873">
            <v>11.92</v>
          </cell>
          <cell r="BY5873">
            <v>1.55</v>
          </cell>
        </row>
        <row r="5874">
          <cell r="BT5874">
            <v>3.87</v>
          </cell>
          <cell r="BY5874">
            <v>0.5</v>
          </cell>
        </row>
        <row r="5875">
          <cell r="BT5875">
            <v>227.13</v>
          </cell>
          <cell r="BY5875">
            <v>29.59</v>
          </cell>
        </row>
        <row r="5876">
          <cell r="BT5876">
            <v>188.6</v>
          </cell>
          <cell r="BY5876">
            <v>24.66</v>
          </cell>
        </row>
        <row r="5877">
          <cell r="BT5877">
            <v>1022.78</v>
          </cell>
          <cell r="BY5877">
            <v>133.75</v>
          </cell>
        </row>
        <row r="5878">
          <cell r="BT5878">
            <v>404.66</v>
          </cell>
          <cell r="BY5878">
            <v>52.92</v>
          </cell>
        </row>
        <row r="5879">
          <cell r="BT5879">
            <v>131.68</v>
          </cell>
          <cell r="BY5879">
            <v>17.22</v>
          </cell>
        </row>
        <row r="5880">
          <cell r="BT5880">
            <v>0.01</v>
          </cell>
          <cell r="BY5880">
            <v>0</v>
          </cell>
        </row>
        <row r="5881">
          <cell r="BT5881">
            <v>0.35</v>
          </cell>
          <cell r="BY5881">
            <v>0.05</v>
          </cell>
        </row>
        <row r="5882">
          <cell r="BT5882">
            <v>-0.01</v>
          </cell>
          <cell r="BY5882">
            <v>0</v>
          </cell>
        </row>
        <row r="5883">
          <cell r="BT5883">
            <v>-0.01</v>
          </cell>
          <cell r="BY5883">
            <v>0</v>
          </cell>
        </row>
        <row r="5884">
          <cell r="BT5884">
            <v>0.23</v>
          </cell>
          <cell r="BY5884">
            <v>0.03</v>
          </cell>
        </row>
        <row r="5885">
          <cell r="BT5885">
            <v>-0.01</v>
          </cell>
          <cell r="BY5885">
            <v>0</v>
          </cell>
        </row>
        <row r="5886">
          <cell r="BT5886">
            <v>267.86</v>
          </cell>
          <cell r="BY5886">
            <v>35.03</v>
          </cell>
        </row>
        <row r="5887">
          <cell r="BT5887">
            <v>0.25</v>
          </cell>
          <cell r="BY5887">
            <v>0.03</v>
          </cell>
        </row>
        <row r="5888">
          <cell r="BT5888">
            <v>-0.01</v>
          </cell>
          <cell r="BY5888">
            <v>0</v>
          </cell>
        </row>
        <row r="5889">
          <cell r="BT5889">
            <v>0.01</v>
          </cell>
          <cell r="BY5889">
            <v>0</v>
          </cell>
        </row>
        <row r="5890">
          <cell r="BT5890">
            <v>0.01</v>
          </cell>
          <cell r="BY5890">
            <v>0</v>
          </cell>
        </row>
        <row r="5891">
          <cell r="BT5891">
            <v>-936</v>
          </cell>
          <cell r="BY5891">
            <v>121.92</v>
          </cell>
        </row>
        <row r="5892">
          <cell r="BT5892">
            <v>0.01</v>
          </cell>
          <cell r="BY5892">
            <v>0</v>
          </cell>
        </row>
        <row r="5893">
          <cell r="BT5893">
            <v>-267.86</v>
          </cell>
          <cell r="BY5893">
            <v>35.03</v>
          </cell>
        </row>
        <row r="5894">
          <cell r="BT5894">
            <v>-0.02</v>
          </cell>
          <cell r="BY5894">
            <v>0</v>
          </cell>
        </row>
        <row r="5895">
          <cell r="BT5895">
            <v>0.01</v>
          </cell>
          <cell r="BY5895">
            <v>0</v>
          </cell>
        </row>
        <row r="5896">
          <cell r="BT5896">
            <v>0.01</v>
          </cell>
          <cell r="BY5896">
            <v>0</v>
          </cell>
        </row>
        <row r="5897">
          <cell r="BT5897">
            <v>-2.14</v>
          </cell>
          <cell r="BY5897">
            <v>0.28000000000000003</v>
          </cell>
        </row>
        <row r="5898">
          <cell r="BT5898">
            <v>-2.71</v>
          </cell>
          <cell r="BY5898">
            <v>0.35</v>
          </cell>
        </row>
        <row r="5899">
          <cell r="BT5899">
            <v>-0.25</v>
          </cell>
          <cell r="BY5899">
            <v>0.03</v>
          </cell>
        </row>
        <row r="5900">
          <cell r="BT5900">
            <v>-0.02</v>
          </cell>
          <cell r="BY5900">
            <v>0</v>
          </cell>
        </row>
        <row r="5901">
          <cell r="BT5901">
            <v>-0.01</v>
          </cell>
          <cell r="BY5901">
            <v>0</v>
          </cell>
        </row>
        <row r="5902">
          <cell r="BT5902">
            <v>-281.83999999999997</v>
          </cell>
          <cell r="BY5902">
            <v>36.86</v>
          </cell>
        </row>
        <row r="5903">
          <cell r="BT5903">
            <v>-2.14</v>
          </cell>
          <cell r="BY5903">
            <v>0.28000000000000003</v>
          </cell>
        </row>
        <row r="5904">
          <cell r="BT5904">
            <v>804.64</v>
          </cell>
          <cell r="BY5904">
            <v>105.21</v>
          </cell>
        </row>
        <row r="5905">
          <cell r="BT5905">
            <v>-0.04</v>
          </cell>
          <cell r="BY5905">
            <v>0.01</v>
          </cell>
        </row>
        <row r="5906">
          <cell r="BT5906">
            <v>-0.01</v>
          </cell>
          <cell r="BY5906">
            <v>0</v>
          </cell>
        </row>
        <row r="5907">
          <cell r="BT5907">
            <v>-0.01</v>
          </cell>
          <cell r="BY5907">
            <v>0</v>
          </cell>
        </row>
        <row r="5908">
          <cell r="BT5908">
            <v>-0.21</v>
          </cell>
          <cell r="BY5908">
            <v>0.03</v>
          </cell>
        </row>
        <row r="5909">
          <cell r="BT5909">
            <v>-783.29</v>
          </cell>
          <cell r="BY5909">
            <v>102.43</v>
          </cell>
        </row>
        <row r="5910">
          <cell r="BT5910">
            <v>-1.72</v>
          </cell>
          <cell r="BY5910">
            <v>0.22</v>
          </cell>
        </row>
        <row r="5911">
          <cell r="BT5911">
            <v>2.86</v>
          </cell>
          <cell r="BY5911">
            <v>0.37</v>
          </cell>
        </row>
        <row r="5912">
          <cell r="BT5912">
            <v>-1.18</v>
          </cell>
          <cell r="BY5912">
            <v>0.15</v>
          </cell>
        </row>
        <row r="5913">
          <cell r="BT5913">
            <v>-0.01</v>
          </cell>
          <cell r="BY5913">
            <v>0</v>
          </cell>
        </row>
        <row r="5914">
          <cell r="BT5914">
            <v>-0.01</v>
          </cell>
          <cell r="BY5914">
            <v>0</v>
          </cell>
        </row>
        <row r="5915">
          <cell r="BT5915">
            <v>1.02</v>
          </cell>
          <cell r="BY5915">
            <v>0.13</v>
          </cell>
        </row>
        <row r="5916">
          <cell r="BT5916">
            <v>-0.01</v>
          </cell>
          <cell r="BY5916">
            <v>0</v>
          </cell>
        </row>
        <row r="5917">
          <cell r="BT5917">
            <v>-0.02</v>
          </cell>
          <cell r="BY5917">
            <v>0</v>
          </cell>
        </row>
        <row r="5918">
          <cell r="BT5918">
            <v>-0.05</v>
          </cell>
          <cell r="BY5918">
            <v>0.01</v>
          </cell>
        </row>
        <row r="5919">
          <cell r="BT5919">
            <v>-0.01</v>
          </cell>
          <cell r="BY5919">
            <v>0</v>
          </cell>
        </row>
        <row r="5920">
          <cell r="BT5920">
            <v>0.01</v>
          </cell>
          <cell r="BY5920">
            <v>0</v>
          </cell>
        </row>
        <row r="5921">
          <cell r="BT5921">
            <v>0.01</v>
          </cell>
          <cell r="BY5921">
            <v>0</v>
          </cell>
        </row>
        <row r="5922">
          <cell r="BT5922">
            <v>-0.01</v>
          </cell>
          <cell r="BY5922">
            <v>0</v>
          </cell>
        </row>
        <row r="5923">
          <cell r="BT5923">
            <v>0.05</v>
          </cell>
          <cell r="BY5923">
            <v>0.01</v>
          </cell>
        </row>
        <row r="5924">
          <cell r="BT5924">
            <v>-0.01</v>
          </cell>
          <cell r="BY5924">
            <v>0</v>
          </cell>
        </row>
        <row r="5925">
          <cell r="BT5925">
            <v>0.01</v>
          </cell>
          <cell r="BY5925">
            <v>0</v>
          </cell>
        </row>
        <row r="5926">
          <cell r="BT5926">
            <v>0</v>
          </cell>
          <cell r="BY5926">
            <v>2.37</v>
          </cell>
        </row>
        <row r="5927">
          <cell r="BT5927">
            <v>-30.88</v>
          </cell>
          <cell r="BY5927">
            <v>4.0199999999999996</v>
          </cell>
        </row>
        <row r="5928">
          <cell r="BT5928">
            <v>-648</v>
          </cell>
          <cell r="BY5928">
            <v>84.41</v>
          </cell>
        </row>
        <row r="5929">
          <cell r="BT5929">
            <v>51.41</v>
          </cell>
          <cell r="BY5929">
            <v>6.7</v>
          </cell>
        </row>
        <row r="5930">
          <cell r="BT5930">
            <v>-2720.36</v>
          </cell>
          <cell r="BY5930">
            <v>354.35</v>
          </cell>
        </row>
        <row r="5931">
          <cell r="BT5931">
            <v>-74.75</v>
          </cell>
          <cell r="BY5931">
            <v>9.7799999999999994</v>
          </cell>
        </row>
        <row r="5932">
          <cell r="BT5932">
            <v>-0.38</v>
          </cell>
          <cell r="BY5932">
            <v>0.05</v>
          </cell>
        </row>
        <row r="5933">
          <cell r="BT5933">
            <v>-672.51</v>
          </cell>
          <cell r="BY5933">
            <v>87.6</v>
          </cell>
        </row>
        <row r="5934">
          <cell r="BT5934">
            <v>-303.04000000000002</v>
          </cell>
          <cell r="BY5934">
            <v>39.44</v>
          </cell>
        </row>
        <row r="5935">
          <cell r="BT5935">
            <v>163.62</v>
          </cell>
          <cell r="BY5935">
            <v>21.3</v>
          </cell>
        </row>
        <row r="5936">
          <cell r="BT5936">
            <v>3705.71</v>
          </cell>
          <cell r="BY5936">
            <v>501.53</v>
          </cell>
        </row>
        <row r="5937">
          <cell r="BT5937">
            <v>-4477.83</v>
          </cell>
          <cell r="BY5937">
            <v>0</v>
          </cell>
        </row>
        <row r="5938">
          <cell r="BT5938">
            <v>-424.24</v>
          </cell>
          <cell r="BY5938">
            <v>55.48</v>
          </cell>
        </row>
        <row r="5939">
          <cell r="BT5939">
            <v>648</v>
          </cell>
          <cell r="BY5939">
            <v>84.41</v>
          </cell>
        </row>
        <row r="5940">
          <cell r="BT5940">
            <v>1321.4</v>
          </cell>
          <cell r="BY5940">
            <v>172.54</v>
          </cell>
        </row>
        <row r="5941">
          <cell r="BT5941">
            <v>845</v>
          </cell>
          <cell r="BY5941">
            <v>109.98</v>
          </cell>
        </row>
        <row r="5942">
          <cell r="BT5942">
            <v>3288.6</v>
          </cell>
          <cell r="BY5942">
            <v>428.01</v>
          </cell>
        </row>
        <row r="5943">
          <cell r="BT5943">
            <v>254</v>
          </cell>
          <cell r="BY5943">
            <v>33.06</v>
          </cell>
        </row>
        <row r="5944">
          <cell r="BT5944">
            <v>68.5</v>
          </cell>
          <cell r="BY5944">
            <v>8.92</v>
          </cell>
        </row>
        <row r="5945">
          <cell r="BT5945">
            <v>21691</v>
          </cell>
          <cell r="BY5945">
            <v>2823.08</v>
          </cell>
        </row>
        <row r="5946">
          <cell r="BT5946">
            <v>6659.86</v>
          </cell>
          <cell r="BY5946">
            <v>866.78</v>
          </cell>
        </row>
        <row r="5947">
          <cell r="BT5947">
            <v>-21691</v>
          </cell>
          <cell r="BY5947">
            <v>2823.08</v>
          </cell>
        </row>
        <row r="5948">
          <cell r="BT5948">
            <v>-6659.86</v>
          </cell>
          <cell r="BY5948">
            <v>866.78</v>
          </cell>
        </row>
        <row r="5949">
          <cell r="BT5949">
            <v>21691</v>
          </cell>
          <cell r="BY5949">
            <v>2823.08</v>
          </cell>
        </row>
        <row r="5950">
          <cell r="BT5950">
            <v>21691</v>
          </cell>
          <cell r="BY5950">
            <v>2823.08</v>
          </cell>
        </row>
        <row r="5951">
          <cell r="BT5951">
            <v>12209.74</v>
          </cell>
          <cell r="BY5951">
            <v>1589.1</v>
          </cell>
        </row>
        <row r="5952">
          <cell r="BT5952">
            <v>10845.5</v>
          </cell>
          <cell r="BY5952">
            <v>1417.07</v>
          </cell>
        </row>
        <row r="5953">
          <cell r="BT5953">
            <v>1982.1</v>
          </cell>
          <cell r="BY5953">
            <v>258.25</v>
          </cell>
        </row>
        <row r="5954">
          <cell r="BT5954">
            <v>70</v>
          </cell>
          <cell r="BY5954">
            <v>9.17</v>
          </cell>
        </row>
        <row r="5955">
          <cell r="BT5955">
            <v>24277.5</v>
          </cell>
          <cell r="BY5955">
            <v>3175.01</v>
          </cell>
        </row>
        <row r="5956">
          <cell r="BT5956">
            <v>7537.5</v>
          </cell>
          <cell r="BY5956">
            <v>985.75</v>
          </cell>
        </row>
        <row r="5957">
          <cell r="BT5957">
            <v>3958.5</v>
          </cell>
          <cell r="BY5957">
            <v>517.46</v>
          </cell>
        </row>
        <row r="5958">
          <cell r="BT5958">
            <v>0.02</v>
          </cell>
          <cell r="BY5958">
            <v>0</v>
          </cell>
        </row>
        <row r="5959">
          <cell r="BT5959">
            <v>0.04</v>
          </cell>
          <cell r="BY5959">
            <v>0.01</v>
          </cell>
        </row>
        <row r="5960">
          <cell r="BT5960">
            <v>3228.5</v>
          </cell>
          <cell r="BY5960">
            <v>421.55</v>
          </cell>
        </row>
        <row r="5961">
          <cell r="BT5961">
            <v>0.04</v>
          </cell>
          <cell r="BY5961">
            <v>0.01</v>
          </cell>
        </row>
        <row r="5962">
          <cell r="BT5962">
            <v>213</v>
          </cell>
          <cell r="BY5962">
            <v>27.75</v>
          </cell>
        </row>
        <row r="5963">
          <cell r="BT5963">
            <v>96</v>
          </cell>
          <cell r="BY5963">
            <v>12.5</v>
          </cell>
        </row>
        <row r="5964">
          <cell r="BT5964">
            <v>60</v>
          </cell>
          <cell r="BY5964">
            <v>7.82</v>
          </cell>
        </row>
        <row r="5965">
          <cell r="BT5965">
            <v>249</v>
          </cell>
          <cell r="BY5965">
            <v>32.43</v>
          </cell>
        </row>
        <row r="5966">
          <cell r="BT5966">
            <v>66</v>
          </cell>
          <cell r="BY5966">
            <v>8.6</v>
          </cell>
        </row>
        <row r="5967">
          <cell r="BT5967">
            <v>108</v>
          </cell>
          <cell r="BY5967">
            <v>14.07</v>
          </cell>
        </row>
        <row r="5968">
          <cell r="BT5968">
            <v>6659.86</v>
          </cell>
          <cell r="BY5968">
            <v>866.78</v>
          </cell>
        </row>
        <row r="5969">
          <cell r="BT5969">
            <v>104.34</v>
          </cell>
          <cell r="BY5969">
            <v>13.59</v>
          </cell>
        </row>
        <row r="5970">
          <cell r="BT5970">
            <v>0.03</v>
          </cell>
          <cell r="BY5970">
            <v>0</v>
          </cell>
        </row>
        <row r="5971">
          <cell r="BT5971">
            <v>0.01</v>
          </cell>
          <cell r="BY5971">
            <v>0</v>
          </cell>
        </row>
        <row r="5972">
          <cell r="BT5972">
            <v>-2</v>
          </cell>
          <cell r="BY5972">
            <v>0.26</v>
          </cell>
        </row>
        <row r="5973">
          <cell r="BT5973">
            <v>95.46</v>
          </cell>
          <cell r="BY5973">
            <v>12.43</v>
          </cell>
        </row>
        <row r="5974">
          <cell r="BT5974">
            <v>1</v>
          </cell>
          <cell r="BY5974">
            <v>0.13</v>
          </cell>
        </row>
        <row r="5975">
          <cell r="BT5975">
            <v>-1321.4</v>
          </cell>
          <cell r="BY5975">
            <v>172.54</v>
          </cell>
        </row>
        <row r="5976">
          <cell r="BT5976">
            <v>6.09</v>
          </cell>
          <cell r="BY5976">
            <v>0.8</v>
          </cell>
        </row>
        <row r="5977">
          <cell r="BT5977">
            <v>41.21</v>
          </cell>
          <cell r="BY5977">
            <v>5.38</v>
          </cell>
        </row>
        <row r="5978">
          <cell r="BT5978">
            <v>12.54</v>
          </cell>
          <cell r="BY5978">
            <v>1.64</v>
          </cell>
        </row>
        <row r="5979">
          <cell r="BT5979">
            <v>286.23</v>
          </cell>
          <cell r="BY5979">
            <v>37.369999999999997</v>
          </cell>
        </row>
        <row r="5980">
          <cell r="BT5980">
            <v>2068.7800000000002</v>
          </cell>
          <cell r="BY5980">
            <v>270.12</v>
          </cell>
        </row>
        <row r="5981">
          <cell r="BT5981">
            <v>633.61</v>
          </cell>
          <cell r="BY5981">
            <v>82.73</v>
          </cell>
        </row>
        <row r="5982">
          <cell r="BT5982">
            <v>626.87</v>
          </cell>
          <cell r="BY5982">
            <v>81.97</v>
          </cell>
        </row>
        <row r="5983">
          <cell r="BT5983">
            <v>-845</v>
          </cell>
          <cell r="BY5983">
            <v>109.98</v>
          </cell>
        </row>
        <row r="5984">
          <cell r="BT5984">
            <v>-3288.6</v>
          </cell>
          <cell r="BY5984">
            <v>428.01</v>
          </cell>
        </row>
        <row r="5985">
          <cell r="BT5985">
            <v>-254</v>
          </cell>
          <cell r="BY5985">
            <v>33.06</v>
          </cell>
        </row>
        <row r="5986">
          <cell r="BT5986">
            <v>-68.5</v>
          </cell>
          <cell r="BY5986">
            <v>8.92</v>
          </cell>
        </row>
        <row r="5987">
          <cell r="BT5987">
            <v>-21691</v>
          </cell>
          <cell r="BY5987">
            <v>2823.08</v>
          </cell>
        </row>
        <row r="5988">
          <cell r="BT5988">
            <v>-6659.86</v>
          </cell>
          <cell r="BY5988">
            <v>866.78</v>
          </cell>
        </row>
        <row r="5989">
          <cell r="BT5989">
            <v>21691</v>
          </cell>
          <cell r="BY5989">
            <v>2823.08</v>
          </cell>
        </row>
        <row r="5990">
          <cell r="BT5990">
            <v>6659.86</v>
          </cell>
          <cell r="BY5990">
            <v>866.78</v>
          </cell>
        </row>
        <row r="5991">
          <cell r="BT5991">
            <v>-21691</v>
          </cell>
          <cell r="BY5991">
            <v>2823.08</v>
          </cell>
        </row>
        <row r="5992">
          <cell r="BT5992">
            <v>-21691</v>
          </cell>
          <cell r="BY5992">
            <v>2823.08</v>
          </cell>
        </row>
        <row r="5993">
          <cell r="BT5993">
            <v>-12209.74</v>
          </cell>
          <cell r="BY5993">
            <v>1589.1</v>
          </cell>
        </row>
        <row r="5994">
          <cell r="BT5994">
            <v>2618.6999999999998</v>
          </cell>
          <cell r="BY5994">
            <v>340.82</v>
          </cell>
        </row>
        <row r="5995">
          <cell r="BT5995">
            <v>19218.23</v>
          </cell>
          <cell r="BY5995">
            <v>2501.25</v>
          </cell>
        </row>
        <row r="5996">
          <cell r="BT5996">
            <v>5827.38</v>
          </cell>
          <cell r="BY5996">
            <v>758.43</v>
          </cell>
        </row>
        <row r="5997">
          <cell r="BT5997">
            <v>60.9</v>
          </cell>
          <cell r="BY5997">
            <v>7.93</v>
          </cell>
        </row>
        <row r="5998">
          <cell r="BT5998">
            <v>433.8</v>
          </cell>
          <cell r="BY5998">
            <v>56.46</v>
          </cell>
        </row>
        <row r="5999">
          <cell r="BT5999">
            <v>132.13999999999999</v>
          </cell>
          <cell r="BY5999">
            <v>17.2</v>
          </cell>
        </row>
        <row r="6000">
          <cell r="BT6000">
            <v>-10845.5</v>
          </cell>
          <cell r="BY6000">
            <v>1417.07</v>
          </cell>
        </row>
        <row r="6001">
          <cell r="BT6001">
            <v>-1982.1</v>
          </cell>
          <cell r="BY6001">
            <v>258.25</v>
          </cell>
        </row>
        <row r="6002">
          <cell r="BT6002">
            <v>-70</v>
          </cell>
          <cell r="BY6002">
            <v>9.17</v>
          </cell>
        </row>
        <row r="6003">
          <cell r="BT6003">
            <v>901.32</v>
          </cell>
          <cell r="BY6003">
            <v>117.69</v>
          </cell>
        </row>
        <row r="6004">
          <cell r="BT6004">
            <v>6742.52</v>
          </cell>
          <cell r="BY6004">
            <v>880.37</v>
          </cell>
        </row>
        <row r="6005">
          <cell r="BT6005">
            <v>340.66</v>
          </cell>
          <cell r="BY6005">
            <v>44.48</v>
          </cell>
        </row>
        <row r="6006">
          <cell r="BT6006">
            <v>1710.36</v>
          </cell>
          <cell r="BY6006">
            <v>223.32</v>
          </cell>
        </row>
        <row r="6007">
          <cell r="BT6007">
            <v>6.09</v>
          </cell>
          <cell r="BY6007">
            <v>0.8</v>
          </cell>
        </row>
        <row r="6008">
          <cell r="BT6008">
            <v>36.869999999999997</v>
          </cell>
          <cell r="BY6008">
            <v>4.8099999999999996</v>
          </cell>
        </row>
        <row r="6009">
          <cell r="BT6009">
            <v>11.2</v>
          </cell>
          <cell r="BY6009">
            <v>1.46</v>
          </cell>
        </row>
        <row r="6010">
          <cell r="BT6010">
            <v>6.09</v>
          </cell>
          <cell r="BY6010">
            <v>0.8</v>
          </cell>
        </row>
        <row r="6011">
          <cell r="BT6011">
            <v>23.86</v>
          </cell>
          <cell r="BY6011">
            <v>3.12</v>
          </cell>
        </row>
        <row r="6012">
          <cell r="BT6012">
            <v>6.94</v>
          </cell>
          <cell r="BY6012">
            <v>0.91</v>
          </cell>
        </row>
        <row r="6013">
          <cell r="BT6013">
            <v>12.18</v>
          </cell>
          <cell r="BY6013">
            <v>1.59</v>
          </cell>
        </row>
        <row r="6014">
          <cell r="BT6014">
            <v>68.540000000000006</v>
          </cell>
          <cell r="BY6014">
            <v>8.9499999999999993</v>
          </cell>
        </row>
        <row r="6015">
          <cell r="BT6015">
            <v>20.54</v>
          </cell>
          <cell r="BY6015">
            <v>2.68</v>
          </cell>
        </row>
        <row r="6016">
          <cell r="BT6016">
            <v>-24277.5</v>
          </cell>
          <cell r="BY6016">
            <v>3175.01</v>
          </cell>
        </row>
        <row r="6017">
          <cell r="BT6017">
            <v>-7537.5</v>
          </cell>
          <cell r="BY6017">
            <v>985.75</v>
          </cell>
        </row>
        <row r="6018">
          <cell r="BT6018">
            <v>-3958.5</v>
          </cell>
          <cell r="BY6018">
            <v>517.46</v>
          </cell>
        </row>
        <row r="6019">
          <cell r="BT6019">
            <v>-0.02</v>
          </cell>
          <cell r="BY6019">
            <v>0</v>
          </cell>
        </row>
        <row r="6020">
          <cell r="BT6020">
            <v>-0.04</v>
          </cell>
          <cell r="BY6020">
            <v>0.01</v>
          </cell>
        </row>
        <row r="6021">
          <cell r="BT6021">
            <v>-3228.5</v>
          </cell>
          <cell r="BY6021">
            <v>421.55</v>
          </cell>
        </row>
        <row r="6022">
          <cell r="BT6022">
            <v>-0.04</v>
          </cell>
          <cell r="BY6022">
            <v>0.01</v>
          </cell>
        </row>
        <row r="6023">
          <cell r="BT6023">
            <v>-213</v>
          </cell>
          <cell r="BY6023">
            <v>27.75</v>
          </cell>
        </row>
        <row r="6024">
          <cell r="BT6024">
            <v>-96</v>
          </cell>
          <cell r="BY6024">
            <v>12.5</v>
          </cell>
        </row>
        <row r="6025">
          <cell r="BT6025">
            <v>-60</v>
          </cell>
          <cell r="BY6025">
            <v>7.82</v>
          </cell>
        </row>
        <row r="6026">
          <cell r="BT6026">
            <v>-249</v>
          </cell>
          <cell r="BY6026">
            <v>32.43</v>
          </cell>
        </row>
        <row r="6027">
          <cell r="BT6027">
            <v>-66</v>
          </cell>
          <cell r="BY6027">
            <v>8.6</v>
          </cell>
        </row>
        <row r="6028">
          <cell r="BT6028">
            <v>-108</v>
          </cell>
          <cell r="BY6028">
            <v>14.07</v>
          </cell>
        </row>
        <row r="6029">
          <cell r="BT6029">
            <v>-6659.86</v>
          </cell>
          <cell r="BY6029">
            <v>866.78</v>
          </cell>
        </row>
        <row r="6030">
          <cell r="BT6030">
            <v>-104.34</v>
          </cell>
          <cell r="BY6030">
            <v>13.59</v>
          </cell>
        </row>
        <row r="6031">
          <cell r="BT6031">
            <v>-0.03</v>
          </cell>
          <cell r="BY6031">
            <v>0</v>
          </cell>
        </row>
        <row r="6032">
          <cell r="BT6032">
            <v>-708817.71</v>
          </cell>
          <cell r="BY6032">
            <v>92258.91</v>
          </cell>
        </row>
        <row r="6033">
          <cell r="BT6033">
            <v>1488.55</v>
          </cell>
          <cell r="BY6033">
            <v>194.36</v>
          </cell>
        </row>
        <row r="6034">
          <cell r="BT6034">
            <v>76514.78</v>
          </cell>
          <cell r="BY6034">
            <v>9990.5300000000007</v>
          </cell>
        </row>
        <row r="6035">
          <cell r="BT6035">
            <v>-533638.6</v>
          </cell>
          <cell r="BY6035">
            <v>69457.73</v>
          </cell>
        </row>
        <row r="6036">
          <cell r="BT6036">
            <v>-211128.92</v>
          </cell>
          <cell r="BY6036">
            <v>27480.28</v>
          </cell>
        </row>
        <row r="6037">
          <cell r="BT6037">
            <v>-68705.98</v>
          </cell>
          <cell r="BY6037">
            <v>8942.69</v>
          </cell>
        </row>
        <row r="6038">
          <cell r="BT6038">
            <v>-32474.69</v>
          </cell>
          <cell r="BY6038">
            <v>4246.24</v>
          </cell>
        </row>
        <row r="6039">
          <cell r="BT6039">
            <v>692105.7</v>
          </cell>
          <cell r="BY6039">
            <v>90079.11</v>
          </cell>
        </row>
        <row r="6040">
          <cell r="BT6040">
            <v>708817.71</v>
          </cell>
          <cell r="BY6040">
            <v>92252.62</v>
          </cell>
        </row>
        <row r="6041">
          <cell r="BT6041">
            <v>16185.63</v>
          </cell>
          <cell r="BY6041">
            <v>2106.56</v>
          </cell>
        </row>
        <row r="6042">
          <cell r="BT6042">
            <v>-97536.63</v>
          </cell>
          <cell r="BY6042">
            <v>12695.27</v>
          </cell>
        </row>
        <row r="6043">
          <cell r="BT6043">
            <v>-692105.7</v>
          </cell>
          <cell r="BY6043">
            <v>90081.48</v>
          </cell>
        </row>
        <row r="6044">
          <cell r="BT6044">
            <v>248248.31</v>
          </cell>
          <cell r="BY6044">
            <v>32413.78</v>
          </cell>
        </row>
        <row r="6045">
          <cell r="BT6045">
            <v>1310.57</v>
          </cell>
          <cell r="BY6045">
            <v>171.12</v>
          </cell>
        </row>
        <row r="6046">
          <cell r="BT6046">
            <v>792.82</v>
          </cell>
          <cell r="BY6046">
            <v>103.52</v>
          </cell>
        </row>
        <row r="6047">
          <cell r="BT6047">
            <v>2443.17</v>
          </cell>
          <cell r="BY6047">
            <v>319</v>
          </cell>
        </row>
        <row r="6048">
          <cell r="BT6048">
            <v>8.26</v>
          </cell>
          <cell r="BY6048">
            <v>1.08</v>
          </cell>
        </row>
        <row r="6049">
          <cell r="BT6049">
            <v>-5.91</v>
          </cell>
          <cell r="BY6049">
            <v>0.77</v>
          </cell>
        </row>
        <row r="6050">
          <cell r="BT6050">
            <v>70.680000000000007</v>
          </cell>
          <cell r="BY6050">
            <v>9.24</v>
          </cell>
        </row>
        <row r="6051">
          <cell r="BT6051">
            <v>3.87</v>
          </cell>
          <cell r="BY6051">
            <v>0.5</v>
          </cell>
        </row>
        <row r="6052">
          <cell r="BT6052">
            <v>227.13</v>
          </cell>
          <cell r="BY6052">
            <v>29.59</v>
          </cell>
        </row>
        <row r="6053">
          <cell r="BT6053">
            <v>163.62</v>
          </cell>
          <cell r="BY6053">
            <v>21.31</v>
          </cell>
        </row>
        <row r="6054">
          <cell r="BT6054">
            <v>5.55</v>
          </cell>
          <cell r="BY6054">
            <v>0.72</v>
          </cell>
        </row>
        <row r="6055">
          <cell r="BT6055">
            <v>407.86</v>
          </cell>
          <cell r="BY6055">
            <v>53.13</v>
          </cell>
        </row>
        <row r="6056">
          <cell r="BT6056">
            <v>30.11</v>
          </cell>
          <cell r="BY6056">
            <v>3.92</v>
          </cell>
        </row>
        <row r="6057">
          <cell r="BT6057">
            <v>11.92</v>
          </cell>
          <cell r="BY6057">
            <v>1.55</v>
          </cell>
        </row>
        <row r="6058">
          <cell r="BT6058">
            <v>19.98</v>
          </cell>
          <cell r="BY6058">
            <v>2.61</v>
          </cell>
        </row>
        <row r="6059">
          <cell r="BT6059">
            <v>188.6</v>
          </cell>
          <cell r="BY6059">
            <v>24.66</v>
          </cell>
        </row>
        <row r="6060">
          <cell r="BT6060">
            <v>1022.78</v>
          </cell>
          <cell r="BY6060">
            <v>133.75</v>
          </cell>
        </row>
        <row r="6061">
          <cell r="BT6061">
            <v>404.66</v>
          </cell>
          <cell r="BY6061">
            <v>52.92</v>
          </cell>
        </row>
        <row r="6062">
          <cell r="BT6062">
            <v>131.68</v>
          </cell>
          <cell r="BY6062">
            <v>17.22</v>
          </cell>
        </row>
        <row r="6063">
          <cell r="BT6063">
            <v>30.11</v>
          </cell>
          <cell r="BY6063">
            <v>3.92</v>
          </cell>
        </row>
        <row r="6064">
          <cell r="BT6064">
            <v>11.92</v>
          </cell>
          <cell r="BY6064">
            <v>1.55</v>
          </cell>
        </row>
        <row r="6065">
          <cell r="BT6065">
            <v>3.49</v>
          </cell>
          <cell r="BY6065">
            <v>0.45</v>
          </cell>
        </row>
        <row r="6066">
          <cell r="BT6066">
            <v>202.62</v>
          </cell>
          <cell r="BY6066">
            <v>26.39</v>
          </cell>
        </row>
        <row r="6067">
          <cell r="BT6067">
            <v>60.06</v>
          </cell>
          <cell r="BY6067">
            <v>7.82</v>
          </cell>
        </row>
        <row r="6068">
          <cell r="BT6068">
            <v>1152.0899999999999</v>
          </cell>
          <cell r="BY6068">
            <v>142.33000000000001</v>
          </cell>
        </row>
        <row r="6069">
          <cell r="BT6069">
            <v>374.95</v>
          </cell>
          <cell r="BY6069">
            <v>46.32</v>
          </cell>
        </row>
        <row r="6070">
          <cell r="BT6070">
            <v>-70.680000000000007</v>
          </cell>
          <cell r="BY6070">
            <v>9.24</v>
          </cell>
        </row>
        <row r="6071">
          <cell r="BT6071">
            <v>70.7</v>
          </cell>
          <cell r="BY6071">
            <v>9.24</v>
          </cell>
        </row>
        <row r="6072">
          <cell r="BT6072">
            <v>616.16999999999996</v>
          </cell>
          <cell r="BY6072">
            <v>0</v>
          </cell>
        </row>
        <row r="6073">
          <cell r="BT6073">
            <v>3341.67</v>
          </cell>
          <cell r="BY6073">
            <v>0</v>
          </cell>
        </row>
        <row r="6074">
          <cell r="BT6074">
            <v>1322.1</v>
          </cell>
          <cell r="BY6074">
            <v>0</v>
          </cell>
        </row>
        <row r="6075">
          <cell r="BT6075">
            <v>430.24</v>
          </cell>
          <cell r="BY6075">
            <v>0</v>
          </cell>
        </row>
        <row r="6076">
          <cell r="BT6076">
            <v>54.37</v>
          </cell>
          <cell r="BY6076">
            <v>0</v>
          </cell>
        </row>
        <row r="6077">
          <cell r="BT6077">
            <v>-332.7</v>
          </cell>
          <cell r="BY6077">
            <v>46.85</v>
          </cell>
        </row>
        <row r="6078">
          <cell r="BT6078">
            <v>2911.92</v>
          </cell>
          <cell r="BY6078">
            <v>359.73</v>
          </cell>
        </row>
        <row r="6079">
          <cell r="BT6079">
            <v>7.35</v>
          </cell>
          <cell r="BY6079">
            <v>0</v>
          </cell>
        </row>
        <row r="6080">
          <cell r="BT6080">
            <v>12.98</v>
          </cell>
          <cell r="BY6080">
            <v>1.7</v>
          </cell>
        </row>
        <row r="6081">
          <cell r="BT6081">
            <v>-7.04</v>
          </cell>
          <cell r="BY6081">
            <v>0.92</v>
          </cell>
        </row>
        <row r="6082">
          <cell r="BT6082">
            <v>-70.680000000000007</v>
          </cell>
          <cell r="BY6082">
            <v>9.24</v>
          </cell>
        </row>
        <row r="6083">
          <cell r="BT6083">
            <v>598.54</v>
          </cell>
          <cell r="BY6083">
            <v>78.27</v>
          </cell>
        </row>
        <row r="6084">
          <cell r="BT6084">
            <v>-5.55</v>
          </cell>
          <cell r="BY6084">
            <v>0.72</v>
          </cell>
        </row>
        <row r="6085">
          <cell r="BT6085">
            <v>-407.86</v>
          </cell>
          <cell r="BY6085">
            <v>53.13</v>
          </cell>
        </row>
        <row r="6086">
          <cell r="BT6086">
            <v>-30.11</v>
          </cell>
          <cell r="BY6086">
            <v>3.92</v>
          </cell>
        </row>
        <row r="6087">
          <cell r="BT6087">
            <v>-11.92</v>
          </cell>
          <cell r="BY6087">
            <v>1.55</v>
          </cell>
        </row>
        <row r="6088">
          <cell r="BT6088">
            <v>-3.87</v>
          </cell>
          <cell r="BY6088">
            <v>0.5</v>
          </cell>
        </row>
        <row r="6089">
          <cell r="BT6089">
            <v>-227.13</v>
          </cell>
          <cell r="BY6089">
            <v>29.59</v>
          </cell>
        </row>
        <row r="6090">
          <cell r="BT6090">
            <v>-188.6</v>
          </cell>
          <cell r="BY6090">
            <v>24.66</v>
          </cell>
        </row>
        <row r="6091">
          <cell r="BT6091">
            <v>-1022.78</v>
          </cell>
          <cell r="BY6091">
            <v>133.75</v>
          </cell>
        </row>
        <row r="6092">
          <cell r="BT6092">
            <v>-404.66</v>
          </cell>
          <cell r="BY6092">
            <v>52.92</v>
          </cell>
        </row>
        <row r="6093">
          <cell r="BT6093">
            <v>-131.68</v>
          </cell>
          <cell r="BY6093">
            <v>17.22</v>
          </cell>
        </row>
        <row r="6094">
          <cell r="BT6094">
            <v>-40521.800000000003</v>
          </cell>
          <cell r="BY6094">
            <v>5278.37</v>
          </cell>
        </row>
        <row r="6095">
          <cell r="BT6095">
            <v>-40521.800000000003</v>
          </cell>
          <cell r="BY6095">
            <v>5278.37</v>
          </cell>
        </row>
        <row r="6096">
          <cell r="BT6096">
            <v>-41068.720000000001</v>
          </cell>
          <cell r="BY6096">
            <v>5349.61</v>
          </cell>
        </row>
        <row r="6097">
          <cell r="BT6097">
            <v>-56846.400000000001</v>
          </cell>
          <cell r="BY6097">
            <v>7398.56</v>
          </cell>
        </row>
        <row r="6098">
          <cell r="BT6098">
            <v>-32029.4</v>
          </cell>
          <cell r="BY6098">
            <v>4168.63</v>
          </cell>
        </row>
        <row r="6099">
          <cell r="BT6099">
            <v>-1548.39</v>
          </cell>
          <cell r="BY6099">
            <v>202.17</v>
          </cell>
        </row>
        <row r="6100">
          <cell r="BT6100">
            <v>-79503.399999999994</v>
          </cell>
          <cell r="BY6100">
            <v>10380.76</v>
          </cell>
        </row>
        <row r="6101">
          <cell r="BT6101">
            <v>-51909.26</v>
          </cell>
          <cell r="BY6101">
            <v>6787.65</v>
          </cell>
        </row>
        <row r="6102">
          <cell r="BT6102">
            <v>41012.39</v>
          </cell>
          <cell r="BY6102">
            <v>5362.78</v>
          </cell>
        </row>
        <row r="6103">
          <cell r="BT6103">
            <v>-8408.4</v>
          </cell>
          <cell r="BY6103">
            <v>1101.75</v>
          </cell>
        </row>
        <row r="6104">
          <cell r="BT6104">
            <v>-16816.8</v>
          </cell>
          <cell r="BY6104">
            <v>2199.13</v>
          </cell>
        </row>
        <row r="6105">
          <cell r="BT6105">
            <v>-231884.88</v>
          </cell>
          <cell r="BY6105">
            <v>30325.9</v>
          </cell>
        </row>
        <row r="6106">
          <cell r="BT6106">
            <v>-11720.43</v>
          </cell>
          <cell r="BY6106">
            <v>1535.73</v>
          </cell>
        </row>
        <row r="6107">
          <cell r="BT6107">
            <v>-66256.56</v>
          </cell>
          <cell r="BY6107">
            <v>8679.61</v>
          </cell>
        </row>
        <row r="6108">
          <cell r="BT6108">
            <v>-5431.68</v>
          </cell>
          <cell r="BY6108">
            <v>711.71</v>
          </cell>
        </row>
        <row r="6109">
          <cell r="BT6109">
            <v>-61139.519999999997</v>
          </cell>
          <cell r="BY6109">
            <v>8011.11</v>
          </cell>
        </row>
        <row r="6110">
          <cell r="BT6110">
            <v>-736482.02</v>
          </cell>
          <cell r="BY6110">
            <v>95853.13</v>
          </cell>
        </row>
        <row r="6111">
          <cell r="BT6111">
            <v>-24948.83</v>
          </cell>
          <cell r="BY6111">
            <v>3268.3</v>
          </cell>
        </row>
        <row r="6112">
          <cell r="BT6112">
            <v>23234.03</v>
          </cell>
          <cell r="BY6112">
            <v>3043.66</v>
          </cell>
        </row>
        <row r="6113">
          <cell r="BT6113">
            <v>1714.8</v>
          </cell>
          <cell r="BY6113">
            <v>224.64</v>
          </cell>
        </row>
        <row r="6114">
          <cell r="BT6114">
            <v>-16812.47</v>
          </cell>
          <cell r="BY6114">
            <v>2188.14</v>
          </cell>
        </row>
        <row r="6115">
          <cell r="BT6115">
            <v>-257943.17</v>
          </cell>
          <cell r="BY6115">
            <v>33679.64</v>
          </cell>
        </row>
        <row r="6116">
          <cell r="BT6116">
            <v>-1364.73</v>
          </cell>
          <cell r="BY6116">
            <v>178.19</v>
          </cell>
        </row>
        <row r="6117">
          <cell r="BT6117">
            <v>-829.71</v>
          </cell>
          <cell r="BY6117">
            <v>108.34</v>
          </cell>
        </row>
        <row r="6118">
          <cell r="BT6118">
            <v>-2544.4299999999998</v>
          </cell>
          <cell r="BY6118">
            <v>332.23</v>
          </cell>
        </row>
        <row r="6119">
          <cell r="BT6119">
            <v>-194860.37</v>
          </cell>
          <cell r="BY6119">
            <v>25559.95</v>
          </cell>
        </row>
        <row r="6120">
          <cell r="BT6120">
            <v>-208738.02</v>
          </cell>
          <cell r="BY6120">
            <v>27380.29</v>
          </cell>
        </row>
        <row r="6121">
          <cell r="BT6121">
            <v>-7951.23</v>
          </cell>
          <cell r="BY6121">
            <v>1036.02</v>
          </cell>
        </row>
        <row r="6122">
          <cell r="BT6122">
            <v>-66831.929999999993</v>
          </cell>
          <cell r="BY6122">
            <v>8705.5300000000007</v>
          </cell>
        </row>
        <row r="6123">
          <cell r="BT6123">
            <v>53840.38</v>
          </cell>
          <cell r="BY6123">
            <v>7013.25</v>
          </cell>
        </row>
        <row r="6124">
          <cell r="BT6124">
            <v>-37893</v>
          </cell>
          <cell r="BY6124">
            <v>4931.7700000000004</v>
          </cell>
        </row>
        <row r="6125">
          <cell r="BT6125">
            <v>-37893</v>
          </cell>
          <cell r="BY6125">
            <v>4931.7700000000004</v>
          </cell>
        </row>
        <row r="6126">
          <cell r="BT6126">
            <v>-37791</v>
          </cell>
          <cell r="BY6126">
            <v>4918.5</v>
          </cell>
        </row>
        <row r="6127">
          <cell r="BT6127">
            <v>-34752.239999999998</v>
          </cell>
          <cell r="BY6127">
            <v>4523</v>
          </cell>
        </row>
        <row r="6128">
          <cell r="BT6128">
            <v>19.68</v>
          </cell>
          <cell r="BY6128">
            <v>2.56</v>
          </cell>
        </row>
        <row r="6129">
          <cell r="BT6129">
            <v>221.52</v>
          </cell>
          <cell r="BY6129">
            <v>28.86</v>
          </cell>
        </row>
        <row r="6130">
          <cell r="BT6130">
            <v>-26077.48</v>
          </cell>
          <cell r="BY6130">
            <v>3396.85</v>
          </cell>
        </row>
        <row r="6131">
          <cell r="BT6131">
            <v>-3975.05</v>
          </cell>
          <cell r="BY6131">
            <v>517.79</v>
          </cell>
        </row>
        <row r="6132">
          <cell r="BT6132">
            <v>-3975.05</v>
          </cell>
          <cell r="BY6132">
            <v>517.79</v>
          </cell>
        </row>
        <row r="6133">
          <cell r="BT6133">
            <v>-3964.35</v>
          </cell>
          <cell r="BY6133">
            <v>516.4</v>
          </cell>
        </row>
        <row r="6134">
          <cell r="BT6134">
            <v>11584.08</v>
          </cell>
          <cell r="BY6134">
            <v>1508.94</v>
          </cell>
        </row>
        <row r="6135">
          <cell r="BT6135">
            <v>301.92</v>
          </cell>
          <cell r="BY6135">
            <v>39.479999999999997</v>
          </cell>
        </row>
        <row r="6136">
          <cell r="BT6136">
            <v>0.36</v>
          </cell>
          <cell r="BY6136">
            <v>0.05</v>
          </cell>
        </row>
        <row r="6137">
          <cell r="BT6137">
            <v>-133.26</v>
          </cell>
          <cell r="BY6137">
            <v>17.43</v>
          </cell>
        </row>
        <row r="6138">
          <cell r="BT6138">
            <v>0.02</v>
          </cell>
          <cell r="BY6138">
            <v>0</v>
          </cell>
        </row>
        <row r="6139">
          <cell r="BT6139">
            <v>-2.5</v>
          </cell>
          <cell r="BY6139">
            <v>0.33</v>
          </cell>
        </row>
        <row r="6140">
          <cell r="BT6140">
            <v>57.69</v>
          </cell>
          <cell r="BY6140">
            <v>7.54</v>
          </cell>
        </row>
        <row r="6141">
          <cell r="BT6141">
            <v>42.71</v>
          </cell>
          <cell r="BY6141">
            <v>0</v>
          </cell>
        </row>
        <row r="6142">
          <cell r="BT6142">
            <v>-40900</v>
          </cell>
          <cell r="BY6142">
            <v>5327.63</v>
          </cell>
        </row>
        <row r="6143">
          <cell r="BT6143">
            <v>-10920</v>
          </cell>
          <cell r="BY6143">
            <v>1422.44</v>
          </cell>
        </row>
        <row r="6144">
          <cell r="BT6144">
            <v>-4116.96</v>
          </cell>
          <cell r="BY6144">
            <v>536.28</v>
          </cell>
        </row>
        <row r="6145">
          <cell r="BT6145">
            <v>-13712.16</v>
          </cell>
          <cell r="BY6145">
            <v>1796.7</v>
          </cell>
        </row>
        <row r="6146">
          <cell r="BT6146">
            <v>-17630.240000000002</v>
          </cell>
          <cell r="BY6146">
            <v>2310.09</v>
          </cell>
        </row>
        <row r="6147">
          <cell r="BT6147">
            <v>-22668.36</v>
          </cell>
          <cell r="BY6147">
            <v>2970.24</v>
          </cell>
        </row>
        <row r="6148">
          <cell r="BT6148">
            <v>-3102</v>
          </cell>
          <cell r="BY6148">
            <v>406.36</v>
          </cell>
        </row>
        <row r="6149">
          <cell r="BT6149">
            <v>-52982.720000000001</v>
          </cell>
          <cell r="BY6149">
            <v>6940.74</v>
          </cell>
        </row>
        <row r="6150">
          <cell r="BT6150">
            <v>-70562.3</v>
          </cell>
          <cell r="BY6150">
            <v>9227.43</v>
          </cell>
        </row>
        <row r="6151">
          <cell r="BT6151">
            <v>-8584.7999999999993</v>
          </cell>
          <cell r="BY6151">
            <v>1121.78</v>
          </cell>
        </row>
        <row r="6152">
          <cell r="BT6152">
            <v>-4560</v>
          </cell>
          <cell r="BY6152">
            <v>595.86</v>
          </cell>
        </row>
        <row r="6153">
          <cell r="BT6153">
            <v>-222646.14</v>
          </cell>
          <cell r="BY6153">
            <v>29188.91</v>
          </cell>
        </row>
        <row r="6154">
          <cell r="BT6154">
            <v>-20121.71</v>
          </cell>
          <cell r="BY6154">
            <v>2621.8</v>
          </cell>
        </row>
        <row r="6155">
          <cell r="BT6155">
            <v>-81946.7</v>
          </cell>
          <cell r="BY6155">
            <v>10677.41</v>
          </cell>
        </row>
        <row r="6156">
          <cell r="BT6156">
            <v>-7302.32</v>
          </cell>
          <cell r="BY6156">
            <v>951.47</v>
          </cell>
        </row>
        <row r="6157">
          <cell r="BT6157">
            <v>-738.31</v>
          </cell>
          <cell r="BY6157">
            <v>96.2</v>
          </cell>
        </row>
        <row r="6158">
          <cell r="BT6158">
            <v>-6024.77</v>
          </cell>
          <cell r="BY6158">
            <v>785.01</v>
          </cell>
        </row>
        <row r="6159">
          <cell r="BT6159">
            <v>-3975.68</v>
          </cell>
          <cell r="BY6159">
            <v>518.02</v>
          </cell>
        </row>
        <row r="6160">
          <cell r="BT6160">
            <v>-1363.19</v>
          </cell>
          <cell r="BY6160">
            <v>177.62</v>
          </cell>
        </row>
        <row r="6161">
          <cell r="BT6161">
            <v>-8246.61</v>
          </cell>
          <cell r="BY6161">
            <v>1074.51</v>
          </cell>
        </row>
        <row r="6162">
          <cell r="BT6162">
            <v>-613.37</v>
          </cell>
          <cell r="BY6162">
            <v>79.92</v>
          </cell>
        </row>
        <row r="6163">
          <cell r="BT6163">
            <v>-55674.96</v>
          </cell>
          <cell r="BY6163">
            <v>7254.28</v>
          </cell>
        </row>
        <row r="6164">
          <cell r="BT6164">
            <v>-2255.94</v>
          </cell>
          <cell r="BY6164">
            <v>293.94</v>
          </cell>
        </row>
        <row r="6165">
          <cell r="BT6165">
            <v>-23496.09</v>
          </cell>
          <cell r="BY6165">
            <v>3061.47</v>
          </cell>
        </row>
        <row r="6166">
          <cell r="BT6166">
            <v>-357.81</v>
          </cell>
          <cell r="BY6166">
            <v>46.62</v>
          </cell>
        </row>
        <row r="6167">
          <cell r="BT6167">
            <v>8584.7999999999993</v>
          </cell>
          <cell r="BY6167">
            <v>1121.78</v>
          </cell>
        </row>
        <row r="6168">
          <cell r="BT6168">
            <v>4560</v>
          </cell>
          <cell r="BY6168">
            <v>595.86</v>
          </cell>
        </row>
        <row r="6169">
          <cell r="BT6169">
            <v>-4972.8</v>
          </cell>
          <cell r="BY6169">
            <v>649.79999999999995</v>
          </cell>
        </row>
        <row r="6170">
          <cell r="BT6170">
            <v>-30080</v>
          </cell>
          <cell r="BY6170">
            <v>3930.55</v>
          </cell>
        </row>
        <row r="6171">
          <cell r="BT6171">
            <v>40900</v>
          </cell>
          <cell r="BY6171">
            <v>5327.63</v>
          </cell>
        </row>
        <row r="6172">
          <cell r="BT6172">
            <v>10920</v>
          </cell>
          <cell r="BY6172">
            <v>1422.44</v>
          </cell>
        </row>
        <row r="6173">
          <cell r="BT6173">
            <v>4116.96</v>
          </cell>
          <cell r="BY6173">
            <v>536.28</v>
          </cell>
        </row>
        <row r="6174">
          <cell r="BT6174">
            <v>-122100</v>
          </cell>
          <cell r="BY6174">
            <v>15954.81</v>
          </cell>
        </row>
        <row r="6175">
          <cell r="BT6175">
            <v>1592.64</v>
          </cell>
          <cell r="BY6175">
            <v>207.46</v>
          </cell>
        </row>
        <row r="6176">
          <cell r="BT6176">
            <v>94</v>
          </cell>
          <cell r="BY6176">
            <v>12.24</v>
          </cell>
        </row>
        <row r="6177">
          <cell r="BT6177">
            <v>7080.64</v>
          </cell>
          <cell r="BY6177">
            <v>922.32</v>
          </cell>
        </row>
        <row r="6178">
          <cell r="BT6178">
            <v>-28400</v>
          </cell>
          <cell r="BY6178">
            <v>3699.38</v>
          </cell>
        </row>
        <row r="6179">
          <cell r="BT6179">
            <v>-22400</v>
          </cell>
          <cell r="BY6179">
            <v>2917.82</v>
          </cell>
        </row>
        <row r="6180">
          <cell r="BT6180">
            <v>-10978.56</v>
          </cell>
          <cell r="BY6180">
            <v>1430.07</v>
          </cell>
        </row>
        <row r="6181">
          <cell r="BT6181">
            <v>-198779.51999999999</v>
          </cell>
          <cell r="BY6181">
            <v>26060</v>
          </cell>
        </row>
        <row r="6182">
          <cell r="BT6182">
            <v>13712.16</v>
          </cell>
          <cell r="BY6182">
            <v>1786.15</v>
          </cell>
        </row>
        <row r="6183">
          <cell r="BT6183">
            <v>22668.36</v>
          </cell>
          <cell r="BY6183">
            <v>2952.78</v>
          </cell>
        </row>
        <row r="6184">
          <cell r="BT6184">
            <v>-24307.919999999998</v>
          </cell>
          <cell r="BY6184">
            <v>3181.66</v>
          </cell>
        </row>
        <row r="6185">
          <cell r="BT6185">
            <v>-40184.82</v>
          </cell>
          <cell r="BY6185">
            <v>5259.79</v>
          </cell>
        </row>
        <row r="6186">
          <cell r="BT6186">
            <v>126.2</v>
          </cell>
          <cell r="BY6186">
            <v>0</v>
          </cell>
        </row>
        <row r="6187">
          <cell r="BT6187">
            <v>1.92</v>
          </cell>
          <cell r="BY6187">
            <v>0</v>
          </cell>
        </row>
        <row r="6188">
          <cell r="BT6188">
            <v>108.08</v>
          </cell>
          <cell r="BY6188">
            <v>0</v>
          </cell>
        </row>
        <row r="6189">
          <cell r="BT6189">
            <v>440.15</v>
          </cell>
          <cell r="BY6189">
            <v>0</v>
          </cell>
        </row>
        <row r="6190">
          <cell r="BT6190">
            <v>39.22</v>
          </cell>
          <cell r="BY6190">
            <v>0</v>
          </cell>
        </row>
        <row r="6191">
          <cell r="BT6191">
            <v>3.97</v>
          </cell>
          <cell r="BY6191">
            <v>0</v>
          </cell>
        </row>
        <row r="6192">
          <cell r="BT6192">
            <v>32.36</v>
          </cell>
          <cell r="BY6192">
            <v>0</v>
          </cell>
        </row>
        <row r="6193">
          <cell r="BT6193">
            <v>21.35</v>
          </cell>
          <cell r="BY6193">
            <v>0</v>
          </cell>
        </row>
        <row r="6194">
          <cell r="BT6194">
            <v>7.32</v>
          </cell>
          <cell r="BY6194">
            <v>0</v>
          </cell>
        </row>
        <row r="6195">
          <cell r="BT6195">
            <v>44.29</v>
          </cell>
          <cell r="BY6195">
            <v>0</v>
          </cell>
        </row>
        <row r="6196">
          <cell r="BT6196">
            <v>3.29</v>
          </cell>
          <cell r="BY6196">
            <v>0</v>
          </cell>
        </row>
        <row r="6197">
          <cell r="BT6197">
            <v>299.05</v>
          </cell>
          <cell r="BY6197">
            <v>0</v>
          </cell>
        </row>
        <row r="6198">
          <cell r="BT6198">
            <v>12.12</v>
          </cell>
          <cell r="BY6198">
            <v>0</v>
          </cell>
        </row>
        <row r="6199">
          <cell r="BT6199">
            <v>35.799999999999997</v>
          </cell>
          <cell r="BY6199">
            <v>0</v>
          </cell>
        </row>
        <row r="6200">
          <cell r="BT6200">
            <v>42.1</v>
          </cell>
          <cell r="BY6200">
            <v>0</v>
          </cell>
        </row>
        <row r="6201">
          <cell r="BT6201">
            <v>235.8</v>
          </cell>
          <cell r="BY6201">
            <v>0</v>
          </cell>
        </row>
        <row r="6202">
          <cell r="BT6202">
            <v>176.26</v>
          </cell>
          <cell r="BY6202">
            <v>0</v>
          </cell>
        </row>
        <row r="6203">
          <cell r="BT6203">
            <v>40.1</v>
          </cell>
          <cell r="BY6203">
            <v>0</v>
          </cell>
        </row>
        <row r="6204">
          <cell r="BT6204">
            <v>24.56</v>
          </cell>
          <cell r="BY6204">
            <v>0</v>
          </cell>
        </row>
        <row r="6205">
          <cell r="BT6205">
            <v>268.31</v>
          </cell>
          <cell r="BY6205">
            <v>0</v>
          </cell>
        </row>
        <row r="6206">
          <cell r="BT6206">
            <v>35.799999999999997</v>
          </cell>
          <cell r="BY6206">
            <v>0</v>
          </cell>
        </row>
        <row r="6207">
          <cell r="BT6207">
            <v>42.1</v>
          </cell>
          <cell r="BY6207">
            <v>0</v>
          </cell>
        </row>
        <row r="6208">
          <cell r="BT6208">
            <v>235.8</v>
          </cell>
          <cell r="BY6208">
            <v>0</v>
          </cell>
        </row>
        <row r="6209">
          <cell r="BT6209">
            <v>176.26</v>
          </cell>
          <cell r="BY6209">
            <v>0</v>
          </cell>
        </row>
        <row r="6210">
          <cell r="BT6210">
            <v>40.1</v>
          </cell>
          <cell r="BY6210">
            <v>0</v>
          </cell>
        </row>
        <row r="6211">
          <cell r="BT6211">
            <v>24.56</v>
          </cell>
          <cell r="BY6211">
            <v>0</v>
          </cell>
        </row>
        <row r="6212">
          <cell r="BT6212">
            <v>268.31</v>
          </cell>
          <cell r="BY6212">
            <v>0</v>
          </cell>
        </row>
        <row r="6213">
          <cell r="BT6213">
            <v>347.24</v>
          </cell>
          <cell r="BY6213">
            <v>0</v>
          </cell>
        </row>
        <row r="6214">
          <cell r="BT6214">
            <v>5330.29</v>
          </cell>
          <cell r="BY6214">
            <v>0</v>
          </cell>
        </row>
        <row r="6215">
          <cell r="BT6215">
            <v>33.57</v>
          </cell>
          <cell r="BY6215">
            <v>0</v>
          </cell>
        </row>
        <row r="6216">
          <cell r="BT6216">
            <v>1374.05</v>
          </cell>
          <cell r="BY6216">
            <v>0</v>
          </cell>
        </row>
        <row r="6217">
          <cell r="BT6217">
            <v>423.7</v>
          </cell>
          <cell r="BY6217">
            <v>0</v>
          </cell>
        </row>
        <row r="6218">
          <cell r="BT6218">
            <v>5017.41</v>
          </cell>
          <cell r="BY6218">
            <v>0</v>
          </cell>
        </row>
        <row r="6219">
          <cell r="BT6219">
            <v>3934.59</v>
          </cell>
          <cell r="BY6219">
            <v>0</v>
          </cell>
        </row>
        <row r="6220">
          <cell r="BT6220">
            <v>158.85</v>
          </cell>
          <cell r="BY6220">
            <v>0</v>
          </cell>
        </row>
        <row r="6221">
          <cell r="BT6221">
            <v>210.37</v>
          </cell>
          <cell r="BY6221">
            <v>0</v>
          </cell>
        </row>
        <row r="6222">
          <cell r="BT6222">
            <v>16.16</v>
          </cell>
          <cell r="BY6222">
            <v>0</v>
          </cell>
        </row>
        <row r="6223">
          <cell r="BT6223">
            <v>62.45</v>
          </cell>
          <cell r="BY6223">
            <v>0</v>
          </cell>
        </row>
        <row r="6224">
          <cell r="BT6224">
            <v>197.11</v>
          </cell>
          <cell r="BY6224">
            <v>0</v>
          </cell>
        </row>
        <row r="6225">
          <cell r="BT6225">
            <v>561.41</v>
          </cell>
          <cell r="BY6225">
            <v>0</v>
          </cell>
        </row>
        <row r="6226">
          <cell r="BT6226">
            <v>925.1</v>
          </cell>
          <cell r="BY6226">
            <v>0</v>
          </cell>
        </row>
        <row r="6227">
          <cell r="BT6227">
            <v>183.09</v>
          </cell>
          <cell r="BY6227">
            <v>0</v>
          </cell>
        </row>
        <row r="6228">
          <cell r="BT6228">
            <v>106.76</v>
          </cell>
          <cell r="BY6228">
            <v>0</v>
          </cell>
        </row>
        <row r="6229">
          <cell r="BT6229">
            <v>204.51</v>
          </cell>
          <cell r="BY6229">
            <v>0</v>
          </cell>
        </row>
        <row r="6230">
          <cell r="BT6230">
            <v>547.19000000000005</v>
          </cell>
          <cell r="BY6230">
            <v>0</v>
          </cell>
        </row>
        <row r="6231">
          <cell r="BT6231">
            <v>86.61</v>
          </cell>
          <cell r="BY6231">
            <v>0</v>
          </cell>
        </row>
        <row r="6232">
          <cell r="BT6232">
            <v>164.49</v>
          </cell>
          <cell r="BY6232">
            <v>0</v>
          </cell>
        </row>
        <row r="6233">
          <cell r="BT6233">
            <v>207.33</v>
          </cell>
          <cell r="BY6233">
            <v>0</v>
          </cell>
        </row>
        <row r="6234">
          <cell r="BT6234">
            <v>131.59</v>
          </cell>
          <cell r="BY6234">
            <v>0</v>
          </cell>
        </row>
        <row r="6235">
          <cell r="BT6235">
            <v>277.69</v>
          </cell>
          <cell r="BY6235">
            <v>0</v>
          </cell>
        </row>
        <row r="6236">
          <cell r="BT6236">
            <v>2314.09</v>
          </cell>
          <cell r="BY6236">
            <v>0</v>
          </cell>
        </row>
        <row r="6237">
          <cell r="BT6237">
            <v>128.12</v>
          </cell>
          <cell r="BY6237">
            <v>0</v>
          </cell>
        </row>
        <row r="6238">
          <cell r="BT6238">
            <v>1053.9100000000001</v>
          </cell>
          <cell r="BY6238">
            <v>0</v>
          </cell>
        </row>
        <row r="6239">
          <cell r="BT6239">
            <v>158.27000000000001</v>
          </cell>
          <cell r="BY6239">
            <v>0</v>
          </cell>
        </row>
        <row r="6240">
          <cell r="BT6240">
            <v>1433.59</v>
          </cell>
          <cell r="BY6240">
            <v>0</v>
          </cell>
        </row>
        <row r="6241">
          <cell r="BT6241">
            <v>221.29</v>
          </cell>
          <cell r="BY6241">
            <v>0</v>
          </cell>
        </row>
        <row r="6242">
          <cell r="BT6242">
            <v>310.32</v>
          </cell>
          <cell r="BY6242">
            <v>0</v>
          </cell>
        </row>
        <row r="6243">
          <cell r="BT6243">
            <v>22208</v>
          </cell>
          <cell r="BY6243">
            <v>2901.7</v>
          </cell>
        </row>
        <row r="6244">
          <cell r="BT6244">
            <v>-7767.8</v>
          </cell>
          <cell r="BY6244">
            <v>1015.71</v>
          </cell>
        </row>
        <row r="6245">
          <cell r="BT6245">
            <v>7767.8</v>
          </cell>
          <cell r="BY6245">
            <v>1015.71</v>
          </cell>
        </row>
        <row r="6246">
          <cell r="BT6246">
            <v>-838.35</v>
          </cell>
          <cell r="BY6246">
            <v>109.63</v>
          </cell>
        </row>
        <row r="6247">
          <cell r="BT6247">
            <v>-4719.6000000000004</v>
          </cell>
          <cell r="BY6247">
            <v>617.13</v>
          </cell>
        </row>
        <row r="6248">
          <cell r="BT6248">
            <v>-13000</v>
          </cell>
          <cell r="BY6248">
            <v>1704.43</v>
          </cell>
        </row>
        <row r="6249">
          <cell r="BT6249">
            <v>-67978</v>
          </cell>
          <cell r="BY6249">
            <v>8905.1200000000008</v>
          </cell>
        </row>
        <row r="6250">
          <cell r="BT6250">
            <v>-7440</v>
          </cell>
          <cell r="BY6250">
            <v>971.89</v>
          </cell>
        </row>
        <row r="6251">
          <cell r="BT6251">
            <v>-9000</v>
          </cell>
          <cell r="BY6251">
            <v>1175.67</v>
          </cell>
        </row>
        <row r="6252">
          <cell r="BT6252">
            <v>-24873</v>
          </cell>
          <cell r="BY6252">
            <v>3249.91</v>
          </cell>
        </row>
        <row r="6253">
          <cell r="BT6253">
            <v>24873</v>
          </cell>
          <cell r="BY6253">
            <v>3249.91</v>
          </cell>
        </row>
        <row r="6254">
          <cell r="BT6254">
            <v>-12000</v>
          </cell>
          <cell r="BY6254">
            <v>1569.12</v>
          </cell>
        </row>
        <row r="6255">
          <cell r="BT6255">
            <v>-6500</v>
          </cell>
          <cell r="BY6255">
            <v>849.94</v>
          </cell>
        </row>
        <row r="6256">
          <cell r="BT6256">
            <v>12000</v>
          </cell>
          <cell r="BY6256">
            <v>1569.12</v>
          </cell>
        </row>
        <row r="6257">
          <cell r="BT6257">
            <v>6500</v>
          </cell>
          <cell r="BY6257">
            <v>849.94</v>
          </cell>
        </row>
        <row r="6258">
          <cell r="BT6258">
            <v>-22208</v>
          </cell>
          <cell r="BY6258">
            <v>2901.7</v>
          </cell>
        </row>
        <row r="6259">
          <cell r="BT6259">
            <v>-1550000</v>
          </cell>
          <cell r="BY6259">
            <v>201903</v>
          </cell>
        </row>
        <row r="6260">
          <cell r="BT6260">
            <v>-22208</v>
          </cell>
          <cell r="BY6260">
            <v>2901.7</v>
          </cell>
        </row>
        <row r="6261">
          <cell r="BT6261">
            <v>-931.5</v>
          </cell>
          <cell r="BY6261">
            <v>121.65</v>
          </cell>
        </row>
        <row r="6262">
          <cell r="BT6262">
            <v>-7767.8</v>
          </cell>
          <cell r="BY6262">
            <v>1015.71</v>
          </cell>
        </row>
        <row r="6263">
          <cell r="BT6263">
            <v>-12000</v>
          </cell>
          <cell r="BY6263">
            <v>1569.12</v>
          </cell>
        </row>
        <row r="6264">
          <cell r="BT6264">
            <v>-6500</v>
          </cell>
          <cell r="BY6264">
            <v>849.94</v>
          </cell>
        </row>
        <row r="6265">
          <cell r="BT6265">
            <v>-8874</v>
          </cell>
          <cell r="BY6265">
            <v>1163.47</v>
          </cell>
        </row>
        <row r="6266">
          <cell r="BT6266">
            <v>-102000</v>
          </cell>
          <cell r="BY6266">
            <v>13379.33</v>
          </cell>
        </row>
        <row r="6267">
          <cell r="BT6267">
            <v>-13800</v>
          </cell>
          <cell r="BY6267">
            <v>1810.15</v>
          </cell>
        </row>
        <row r="6268">
          <cell r="BT6268">
            <v>-5100</v>
          </cell>
          <cell r="BY6268">
            <v>668.97</v>
          </cell>
        </row>
        <row r="6269">
          <cell r="BT6269">
            <v>-19200</v>
          </cell>
          <cell r="BY6269">
            <v>2500.9899999999998</v>
          </cell>
        </row>
        <row r="6270">
          <cell r="BT6270">
            <v>-380</v>
          </cell>
          <cell r="BY6270">
            <v>49.5</v>
          </cell>
        </row>
        <row r="6271">
          <cell r="BT6271">
            <v>-6528</v>
          </cell>
          <cell r="BY6271">
            <v>853.6</v>
          </cell>
        </row>
        <row r="6272">
          <cell r="BT6272">
            <v>-44268.6</v>
          </cell>
          <cell r="BY6272">
            <v>5806.71</v>
          </cell>
        </row>
        <row r="6273">
          <cell r="BT6273">
            <v>-29015</v>
          </cell>
          <cell r="BY6273">
            <v>3800.97</v>
          </cell>
        </row>
        <row r="6274">
          <cell r="BT6274">
            <v>-13050</v>
          </cell>
          <cell r="BY6274">
            <v>1709.55</v>
          </cell>
        </row>
        <row r="6275">
          <cell r="BT6275">
            <v>-217500</v>
          </cell>
          <cell r="BY6275">
            <v>28492.5</v>
          </cell>
        </row>
        <row r="6276">
          <cell r="BT6276">
            <v>-497.4</v>
          </cell>
          <cell r="BY6276">
            <v>65.16</v>
          </cell>
        </row>
        <row r="6277">
          <cell r="BT6277">
            <v>-6500</v>
          </cell>
          <cell r="BY6277">
            <v>850.07</v>
          </cell>
        </row>
        <row r="6278">
          <cell r="BT6278">
            <v>-7200</v>
          </cell>
          <cell r="BY6278">
            <v>941.47</v>
          </cell>
        </row>
        <row r="6279">
          <cell r="BT6279">
            <v>-24870</v>
          </cell>
          <cell r="BY6279">
            <v>3249.76</v>
          </cell>
        </row>
        <row r="6280">
          <cell r="BT6280">
            <v>-72123</v>
          </cell>
          <cell r="BY6280">
            <v>9396.91</v>
          </cell>
        </row>
        <row r="6281">
          <cell r="BT6281">
            <v>-21750</v>
          </cell>
          <cell r="BY6281">
            <v>2833.81</v>
          </cell>
        </row>
        <row r="6282">
          <cell r="BT6282">
            <v>-2117</v>
          </cell>
          <cell r="BY6282">
            <v>276.82</v>
          </cell>
        </row>
        <row r="6283">
          <cell r="BT6283">
            <v>-17500</v>
          </cell>
          <cell r="BY6283">
            <v>2277.63</v>
          </cell>
        </row>
        <row r="6284">
          <cell r="BT6284">
            <v>-2958</v>
          </cell>
          <cell r="BY6284">
            <v>387.17</v>
          </cell>
        </row>
        <row r="6285">
          <cell r="BT6285">
            <v>-1573.2</v>
          </cell>
          <cell r="BY6285">
            <v>205.74</v>
          </cell>
        </row>
        <row r="6286">
          <cell r="BT6286">
            <v>-17136</v>
          </cell>
          <cell r="BY6286">
            <v>2232.15</v>
          </cell>
        </row>
        <row r="6287">
          <cell r="BT6287">
            <v>-906.3</v>
          </cell>
          <cell r="BY6287">
            <v>118.05</v>
          </cell>
        </row>
        <row r="6288">
          <cell r="BT6288">
            <v>-22940</v>
          </cell>
          <cell r="BY6288">
            <v>2988.16</v>
          </cell>
        </row>
        <row r="6289">
          <cell r="BT6289">
            <v>-25020</v>
          </cell>
          <cell r="BY6289">
            <v>3259.11</v>
          </cell>
        </row>
        <row r="6290">
          <cell r="BT6290">
            <v>-13940</v>
          </cell>
          <cell r="BY6290">
            <v>1815.82</v>
          </cell>
        </row>
        <row r="6291">
          <cell r="BT6291">
            <v>-1289.75</v>
          </cell>
          <cell r="BY6291">
            <v>168</v>
          </cell>
        </row>
        <row r="6292">
          <cell r="BT6292">
            <v>-3065.25</v>
          </cell>
          <cell r="BY6292">
            <v>399.28</v>
          </cell>
        </row>
        <row r="6293">
          <cell r="BT6293">
            <v>-751.45</v>
          </cell>
          <cell r="BY6293">
            <v>97.88</v>
          </cell>
        </row>
        <row r="6294">
          <cell r="BT6294">
            <v>-22978.55</v>
          </cell>
          <cell r="BY6294">
            <v>2993.19</v>
          </cell>
        </row>
        <row r="6295">
          <cell r="BT6295">
            <v>-5424</v>
          </cell>
          <cell r="BY6295">
            <v>706.53</v>
          </cell>
        </row>
        <row r="6296">
          <cell r="BT6296">
            <v>-5656</v>
          </cell>
          <cell r="BY6296">
            <v>736.75</v>
          </cell>
        </row>
        <row r="6297">
          <cell r="BT6297">
            <v>-39.630000000000003</v>
          </cell>
          <cell r="BY6297">
            <v>5.16</v>
          </cell>
        </row>
        <row r="6298">
          <cell r="BT6298">
            <v>-2523.4</v>
          </cell>
          <cell r="BY6298">
            <v>328.7</v>
          </cell>
        </row>
        <row r="6299">
          <cell r="BT6299">
            <v>-39.6</v>
          </cell>
          <cell r="BY6299">
            <v>5.16</v>
          </cell>
        </row>
        <row r="6300">
          <cell r="BT6300">
            <v>-50.7</v>
          </cell>
          <cell r="BY6300">
            <v>6.6</v>
          </cell>
        </row>
        <row r="6301">
          <cell r="BT6301">
            <v>-107.9</v>
          </cell>
          <cell r="BY6301">
            <v>14.06</v>
          </cell>
        </row>
        <row r="6302">
          <cell r="BT6302">
            <v>-170.86</v>
          </cell>
          <cell r="BY6302">
            <v>22.26</v>
          </cell>
        </row>
        <row r="6303">
          <cell r="BT6303">
            <v>-3125</v>
          </cell>
          <cell r="BY6303">
            <v>409.47</v>
          </cell>
        </row>
        <row r="6304">
          <cell r="BT6304">
            <v>-170.86</v>
          </cell>
          <cell r="BY6304">
            <v>22.26</v>
          </cell>
        </row>
        <row r="6305">
          <cell r="BT6305">
            <v>-15625</v>
          </cell>
          <cell r="BY6305">
            <v>2041.72</v>
          </cell>
        </row>
        <row r="6306">
          <cell r="BT6306">
            <v>-10448.1</v>
          </cell>
          <cell r="BY6306">
            <v>1365.25</v>
          </cell>
        </row>
        <row r="6307">
          <cell r="BT6307">
            <v>-45007.199999999997</v>
          </cell>
          <cell r="BY6307">
            <v>5881.09</v>
          </cell>
        </row>
        <row r="6308">
          <cell r="BT6308">
            <v>-82807.89</v>
          </cell>
          <cell r="BY6308">
            <v>10777.45</v>
          </cell>
        </row>
        <row r="6309">
          <cell r="BT6309">
            <v>82807.89</v>
          </cell>
          <cell r="BY6309">
            <v>10777.45</v>
          </cell>
        </row>
        <row r="6310">
          <cell r="BT6310">
            <v>-12939.57</v>
          </cell>
          <cell r="BY6310">
            <v>1692.11</v>
          </cell>
        </row>
        <row r="6311">
          <cell r="BT6311">
            <v>-82807.89</v>
          </cell>
          <cell r="BY6311">
            <v>10777.45</v>
          </cell>
        </row>
        <row r="6312">
          <cell r="BT6312">
            <v>-0.21</v>
          </cell>
          <cell r="BY6312">
            <v>0.03</v>
          </cell>
        </row>
        <row r="6313">
          <cell r="BT6313">
            <v>-7.68</v>
          </cell>
          <cell r="BY6313">
            <v>1</v>
          </cell>
        </row>
        <row r="6314">
          <cell r="BT6314">
            <v>-1.04</v>
          </cell>
          <cell r="BY6314">
            <v>0.14000000000000001</v>
          </cell>
        </row>
        <row r="6315">
          <cell r="BT6315">
            <v>-70</v>
          </cell>
          <cell r="BY6315">
            <v>9.1199999999999992</v>
          </cell>
        </row>
        <row r="6316">
          <cell r="BT6316">
            <v>-0.34</v>
          </cell>
          <cell r="BY6316">
            <v>0.04</v>
          </cell>
        </row>
        <row r="6317">
          <cell r="BT6317">
            <v>-0.7</v>
          </cell>
          <cell r="BY6317">
            <v>0.09</v>
          </cell>
        </row>
        <row r="6318">
          <cell r="BT6318">
            <v>-3.24</v>
          </cell>
          <cell r="BY6318">
            <v>0.42</v>
          </cell>
        </row>
        <row r="6319">
          <cell r="BT6319">
            <v>-5.18</v>
          </cell>
          <cell r="BY6319">
            <v>0.67</v>
          </cell>
        </row>
        <row r="6320">
          <cell r="BT6320">
            <v>-2.36</v>
          </cell>
          <cell r="BY6320">
            <v>0.31</v>
          </cell>
        </row>
        <row r="6321">
          <cell r="BT6321">
            <v>-68.5</v>
          </cell>
          <cell r="BY6321">
            <v>8.92</v>
          </cell>
        </row>
        <row r="6322">
          <cell r="BT6322">
            <v>-1632.12</v>
          </cell>
          <cell r="BY6322">
            <v>212.6</v>
          </cell>
        </row>
        <row r="6323">
          <cell r="BT6323">
            <v>-259</v>
          </cell>
          <cell r="BY6323">
            <v>33.74</v>
          </cell>
        </row>
        <row r="6324">
          <cell r="BT6324">
            <v>-845</v>
          </cell>
          <cell r="BY6324">
            <v>110.07</v>
          </cell>
        </row>
        <row r="6325">
          <cell r="BT6325">
            <v>-1448.04</v>
          </cell>
          <cell r="BY6325">
            <v>188.63</v>
          </cell>
        </row>
        <row r="6326">
          <cell r="BT6326">
            <v>-2235.6</v>
          </cell>
          <cell r="BY6326">
            <v>291.20999999999998</v>
          </cell>
        </row>
        <row r="6327">
          <cell r="BT6327">
            <v>-21880</v>
          </cell>
          <cell r="BY6327">
            <v>2850.08</v>
          </cell>
        </row>
        <row r="6328">
          <cell r="BT6328">
            <v>-22006</v>
          </cell>
          <cell r="BY6328">
            <v>2866.5</v>
          </cell>
        </row>
        <row r="6329">
          <cell r="BT6329">
            <v>-53358</v>
          </cell>
          <cell r="BY6329">
            <v>6950.41</v>
          </cell>
        </row>
        <row r="6330">
          <cell r="BT6330">
            <v>-3883.9</v>
          </cell>
          <cell r="BY6330">
            <v>508.79</v>
          </cell>
        </row>
        <row r="6331">
          <cell r="BT6331">
            <v>-7119</v>
          </cell>
          <cell r="BY6331">
            <v>927.32</v>
          </cell>
        </row>
        <row r="6332">
          <cell r="BT6332">
            <v>-57153</v>
          </cell>
          <cell r="BY6332">
            <v>7444.75</v>
          </cell>
        </row>
        <row r="6333">
          <cell r="BT6333">
            <v>-20198.5</v>
          </cell>
          <cell r="BY6333">
            <v>2631.06</v>
          </cell>
        </row>
        <row r="6334">
          <cell r="BT6334">
            <v>-26714</v>
          </cell>
          <cell r="BY6334">
            <v>3479.77</v>
          </cell>
        </row>
        <row r="6335">
          <cell r="BT6335">
            <v>-10920</v>
          </cell>
          <cell r="BY6335">
            <v>1422.44</v>
          </cell>
        </row>
        <row r="6336">
          <cell r="BT6336">
            <v>-42710</v>
          </cell>
          <cell r="BY6336">
            <v>5563.4</v>
          </cell>
        </row>
        <row r="6337">
          <cell r="BT6337">
            <v>-37128</v>
          </cell>
          <cell r="BY6337">
            <v>4836.29</v>
          </cell>
        </row>
        <row r="6338">
          <cell r="BT6338">
            <v>-22680</v>
          </cell>
          <cell r="BY6338">
            <v>2954.3</v>
          </cell>
        </row>
        <row r="6339">
          <cell r="BT6339">
            <v>-5360</v>
          </cell>
          <cell r="BY6339">
            <v>698.2</v>
          </cell>
        </row>
        <row r="6340">
          <cell r="BT6340">
            <v>-6630</v>
          </cell>
          <cell r="BY6340">
            <v>863.62</v>
          </cell>
        </row>
        <row r="6341">
          <cell r="BT6341">
            <v>-2920</v>
          </cell>
          <cell r="BY6341">
            <v>380.36</v>
          </cell>
        </row>
        <row r="6342">
          <cell r="BT6342">
            <v>-2640</v>
          </cell>
          <cell r="BY6342">
            <v>343.89</v>
          </cell>
        </row>
        <row r="6343">
          <cell r="BT6343">
            <v>-19359.66</v>
          </cell>
          <cell r="BY6343">
            <v>2521.79</v>
          </cell>
        </row>
        <row r="6344">
          <cell r="BT6344">
            <v>-15888</v>
          </cell>
          <cell r="BY6344">
            <v>2069.5700000000002</v>
          </cell>
        </row>
        <row r="6345">
          <cell r="BT6345">
            <v>-1632</v>
          </cell>
          <cell r="BY6345">
            <v>212.58</v>
          </cell>
        </row>
        <row r="6346">
          <cell r="BT6346">
            <v>-1690</v>
          </cell>
          <cell r="BY6346">
            <v>220.14</v>
          </cell>
        </row>
        <row r="6347">
          <cell r="BT6347">
            <v>-1624</v>
          </cell>
          <cell r="BY6347">
            <v>211.54</v>
          </cell>
        </row>
        <row r="6348">
          <cell r="BT6348">
            <v>5360</v>
          </cell>
          <cell r="BY6348">
            <v>698.2</v>
          </cell>
        </row>
        <row r="6349">
          <cell r="BT6349">
            <v>6630</v>
          </cell>
          <cell r="BY6349">
            <v>863.62</v>
          </cell>
        </row>
        <row r="6350">
          <cell r="BT6350">
            <v>2920</v>
          </cell>
          <cell r="BY6350">
            <v>380.36</v>
          </cell>
        </row>
        <row r="6351">
          <cell r="BT6351">
            <v>2640</v>
          </cell>
          <cell r="BY6351">
            <v>343.89</v>
          </cell>
        </row>
        <row r="6352">
          <cell r="BT6352">
            <v>19359.66</v>
          </cell>
          <cell r="BY6352">
            <v>2521.79</v>
          </cell>
        </row>
        <row r="6353">
          <cell r="BT6353">
            <v>15888</v>
          </cell>
          <cell r="BY6353">
            <v>2069.5700000000002</v>
          </cell>
        </row>
        <row r="6354">
          <cell r="BT6354">
            <v>1632</v>
          </cell>
          <cell r="BY6354">
            <v>212.58</v>
          </cell>
        </row>
        <row r="6355">
          <cell r="BT6355">
            <v>1690</v>
          </cell>
          <cell r="BY6355">
            <v>220.14</v>
          </cell>
        </row>
        <row r="6356">
          <cell r="BT6356">
            <v>1624</v>
          </cell>
          <cell r="BY6356">
            <v>211.54</v>
          </cell>
        </row>
        <row r="6357">
          <cell r="BT6357">
            <v>21750</v>
          </cell>
          <cell r="BY6357">
            <v>2833.81</v>
          </cell>
        </row>
        <row r="6358">
          <cell r="BT6358">
            <v>-5644</v>
          </cell>
          <cell r="BY6358">
            <v>735.19</v>
          </cell>
        </row>
        <row r="6359">
          <cell r="BT6359">
            <v>-3100</v>
          </cell>
          <cell r="BY6359">
            <v>403.81</v>
          </cell>
        </row>
        <row r="6360">
          <cell r="BT6360">
            <v>-3675</v>
          </cell>
          <cell r="BY6360">
            <v>478.71</v>
          </cell>
        </row>
        <row r="6361">
          <cell r="BT6361">
            <v>-6526</v>
          </cell>
          <cell r="BY6361">
            <v>850.08</v>
          </cell>
        </row>
        <row r="6362">
          <cell r="BT6362">
            <v>-14970</v>
          </cell>
          <cell r="BY6362">
            <v>1949.99</v>
          </cell>
        </row>
        <row r="6363">
          <cell r="BT6363">
            <v>-383.31</v>
          </cell>
          <cell r="BY6363">
            <v>49.94</v>
          </cell>
        </row>
        <row r="6364">
          <cell r="BT6364">
            <v>-1119.03</v>
          </cell>
          <cell r="BY6364">
            <v>145.76</v>
          </cell>
        </row>
        <row r="6365">
          <cell r="BT6365">
            <v>-80.2</v>
          </cell>
          <cell r="BY6365">
            <v>10.45</v>
          </cell>
        </row>
        <row r="6366">
          <cell r="BT6366">
            <v>-115</v>
          </cell>
          <cell r="BY6366">
            <v>14.98</v>
          </cell>
        </row>
        <row r="6367">
          <cell r="BT6367">
            <v>-24.68</v>
          </cell>
          <cell r="BY6367">
            <v>3.21</v>
          </cell>
        </row>
        <row r="6368">
          <cell r="BT6368">
            <v>-182</v>
          </cell>
          <cell r="BY6368">
            <v>23.71</v>
          </cell>
        </row>
        <row r="6369">
          <cell r="BT6369">
            <v>-145.75</v>
          </cell>
          <cell r="BY6369">
            <v>18.989999999999998</v>
          </cell>
        </row>
        <row r="6370">
          <cell r="BT6370">
            <v>-19</v>
          </cell>
          <cell r="BY6370">
            <v>2.4700000000000002</v>
          </cell>
        </row>
        <row r="6371">
          <cell r="BT6371">
            <v>-2.08</v>
          </cell>
          <cell r="BY6371">
            <v>0.27</v>
          </cell>
        </row>
        <row r="6372">
          <cell r="BT6372">
            <v>-20812.5</v>
          </cell>
          <cell r="BY6372">
            <v>2711.04</v>
          </cell>
        </row>
        <row r="6373">
          <cell r="BT6373">
            <v>-6750</v>
          </cell>
          <cell r="BY6373">
            <v>879.26</v>
          </cell>
        </row>
        <row r="6374">
          <cell r="BT6374">
            <v>-1345.55</v>
          </cell>
          <cell r="BY6374">
            <v>175.27</v>
          </cell>
        </row>
        <row r="6375">
          <cell r="BT6375">
            <v>-3017.6</v>
          </cell>
          <cell r="BY6375">
            <v>393.07</v>
          </cell>
        </row>
        <row r="6376">
          <cell r="BT6376">
            <v>-136.71</v>
          </cell>
          <cell r="BY6376">
            <v>17.809999999999999</v>
          </cell>
        </row>
        <row r="6377">
          <cell r="BT6377">
            <v>-48.96</v>
          </cell>
          <cell r="BY6377">
            <v>6.38</v>
          </cell>
        </row>
        <row r="6378">
          <cell r="BT6378">
            <v>-885.5</v>
          </cell>
          <cell r="BY6378">
            <v>115.35</v>
          </cell>
        </row>
        <row r="6379">
          <cell r="BT6379">
            <v>-189.6</v>
          </cell>
          <cell r="BY6379">
            <v>24.7</v>
          </cell>
        </row>
        <row r="6380">
          <cell r="BT6380">
            <v>-258.08999999999997</v>
          </cell>
          <cell r="BY6380">
            <v>33.619999999999997</v>
          </cell>
        </row>
        <row r="6381">
          <cell r="BT6381">
            <v>-392.4</v>
          </cell>
          <cell r="BY6381">
            <v>51.11</v>
          </cell>
        </row>
        <row r="6382">
          <cell r="BT6382">
            <v>-1656</v>
          </cell>
          <cell r="BY6382">
            <v>215.71</v>
          </cell>
        </row>
        <row r="6383">
          <cell r="BT6383">
            <v>-9590.4599999999991</v>
          </cell>
          <cell r="BY6383">
            <v>1249.25</v>
          </cell>
        </row>
        <row r="6384">
          <cell r="BT6384">
            <v>-259.2</v>
          </cell>
          <cell r="BY6384">
            <v>33.76</v>
          </cell>
        </row>
        <row r="6385">
          <cell r="BT6385">
            <v>-11356.5</v>
          </cell>
          <cell r="BY6385">
            <v>1479.3</v>
          </cell>
        </row>
        <row r="6386">
          <cell r="BT6386">
            <v>-5360</v>
          </cell>
          <cell r="BY6386">
            <v>698.2</v>
          </cell>
        </row>
        <row r="6387">
          <cell r="BT6387">
            <v>-6630</v>
          </cell>
          <cell r="BY6387">
            <v>863.62</v>
          </cell>
        </row>
        <row r="6388">
          <cell r="BT6388">
            <v>-2920</v>
          </cell>
          <cell r="BY6388">
            <v>380.36</v>
          </cell>
        </row>
        <row r="6389">
          <cell r="BT6389">
            <v>-2640</v>
          </cell>
          <cell r="BY6389">
            <v>343.89</v>
          </cell>
        </row>
        <row r="6390">
          <cell r="BT6390">
            <v>-19359.66</v>
          </cell>
          <cell r="BY6390">
            <v>2521.79</v>
          </cell>
        </row>
        <row r="6391">
          <cell r="BT6391">
            <v>-15888</v>
          </cell>
          <cell r="BY6391">
            <v>2069.5700000000002</v>
          </cell>
        </row>
        <row r="6392">
          <cell r="BT6392">
            <v>-1632</v>
          </cell>
          <cell r="BY6392">
            <v>212.58</v>
          </cell>
        </row>
        <row r="6393">
          <cell r="BT6393">
            <v>-1690</v>
          </cell>
          <cell r="BY6393">
            <v>220.14</v>
          </cell>
        </row>
        <row r="6394">
          <cell r="BT6394">
            <v>-588.70000000000005</v>
          </cell>
          <cell r="BY6394">
            <v>76.680000000000007</v>
          </cell>
        </row>
        <row r="6395">
          <cell r="BT6395">
            <v>-303.3</v>
          </cell>
          <cell r="BY6395">
            <v>39.51</v>
          </cell>
        </row>
        <row r="6396">
          <cell r="BT6396">
            <v>-203.16</v>
          </cell>
          <cell r="BY6396">
            <v>26.46</v>
          </cell>
        </row>
        <row r="6397">
          <cell r="BT6397">
            <v>-303</v>
          </cell>
          <cell r="BY6397">
            <v>39.47</v>
          </cell>
        </row>
        <row r="6398">
          <cell r="BT6398">
            <v>-84.1</v>
          </cell>
          <cell r="BY6398">
            <v>10.96</v>
          </cell>
        </row>
        <row r="6399">
          <cell r="BT6399">
            <v>-80.72</v>
          </cell>
          <cell r="BY6399">
            <v>10.51</v>
          </cell>
        </row>
        <row r="6400">
          <cell r="BT6400">
            <v>-1624</v>
          </cell>
          <cell r="BY6400">
            <v>211.54</v>
          </cell>
        </row>
        <row r="6401">
          <cell r="BT6401">
            <v>-696</v>
          </cell>
          <cell r="BY6401">
            <v>90.65</v>
          </cell>
        </row>
        <row r="6402">
          <cell r="BT6402">
            <v>-3130</v>
          </cell>
          <cell r="BY6402">
            <v>407.71</v>
          </cell>
        </row>
        <row r="6403">
          <cell r="BT6403">
            <v>-3172</v>
          </cell>
          <cell r="BY6403">
            <v>413.18</v>
          </cell>
        </row>
        <row r="6404">
          <cell r="BT6404">
            <v>-9625</v>
          </cell>
          <cell r="BY6404">
            <v>1253.75</v>
          </cell>
        </row>
        <row r="6405">
          <cell r="BT6405">
            <v>-3792</v>
          </cell>
          <cell r="BY6405">
            <v>493.95</v>
          </cell>
        </row>
        <row r="6406">
          <cell r="BT6406">
            <v>-6452.25</v>
          </cell>
          <cell r="BY6406">
            <v>840.47</v>
          </cell>
        </row>
        <row r="6407">
          <cell r="BT6407">
            <v>-6867</v>
          </cell>
          <cell r="BY6407">
            <v>894.5</v>
          </cell>
        </row>
        <row r="6408">
          <cell r="BT6408">
            <v>-4560</v>
          </cell>
          <cell r="BY6408">
            <v>593.99</v>
          </cell>
        </row>
        <row r="6409">
          <cell r="BT6409">
            <v>-3325</v>
          </cell>
          <cell r="BY6409">
            <v>433.11</v>
          </cell>
        </row>
        <row r="6410">
          <cell r="BT6410">
            <v>-260.39999999999998</v>
          </cell>
          <cell r="BY6410">
            <v>34.159999999999997</v>
          </cell>
        </row>
        <row r="6411">
          <cell r="BT6411">
            <v>-1785.8</v>
          </cell>
          <cell r="BY6411">
            <v>234.24</v>
          </cell>
        </row>
        <row r="6412">
          <cell r="BT6412">
            <v>-7142.75</v>
          </cell>
          <cell r="BY6412">
            <v>936.91</v>
          </cell>
        </row>
        <row r="6413">
          <cell r="BT6413">
            <v>-16800</v>
          </cell>
          <cell r="BY6413">
            <v>2202.65</v>
          </cell>
        </row>
        <row r="6414">
          <cell r="BT6414">
            <v>-3000</v>
          </cell>
          <cell r="BY6414">
            <v>393.33</v>
          </cell>
        </row>
        <row r="6415">
          <cell r="BT6415">
            <v>4350</v>
          </cell>
          <cell r="BY6415">
            <v>568.85</v>
          </cell>
        </row>
        <row r="6416">
          <cell r="BT6416">
            <v>-4350</v>
          </cell>
          <cell r="BY6416">
            <v>568.85</v>
          </cell>
        </row>
        <row r="6417">
          <cell r="BT6417">
            <v>-544</v>
          </cell>
          <cell r="BY6417">
            <v>71.319999999999993</v>
          </cell>
        </row>
        <row r="6418">
          <cell r="BT6418">
            <v>-1700</v>
          </cell>
          <cell r="BY6418">
            <v>222.89</v>
          </cell>
        </row>
        <row r="6419">
          <cell r="BT6419">
            <v>-9984</v>
          </cell>
          <cell r="BY6419">
            <v>1305.51</v>
          </cell>
        </row>
        <row r="6420">
          <cell r="BT6420">
            <v>9984</v>
          </cell>
          <cell r="BY6420">
            <v>1305.51</v>
          </cell>
        </row>
        <row r="6421">
          <cell r="BT6421">
            <v>16800</v>
          </cell>
          <cell r="BY6421">
            <v>2202.65</v>
          </cell>
        </row>
        <row r="6422">
          <cell r="BT6422">
            <v>3000</v>
          </cell>
          <cell r="BY6422">
            <v>393.33</v>
          </cell>
        </row>
        <row r="6423">
          <cell r="BT6423">
            <v>544</v>
          </cell>
          <cell r="BY6423">
            <v>71.319999999999993</v>
          </cell>
        </row>
        <row r="6424">
          <cell r="BT6424">
            <v>544</v>
          </cell>
          <cell r="BY6424">
            <v>71.319999999999993</v>
          </cell>
        </row>
        <row r="6425">
          <cell r="BT6425">
            <v>-544</v>
          </cell>
          <cell r="BY6425">
            <v>71.319999999999993</v>
          </cell>
        </row>
        <row r="6426">
          <cell r="BT6426">
            <v>1700</v>
          </cell>
          <cell r="BY6426">
            <v>222.89</v>
          </cell>
        </row>
        <row r="6427">
          <cell r="BT6427">
            <v>4222.42</v>
          </cell>
          <cell r="BY6427">
            <v>550</v>
          </cell>
        </row>
        <row r="6428">
          <cell r="BT6428">
            <v>7830.67</v>
          </cell>
          <cell r="BY6428">
            <v>1020</v>
          </cell>
        </row>
        <row r="6429">
          <cell r="BT6429">
            <v>-7647.69</v>
          </cell>
          <cell r="BY6429">
            <v>1000</v>
          </cell>
        </row>
        <row r="6430">
          <cell r="BT6430">
            <v>-76.48</v>
          </cell>
          <cell r="BY6430">
            <v>10</v>
          </cell>
        </row>
        <row r="6431">
          <cell r="BT6431">
            <v>-764.77</v>
          </cell>
          <cell r="BY6431">
            <v>100</v>
          </cell>
        </row>
        <row r="6432">
          <cell r="BT6432">
            <v>-4222.42</v>
          </cell>
          <cell r="BY6432">
            <v>550</v>
          </cell>
        </row>
        <row r="6433">
          <cell r="BT6433">
            <v>-7830.67</v>
          </cell>
          <cell r="BY6433">
            <v>1020</v>
          </cell>
        </row>
        <row r="6434">
          <cell r="BT6434">
            <v>-21872.39</v>
          </cell>
          <cell r="BY6434">
            <v>2860</v>
          </cell>
        </row>
        <row r="6435">
          <cell r="BT6435">
            <v>-1576.04</v>
          </cell>
          <cell r="BY6435">
            <v>206.08</v>
          </cell>
        </row>
        <row r="6436">
          <cell r="BT6436">
            <v>-7647.69</v>
          </cell>
          <cell r="BY6436">
            <v>1000</v>
          </cell>
        </row>
        <row r="6437">
          <cell r="BT6437">
            <v>-764.77</v>
          </cell>
          <cell r="BY6437">
            <v>100</v>
          </cell>
        </row>
        <row r="6438">
          <cell r="BT6438">
            <v>-4030.49</v>
          </cell>
          <cell r="BY6438">
            <v>525</v>
          </cell>
        </row>
        <row r="6439">
          <cell r="BT6439">
            <v>-87068.95</v>
          </cell>
          <cell r="BY6439">
            <v>11385</v>
          </cell>
        </row>
        <row r="6440">
          <cell r="BT6440">
            <v>-12816</v>
          </cell>
          <cell r="BY6440">
            <v>1675.8</v>
          </cell>
        </row>
        <row r="6441">
          <cell r="BT6441">
            <v>87068.95</v>
          </cell>
          <cell r="BY6441">
            <v>11385</v>
          </cell>
        </row>
        <row r="6442">
          <cell r="BT6442">
            <v>12816</v>
          </cell>
          <cell r="BY6442">
            <v>1675.8</v>
          </cell>
        </row>
        <row r="6443">
          <cell r="BT6443">
            <v>-4222.42</v>
          </cell>
          <cell r="BY6443">
            <v>550</v>
          </cell>
        </row>
        <row r="6444">
          <cell r="BT6444">
            <v>-7830.67</v>
          </cell>
          <cell r="BY6444">
            <v>1020</v>
          </cell>
        </row>
        <row r="6445">
          <cell r="BT6445">
            <v>21872.39</v>
          </cell>
          <cell r="BY6445">
            <v>2860</v>
          </cell>
        </row>
        <row r="6446">
          <cell r="BT6446">
            <v>1576.04</v>
          </cell>
          <cell r="BY6446">
            <v>206.08</v>
          </cell>
        </row>
        <row r="6447">
          <cell r="BT6447">
            <v>9152.34</v>
          </cell>
          <cell r="BY6447">
            <v>1200</v>
          </cell>
        </row>
        <row r="6448">
          <cell r="BT6448">
            <v>3622.81</v>
          </cell>
          <cell r="BY6448">
            <v>475</v>
          </cell>
        </row>
        <row r="6449">
          <cell r="BT6449">
            <v>4766.8500000000004</v>
          </cell>
          <cell r="BY6449">
            <v>625</v>
          </cell>
        </row>
        <row r="6450">
          <cell r="BT6450">
            <v>2440.63</v>
          </cell>
          <cell r="BY6450">
            <v>320</v>
          </cell>
        </row>
        <row r="6451">
          <cell r="BT6451">
            <v>-16981.810000000001</v>
          </cell>
          <cell r="BY6451">
            <v>2212</v>
          </cell>
        </row>
        <row r="6452">
          <cell r="BT6452">
            <v>849.09</v>
          </cell>
          <cell r="BY6452">
            <v>110.6</v>
          </cell>
        </row>
        <row r="6453">
          <cell r="BT6453">
            <v>10067.59</v>
          </cell>
          <cell r="BY6453">
            <v>1320</v>
          </cell>
        </row>
        <row r="6454">
          <cell r="BT6454">
            <v>4385.5</v>
          </cell>
          <cell r="BY6454">
            <v>575</v>
          </cell>
        </row>
        <row r="6455">
          <cell r="BT6455">
            <v>17542.009999999998</v>
          </cell>
          <cell r="BY6455">
            <v>2300</v>
          </cell>
        </row>
        <row r="6456">
          <cell r="BT6456">
            <v>5344.21</v>
          </cell>
          <cell r="BY6456">
            <v>700.7</v>
          </cell>
        </row>
        <row r="6457">
          <cell r="BT6457">
            <v>7436.29</v>
          </cell>
          <cell r="BY6457">
            <v>975</v>
          </cell>
        </row>
        <row r="6458">
          <cell r="BT6458">
            <v>9915.0499999999993</v>
          </cell>
          <cell r="BY6458">
            <v>1300</v>
          </cell>
        </row>
        <row r="6459">
          <cell r="BT6459">
            <v>-17680.43</v>
          </cell>
          <cell r="BY6459">
            <v>2303</v>
          </cell>
        </row>
        <row r="6460">
          <cell r="BT6460">
            <v>884.02</v>
          </cell>
          <cell r="BY6460">
            <v>115.15</v>
          </cell>
        </row>
        <row r="6461">
          <cell r="BT6461">
            <v>-6160.9</v>
          </cell>
          <cell r="BY6461">
            <v>802.5</v>
          </cell>
        </row>
        <row r="6462">
          <cell r="BT6462">
            <v>308.08</v>
          </cell>
          <cell r="BY6462">
            <v>40.130000000000003</v>
          </cell>
        </row>
        <row r="6463">
          <cell r="BT6463">
            <v>-39015.17</v>
          </cell>
          <cell r="BY6463">
            <v>5082</v>
          </cell>
        </row>
        <row r="6464">
          <cell r="BT6464">
            <v>1950.68</v>
          </cell>
          <cell r="BY6464">
            <v>254.09</v>
          </cell>
        </row>
        <row r="6465">
          <cell r="BT6465">
            <v>-3550.67</v>
          </cell>
          <cell r="BY6465">
            <v>462.5</v>
          </cell>
        </row>
        <row r="6466">
          <cell r="BT6466">
            <v>177.57</v>
          </cell>
          <cell r="BY6466">
            <v>23.13</v>
          </cell>
        </row>
        <row r="6467">
          <cell r="BT6467">
            <v>-23246.35</v>
          </cell>
          <cell r="BY6467">
            <v>3028</v>
          </cell>
        </row>
        <row r="6468">
          <cell r="BT6468">
            <v>1162.32</v>
          </cell>
          <cell r="BY6468">
            <v>151.4</v>
          </cell>
        </row>
        <row r="6469">
          <cell r="BT6469">
            <v>-244701.44</v>
          </cell>
          <cell r="BY6469">
            <v>32000</v>
          </cell>
        </row>
        <row r="6470">
          <cell r="BT6470">
            <v>-110550.67</v>
          </cell>
          <cell r="BY6470">
            <v>14400</v>
          </cell>
        </row>
        <row r="6471">
          <cell r="BT6471">
            <v>-11515.71</v>
          </cell>
          <cell r="BY6471">
            <v>1500</v>
          </cell>
        </row>
        <row r="6472">
          <cell r="BT6472">
            <v>-7370.04</v>
          </cell>
          <cell r="BY6472">
            <v>960</v>
          </cell>
        </row>
        <row r="6473">
          <cell r="BT6473">
            <v>-36850.22</v>
          </cell>
          <cell r="BY6473">
            <v>4800</v>
          </cell>
        </row>
        <row r="6474">
          <cell r="BT6474">
            <v>-18079.64</v>
          </cell>
          <cell r="BY6474">
            <v>2355</v>
          </cell>
        </row>
        <row r="6475">
          <cell r="BT6475">
            <v>-14586.55</v>
          </cell>
          <cell r="BY6475">
            <v>1900</v>
          </cell>
        </row>
        <row r="6476">
          <cell r="BT6476">
            <v>-7677.13</v>
          </cell>
          <cell r="BY6476">
            <v>1000</v>
          </cell>
        </row>
        <row r="6477">
          <cell r="BT6477">
            <v>-17273.54</v>
          </cell>
          <cell r="BY6477">
            <v>2250</v>
          </cell>
        </row>
        <row r="6478">
          <cell r="BT6478">
            <v>-20958.560000000001</v>
          </cell>
          <cell r="BY6478">
            <v>2730</v>
          </cell>
        </row>
        <row r="6479">
          <cell r="BT6479">
            <v>-13511.75</v>
          </cell>
          <cell r="BY6479">
            <v>1760</v>
          </cell>
        </row>
        <row r="6480">
          <cell r="BT6480">
            <v>-17657.400000000001</v>
          </cell>
          <cell r="BY6480">
            <v>2300</v>
          </cell>
        </row>
        <row r="6481">
          <cell r="BT6481">
            <v>-5489.15</v>
          </cell>
          <cell r="BY6481">
            <v>715</v>
          </cell>
        </row>
        <row r="6482">
          <cell r="BT6482">
            <v>-5988.16</v>
          </cell>
          <cell r="BY6482">
            <v>780</v>
          </cell>
        </row>
        <row r="6483">
          <cell r="BT6483">
            <v>58361.29</v>
          </cell>
          <cell r="BY6483">
            <v>7632</v>
          </cell>
        </row>
        <row r="6484">
          <cell r="BT6484">
            <v>-2918.06</v>
          </cell>
          <cell r="BY6484">
            <v>381.6</v>
          </cell>
        </row>
        <row r="6485">
          <cell r="BT6485">
            <v>-1777.26</v>
          </cell>
          <cell r="BY6485">
            <v>231.5</v>
          </cell>
        </row>
        <row r="6486">
          <cell r="BT6486">
            <v>71.09</v>
          </cell>
          <cell r="BY6486">
            <v>9.26</v>
          </cell>
        </row>
        <row r="6487">
          <cell r="BT6487">
            <v>-78705.17</v>
          </cell>
          <cell r="BY6487">
            <v>10251.9</v>
          </cell>
        </row>
        <row r="6488">
          <cell r="BT6488">
            <v>3148.24</v>
          </cell>
          <cell r="BY6488">
            <v>410.08</v>
          </cell>
        </row>
        <row r="6489">
          <cell r="BT6489">
            <v>-14394.62</v>
          </cell>
          <cell r="BY6489">
            <v>1875</v>
          </cell>
        </row>
        <row r="6490">
          <cell r="BT6490">
            <v>575.78</v>
          </cell>
          <cell r="BY6490">
            <v>75</v>
          </cell>
        </row>
        <row r="6491">
          <cell r="BT6491">
            <v>-5527.53</v>
          </cell>
          <cell r="BY6491">
            <v>720</v>
          </cell>
        </row>
        <row r="6492">
          <cell r="BT6492">
            <v>221.1</v>
          </cell>
          <cell r="BY6492">
            <v>28.8</v>
          </cell>
        </row>
        <row r="6493">
          <cell r="BT6493">
            <v>-1535.43</v>
          </cell>
          <cell r="BY6493">
            <v>200</v>
          </cell>
        </row>
        <row r="6494">
          <cell r="BT6494">
            <v>61.42</v>
          </cell>
          <cell r="BY6494">
            <v>8</v>
          </cell>
        </row>
        <row r="6495">
          <cell r="BT6495">
            <v>-10747.98</v>
          </cell>
          <cell r="BY6495">
            <v>1400</v>
          </cell>
        </row>
        <row r="6496">
          <cell r="BT6496">
            <v>429.92</v>
          </cell>
          <cell r="BY6496">
            <v>56</v>
          </cell>
        </row>
        <row r="6497">
          <cell r="BT6497">
            <v>-472.14</v>
          </cell>
          <cell r="BY6497">
            <v>61.5</v>
          </cell>
        </row>
        <row r="6498">
          <cell r="BT6498">
            <v>18.89</v>
          </cell>
          <cell r="BY6498">
            <v>2.46</v>
          </cell>
        </row>
        <row r="6499">
          <cell r="BT6499">
            <v>-3385.61</v>
          </cell>
          <cell r="BY6499">
            <v>441</v>
          </cell>
        </row>
        <row r="6500">
          <cell r="BT6500">
            <v>-20996.95</v>
          </cell>
          <cell r="BY6500">
            <v>2735</v>
          </cell>
        </row>
        <row r="6501">
          <cell r="BT6501">
            <v>-82605.919999999998</v>
          </cell>
          <cell r="BY6501">
            <v>10760</v>
          </cell>
        </row>
        <row r="6502">
          <cell r="BT6502">
            <v>-15262.13</v>
          </cell>
          <cell r="BY6502">
            <v>1988</v>
          </cell>
        </row>
        <row r="6503">
          <cell r="BT6503">
            <v>-12682.62</v>
          </cell>
          <cell r="BY6503">
            <v>1652</v>
          </cell>
        </row>
        <row r="6504">
          <cell r="BT6504">
            <v>-3088.66</v>
          </cell>
          <cell r="BY6504">
            <v>402.32</v>
          </cell>
        </row>
        <row r="6505">
          <cell r="BT6505">
            <v>35376.22</v>
          </cell>
          <cell r="BY6505">
            <v>4608</v>
          </cell>
        </row>
        <row r="6506">
          <cell r="BT6506">
            <v>-87062.35</v>
          </cell>
          <cell r="BY6506">
            <v>11385</v>
          </cell>
        </row>
        <row r="6507">
          <cell r="BT6507">
            <v>-12815.03</v>
          </cell>
          <cell r="BY6507">
            <v>1675.8</v>
          </cell>
        </row>
        <row r="6508">
          <cell r="BT6508">
            <v>-360.83</v>
          </cell>
          <cell r="BY6508">
            <v>47</v>
          </cell>
        </row>
        <row r="6509">
          <cell r="BT6509">
            <v>-260</v>
          </cell>
          <cell r="BY6509">
            <v>34</v>
          </cell>
        </row>
        <row r="6510">
          <cell r="BT6510">
            <v>-21870.73</v>
          </cell>
          <cell r="BY6510">
            <v>2860</v>
          </cell>
        </row>
        <row r="6511">
          <cell r="BT6511">
            <v>-1575.92</v>
          </cell>
          <cell r="BY6511">
            <v>206.08</v>
          </cell>
        </row>
        <row r="6512">
          <cell r="BT6512">
            <v>-76.47</v>
          </cell>
          <cell r="BY6512">
            <v>10</v>
          </cell>
        </row>
        <row r="6513">
          <cell r="BT6513">
            <v>-21870.73</v>
          </cell>
          <cell r="BY6513">
            <v>2860</v>
          </cell>
        </row>
        <row r="6514">
          <cell r="BT6514">
            <v>-1575.92</v>
          </cell>
          <cell r="BY6514">
            <v>206.08</v>
          </cell>
        </row>
        <row r="6515">
          <cell r="BT6515">
            <v>-134549.16</v>
          </cell>
          <cell r="BY6515">
            <v>17630</v>
          </cell>
        </row>
        <row r="6516">
          <cell r="BT6516">
            <v>-110550.67</v>
          </cell>
          <cell r="BY6516">
            <v>14400</v>
          </cell>
        </row>
        <row r="6517">
          <cell r="BT6517">
            <v>-6387.37</v>
          </cell>
          <cell r="BY6517">
            <v>832</v>
          </cell>
        </row>
        <row r="6518">
          <cell r="BT6518">
            <v>-14012.3</v>
          </cell>
          <cell r="BY6518">
            <v>1825.2</v>
          </cell>
        </row>
        <row r="6519">
          <cell r="BT6519">
            <v>-9788.34</v>
          </cell>
          <cell r="BY6519">
            <v>1275</v>
          </cell>
        </row>
        <row r="6520">
          <cell r="BT6520">
            <v>-87062.34</v>
          </cell>
          <cell r="BY6520">
            <v>11385</v>
          </cell>
        </row>
        <row r="6521">
          <cell r="BT6521">
            <v>-12815.03</v>
          </cell>
          <cell r="BY6521">
            <v>1675.8</v>
          </cell>
        </row>
        <row r="6522">
          <cell r="BT6522">
            <v>110550.67</v>
          </cell>
          <cell r="BY6522">
            <v>14400</v>
          </cell>
        </row>
        <row r="6523">
          <cell r="BT6523">
            <v>35376.22</v>
          </cell>
          <cell r="BY6523">
            <v>4608</v>
          </cell>
        </row>
        <row r="6524">
          <cell r="BT6524">
            <v>-35376.22</v>
          </cell>
          <cell r="BY6524">
            <v>4608</v>
          </cell>
        </row>
        <row r="6525">
          <cell r="BT6525">
            <v>-9152.34</v>
          </cell>
          <cell r="BY6525">
            <v>1200</v>
          </cell>
        </row>
        <row r="6526">
          <cell r="BT6526">
            <v>-35376.22</v>
          </cell>
          <cell r="BY6526">
            <v>4608</v>
          </cell>
        </row>
        <row r="6527">
          <cell r="BT6527">
            <v>-3622.81</v>
          </cell>
          <cell r="BY6527">
            <v>475</v>
          </cell>
        </row>
        <row r="6528">
          <cell r="BT6528">
            <v>-4766.8500000000004</v>
          </cell>
          <cell r="BY6528">
            <v>625</v>
          </cell>
        </row>
        <row r="6529">
          <cell r="BT6529">
            <v>-2440.63</v>
          </cell>
          <cell r="BY6529">
            <v>320</v>
          </cell>
        </row>
        <row r="6530">
          <cell r="BT6530">
            <v>-10067.59</v>
          </cell>
          <cell r="BY6530">
            <v>1320</v>
          </cell>
        </row>
        <row r="6531">
          <cell r="BT6531">
            <v>-4385.5</v>
          </cell>
          <cell r="BY6531">
            <v>575</v>
          </cell>
        </row>
        <row r="6532">
          <cell r="BT6532">
            <v>-17542.009999999998</v>
          </cell>
          <cell r="BY6532">
            <v>2300</v>
          </cell>
        </row>
        <row r="6533">
          <cell r="BT6533">
            <v>-5344.21</v>
          </cell>
          <cell r="BY6533">
            <v>700.7</v>
          </cell>
        </row>
        <row r="6534">
          <cell r="BT6534">
            <v>-7436.29</v>
          </cell>
          <cell r="BY6534">
            <v>975</v>
          </cell>
        </row>
        <row r="6535">
          <cell r="BT6535">
            <v>-19830.099999999999</v>
          </cell>
          <cell r="BY6535">
            <v>2600</v>
          </cell>
        </row>
        <row r="6536">
          <cell r="BT6536">
            <v>-12575.13</v>
          </cell>
          <cell r="BY6536">
            <v>1638</v>
          </cell>
        </row>
        <row r="6537">
          <cell r="BT6537">
            <v>-6130.19</v>
          </cell>
          <cell r="BY6537">
            <v>798.5</v>
          </cell>
        </row>
        <row r="6538">
          <cell r="BT6538">
            <v>-25454.29</v>
          </cell>
          <cell r="BY6538">
            <v>3315.6</v>
          </cell>
        </row>
        <row r="6539">
          <cell r="BT6539">
            <v>-71781.17</v>
          </cell>
          <cell r="BY6539">
            <v>9350</v>
          </cell>
        </row>
        <row r="6540">
          <cell r="BT6540">
            <v>21870.73</v>
          </cell>
          <cell r="BY6540">
            <v>2860</v>
          </cell>
        </row>
        <row r="6541">
          <cell r="BT6541">
            <v>1575.92</v>
          </cell>
          <cell r="BY6541">
            <v>206.08</v>
          </cell>
        </row>
        <row r="6542">
          <cell r="BT6542">
            <v>87062.34</v>
          </cell>
          <cell r="BY6542">
            <v>11385</v>
          </cell>
        </row>
        <row r="6543">
          <cell r="BT6543">
            <v>12815.03</v>
          </cell>
          <cell r="BY6543">
            <v>1675.8</v>
          </cell>
        </row>
        <row r="6544">
          <cell r="BT6544">
            <v>-5310.92</v>
          </cell>
          <cell r="BY6544">
            <v>694.5</v>
          </cell>
        </row>
        <row r="6545">
          <cell r="BT6545">
            <v>159.37</v>
          </cell>
          <cell r="BY6545">
            <v>20.84</v>
          </cell>
        </row>
        <row r="6546">
          <cell r="BT6546">
            <v>-147212.91</v>
          </cell>
          <cell r="BY6546">
            <v>19250.79</v>
          </cell>
        </row>
        <row r="6547">
          <cell r="BT6547">
            <v>4416.3599999999997</v>
          </cell>
          <cell r="BY6547">
            <v>577.52</v>
          </cell>
        </row>
        <row r="6548">
          <cell r="BT6548">
            <v>-12235.38</v>
          </cell>
          <cell r="BY6548">
            <v>1600</v>
          </cell>
        </row>
        <row r="6549">
          <cell r="BT6549">
            <v>367.06</v>
          </cell>
          <cell r="BY6549">
            <v>48</v>
          </cell>
        </row>
        <row r="6550">
          <cell r="BT6550">
            <v>-5492.15</v>
          </cell>
          <cell r="BY6550">
            <v>718.2</v>
          </cell>
        </row>
        <row r="6551">
          <cell r="BT6551">
            <v>164.8</v>
          </cell>
          <cell r="BY6551">
            <v>21.55</v>
          </cell>
        </row>
        <row r="6552">
          <cell r="BT6552">
            <v>-3670.61</v>
          </cell>
          <cell r="BY6552">
            <v>480</v>
          </cell>
        </row>
        <row r="6553">
          <cell r="BT6553">
            <v>110.12</v>
          </cell>
          <cell r="BY6553">
            <v>14.4</v>
          </cell>
        </row>
        <row r="6554">
          <cell r="BT6554">
            <v>-12103.85</v>
          </cell>
          <cell r="BY6554">
            <v>1582.8</v>
          </cell>
        </row>
        <row r="6555">
          <cell r="BT6555">
            <v>363.08</v>
          </cell>
          <cell r="BY6555">
            <v>47.48</v>
          </cell>
        </row>
        <row r="6556">
          <cell r="BT6556">
            <v>-29823.73</v>
          </cell>
          <cell r="BY6556">
            <v>3900</v>
          </cell>
        </row>
        <row r="6557">
          <cell r="BT6557">
            <v>894.71</v>
          </cell>
          <cell r="BY6557">
            <v>117</v>
          </cell>
        </row>
        <row r="6558">
          <cell r="BT6558">
            <v>-7289.61</v>
          </cell>
          <cell r="BY6558">
            <v>953.25</v>
          </cell>
        </row>
        <row r="6559">
          <cell r="BT6559">
            <v>218.71</v>
          </cell>
          <cell r="BY6559">
            <v>28.6</v>
          </cell>
        </row>
        <row r="6560">
          <cell r="BT6560">
            <v>-244701.44</v>
          </cell>
          <cell r="BY6560">
            <v>32000</v>
          </cell>
        </row>
        <row r="6561">
          <cell r="BT6561">
            <v>244701.44</v>
          </cell>
          <cell r="BY6561">
            <v>32000</v>
          </cell>
        </row>
        <row r="6562">
          <cell r="BT6562">
            <v>244701.44</v>
          </cell>
          <cell r="BY6562">
            <v>32000</v>
          </cell>
        </row>
        <row r="6563">
          <cell r="BT6563">
            <v>-9152.34</v>
          </cell>
          <cell r="BY6563">
            <v>1200</v>
          </cell>
        </row>
        <row r="6564">
          <cell r="BT6564">
            <v>-3622.81</v>
          </cell>
          <cell r="BY6564">
            <v>475</v>
          </cell>
        </row>
        <row r="6565">
          <cell r="BT6565">
            <v>-4766.8500000000004</v>
          </cell>
          <cell r="BY6565">
            <v>625</v>
          </cell>
        </row>
        <row r="6566">
          <cell r="BT6566">
            <v>-2440.63</v>
          </cell>
          <cell r="BY6566">
            <v>320</v>
          </cell>
        </row>
        <row r="6567">
          <cell r="BT6567">
            <v>-10067.59</v>
          </cell>
          <cell r="BY6567">
            <v>1320</v>
          </cell>
        </row>
        <row r="6568">
          <cell r="BT6568">
            <v>-4385.5</v>
          </cell>
          <cell r="BY6568">
            <v>575</v>
          </cell>
        </row>
        <row r="6569">
          <cell r="BT6569">
            <v>-17542.009999999998</v>
          </cell>
          <cell r="BY6569">
            <v>2300</v>
          </cell>
        </row>
        <row r="6570">
          <cell r="BT6570">
            <v>-5344.21</v>
          </cell>
          <cell r="BY6570">
            <v>700.7</v>
          </cell>
        </row>
        <row r="6571">
          <cell r="BT6571">
            <v>-7436.29</v>
          </cell>
          <cell r="BY6571">
            <v>975</v>
          </cell>
        </row>
        <row r="6572">
          <cell r="BT6572">
            <v>-9915.0499999999993</v>
          </cell>
          <cell r="BY6572">
            <v>1300</v>
          </cell>
        </row>
        <row r="6573">
          <cell r="BT6573">
            <v>-2097.41</v>
          </cell>
          <cell r="BY6573">
            <v>275</v>
          </cell>
        </row>
        <row r="6574">
          <cell r="BT6574">
            <v>-32512.639999999999</v>
          </cell>
          <cell r="BY6574">
            <v>4235</v>
          </cell>
        </row>
        <row r="6575">
          <cell r="BT6575">
            <v>1625.63</v>
          </cell>
          <cell r="BY6575">
            <v>211.75</v>
          </cell>
        </row>
        <row r="6576">
          <cell r="BT6576">
            <v>-1612.2</v>
          </cell>
          <cell r="BY6576">
            <v>210</v>
          </cell>
        </row>
        <row r="6577">
          <cell r="BT6577">
            <v>1612.2</v>
          </cell>
          <cell r="BY6577">
            <v>210</v>
          </cell>
        </row>
        <row r="6578">
          <cell r="BT6578">
            <v>-21304.04</v>
          </cell>
          <cell r="BY6578">
            <v>2775</v>
          </cell>
        </row>
        <row r="6579">
          <cell r="BT6579">
            <v>1065.2</v>
          </cell>
          <cell r="BY6579">
            <v>138.75</v>
          </cell>
        </row>
        <row r="6580">
          <cell r="BT6580">
            <v>-32512.639999999999</v>
          </cell>
          <cell r="BY6580">
            <v>4235</v>
          </cell>
        </row>
        <row r="6581">
          <cell r="BT6581">
            <v>1625.63</v>
          </cell>
          <cell r="BY6581">
            <v>211.75</v>
          </cell>
        </row>
        <row r="6582">
          <cell r="BT6582">
            <v>-21304.04</v>
          </cell>
          <cell r="BY6582">
            <v>2775</v>
          </cell>
        </row>
        <row r="6583">
          <cell r="BT6583">
            <v>1065.2</v>
          </cell>
          <cell r="BY6583">
            <v>138.75</v>
          </cell>
        </row>
        <row r="6584">
          <cell r="BT6584">
            <v>-9152.34</v>
          </cell>
          <cell r="BY6584">
            <v>1200</v>
          </cell>
        </row>
        <row r="6585">
          <cell r="BT6585">
            <v>-3622.81</v>
          </cell>
          <cell r="BY6585">
            <v>475</v>
          </cell>
        </row>
        <row r="6586">
          <cell r="BT6586">
            <v>-4766.8500000000004</v>
          </cell>
          <cell r="BY6586">
            <v>625</v>
          </cell>
        </row>
        <row r="6587">
          <cell r="BT6587">
            <v>-2440.63</v>
          </cell>
          <cell r="BY6587">
            <v>320</v>
          </cell>
        </row>
        <row r="6588">
          <cell r="BT6588">
            <v>-10067.59</v>
          </cell>
          <cell r="BY6588">
            <v>1320</v>
          </cell>
        </row>
        <row r="6589">
          <cell r="BT6589">
            <v>-4385.5</v>
          </cell>
          <cell r="BY6589">
            <v>575</v>
          </cell>
        </row>
        <row r="6590">
          <cell r="BT6590">
            <v>-17542.009999999998</v>
          </cell>
          <cell r="BY6590">
            <v>2300</v>
          </cell>
        </row>
        <row r="6591">
          <cell r="BT6591">
            <v>-5344.21</v>
          </cell>
          <cell r="BY6591">
            <v>700.7</v>
          </cell>
        </row>
        <row r="6592">
          <cell r="BT6592">
            <v>-7436.29</v>
          </cell>
          <cell r="BY6592">
            <v>975</v>
          </cell>
        </row>
        <row r="6593">
          <cell r="BT6593">
            <v>-9915.0499999999993</v>
          </cell>
          <cell r="BY6593">
            <v>1300</v>
          </cell>
        </row>
        <row r="6594">
          <cell r="BT6594">
            <v>32512.639999999999</v>
          </cell>
          <cell r="BY6594">
            <v>4235</v>
          </cell>
        </row>
        <row r="6595">
          <cell r="BT6595">
            <v>-1625.63</v>
          </cell>
          <cell r="BY6595">
            <v>211.75</v>
          </cell>
        </row>
        <row r="6596">
          <cell r="BT6596">
            <v>21304.04</v>
          </cell>
          <cell r="BY6596">
            <v>2775</v>
          </cell>
        </row>
        <row r="6597">
          <cell r="BT6597">
            <v>-1065.2</v>
          </cell>
          <cell r="BY6597">
            <v>138.75</v>
          </cell>
        </row>
        <row r="6598">
          <cell r="BT6598">
            <v>-66330.399999999994</v>
          </cell>
          <cell r="BY6598">
            <v>8640</v>
          </cell>
        </row>
        <row r="6599">
          <cell r="BT6599">
            <v>-15141.28</v>
          </cell>
          <cell r="BY6599">
            <v>1980</v>
          </cell>
        </row>
        <row r="6600">
          <cell r="BT6600">
            <v>-11700.08</v>
          </cell>
          <cell r="BY6600">
            <v>1530</v>
          </cell>
        </row>
        <row r="6601">
          <cell r="BT6601">
            <v>-3186.09</v>
          </cell>
          <cell r="BY6601">
            <v>416.64</v>
          </cell>
        </row>
        <row r="6602">
          <cell r="BT6602">
            <v>-9152.34</v>
          </cell>
          <cell r="BY6602">
            <v>1200</v>
          </cell>
        </row>
        <row r="6603">
          <cell r="BT6603">
            <v>-3622.81</v>
          </cell>
          <cell r="BY6603">
            <v>475</v>
          </cell>
        </row>
        <row r="6604">
          <cell r="BT6604">
            <v>-4766.8500000000004</v>
          </cell>
          <cell r="BY6604">
            <v>625</v>
          </cell>
        </row>
        <row r="6605">
          <cell r="BT6605">
            <v>-2440.63</v>
          </cell>
          <cell r="BY6605">
            <v>320</v>
          </cell>
        </row>
        <row r="6606">
          <cell r="BT6606">
            <v>-10067.59</v>
          </cell>
          <cell r="BY6606">
            <v>1320</v>
          </cell>
        </row>
        <row r="6607">
          <cell r="BT6607">
            <v>-4385.5</v>
          </cell>
          <cell r="BY6607">
            <v>575</v>
          </cell>
        </row>
        <row r="6608">
          <cell r="BT6608">
            <v>-17542.009999999998</v>
          </cell>
          <cell r="BY6608">
            <v>2300</v>
          </cell>
        </row>
        <row r="6609">
          <cell r="BT6609">
            <v>-5344.21</v>
          </cell>
          <cell r="BY6609">
            <v>700.7</v>
          </cell>
        </row>
        <row r="6610">
          <cell r="BT6610">
            <v>-7436.29</v>
          </cell>
          <cell r="BY6610">
            <v>975</v>
          </cell>
        </row>
        <row r="6611">
          <cell r="BT6611">
            <v>-19830.099999999999</v>
          </cell>
          <cell r="BY6611">
            <v>2600</v>
          </cell>
        </row>
        <row r="6612">
          <cell r="BT6612">
            <v>-8398.7900000000009</v>
          </cell>
          <cell r="BY6612">
            <v>1094</v>
          </cell>
        </row>
        <row r="6613">
          <cell r="BT6613">
            <v>-30524.27</v>
          </cell>
          <cell r="BY6613">
            <v>3976</v>
          </cell>
        </row>
        <row r="6614">
          <cell r="BT6614">
            <v>-1155.25</v>
          </cell>
          <cell r="BY6614">
            <v>150.47999999999999</v>
          </cell>
        </row>
        <row r="6615">
          <cell r="BT6615">
            <v>-76.77</v>
          </cell>
          <cell r="BY6615">
            <v>10</v>
          </cell>
        </row>
        <row r="6616">
          <cell r="BT6616">
            <v>-35376.22</v>
          </cell>
          <cell r="BY6616">
            <v>4608</v>
          </cell>
        </row>
        <row r="6617">
          <cell r="BT6617">
            <v>-5949.77</v>
          </cell>
          <cell r="BY6617">
            <v>775</v>
          </cell>
        </row>
        <row r="6618">
          <cell r="BT6618">
            <v>-10210.58</v>
          </cell>
          <cell r="BY6618">
            <v>1330</v>
          </cell>
        </row>
        <row r="6619">
          <cell r="BT6619">
            <v>-11515.7</v>
          </cell>
          <cell r="BY6619">
            <v>1500</v>
          </cell>
        </row>
        <row r="6620">
          <cell r="BT6620">
            <v>-40504.54</v>
          </cell>
          <cell r="BY6620">
            <v>5276</v>
          </cell>
        </row>
        <row r="6621">
          <cell r="BT6621">
            <v>-58591.86</v>
          </cell>
          <cell r="BY6621">
            <v>7632</v>
          </cell>
        </row>
        <row r="6622">
          <cell r="BT6622">
            <v>2929.59</v>
          </cell>
          <cell r="BY6622">
            <v>381.6</v>
          </cell>
        </row>
        <row r="6623">
          <cell r="BT6623">
            <v>-190423.53</v>
          </cell>
          <cell r="BY6623">
            <v>24804</v>
          </cell>
        </row>
        <row r="6624">
          <cell r="BT6624">
            <v>9521.18</v>
          </cell>
          <cell r="BY6624">
            <v>1240.2</v>
          </cell>
        </row>
        <row r="6625">
          <cell r="BT6625">
            <v>-44143.49</v>
          </cell>
          <cell r="BY6625">
            <v>5750</v>
          </cell>
        </row>
        <row r="6626">
          <cell r="BT6626">
            <v>2207.17</v>
          </cell>
          <cell r="BY6626">
            <v>287.5</v>
          </cell>
        </row>
        <row r="6627">
          <cell r="BT6627">
            <v>-16981.810000000001</v>
          </cell>
          <cell r="BY6627">
            <v>2212</v>
          </cell>
        </row>
        <row r="6628">
          <cell r="BT6628">
            <v>849.09</v>
          </cell>
          <cell r="BY6628">
            <v>110.6</v>
          </cell>
        </row>
        <row r="6629">
          <cell r="BT6629">
            <v>-17680.43</v>
          </cell>
          <cell r="BY6629">
            <v>2303</v>
          </cell>
        </row>
        <row r="6630">
          <cell r="BT6630">
            <v>884.02</v>
          </cell>
          <cell r="BY6630">
            <v>115.15</v>
          </cell>
        </row>
        <row r="6631">
          <cell r="BT6631">
            <v>-39015.17</v>
          </cell>
          <cell r="BY6631">
            <v>5082</v>
          </cell>
        </row>
        <row r="6632">
          <cell r="BT6632">
            <v>1950.68</v>
          </cell>
          <cell r="BY6632">
            <v>254.09</v>
          </cell>
        </row>
        <row r="6633">
          <cell r="BT6633">
            <v>-3550.67</v>
          </cell>
          <cell r="BY6633">
            <v>462.5</v>
          </cell>
        </row>
        <row r="6634">
          <cell r="BT6634">
            <v>177.57</v>
          </cell>
          <cell r="BY6634">
            <v>23.13</v>
          </cell>
        </row>
        <row r="6635">
          <cell r="BT6635">
            <v>-23246.35</v>
          </cell>
          <cell r="BY6635">
            <v>3028</v>
          </cell>
        </row>
        <row r="6636">
          <cell r="BT6636">
            <v>1162.32</v>
          </cell>
          <cell r="BY6636">
            <v>151.4</v>
          </cell>
        </row>
        <row r="6637">
          <cell r="BT6637">
            <v>-6160.9</v>
          </cell>
          <cell r="BY6637">
            <v>802.5</v>
          </cell>
        </row>
        <row r="6638">
          <cell r="BT6638">
            <v>308.08</v>
          </cell>
          <cell r="BY6638">
            <v>40.130000000000003</v>
          </cell>
        </row>
        <row r="6639">
          <cell r="BT6639">
            <v>-17273.54</v>
          </cell>
          <cell r="BY6639">
            <v>2250</v>
          </cell>
        </row>
        <row r="6640">
          <cell r="BT6640">
            <v>-38232.11</v>
          </cell>
          <cell r="BY6640">
            <v>4980</v>
          </cell>
        </row>
        <row r="6641">
          <cell r="BT6641">
            <v>-31115.41</v>
          </cell>
          <cell r="BY6641">
            <v>4053</v>
          </cell>
        </row>
        <row r="6642">
          <cell r="BT6642">
            <v>-20296.25</v>
          </cell>
          <cell r="BY6642">
            <v>2661.12</v>
          </cell>
        </row>
        <row r="6643">
          <cell r="BT6643">
            <v>-1657.19</v>
          </cell>
          <cell r="BY6643">
            <v>217.28</v>
          </cell>
        </row>
        <row r="6644">
          <cell r="BT6644">
            <v>-76.27</v>
          </cell>
          <cell r="BY6644">
            <v>10</v>
          </cell>
        </row>
        <row r="6645">
          <cell r="BT6645">
            <v>-57578.48</v>
          </cell>
          <cell r="BY6645">
            <v>7500</v>
          </cell>
        </row>
        <row r="6646">
          <cell r="BT6646">
            <v>-11907.23</v>
          </cell>
          <cell r="BY6646">
            <v>1551</v>
          </cell>
        </row>
        <row r="6647">
          <cell r="BT6647">
            <v>-58361.29</v>
          </cell>
          <cell r="BY6647">
            <v>7632</v>
          </cell>
        </row>
        <row r="6648">
          <cell r="BT6648">
            <v>2918.06</v>
          </cell>
          <cell r="BY6648">
            <v>381.6</v>
          </cell>
        </row>
        <row r="6649">
          <cell r="BT6649">
            <v>-58361.29</v>
          </cell>
          <cell r="BY6649">
            <v>7632</v>
          </cell>
        </row>
        <row r="6650">
          <cell r="BT6650">
            <v>2918.06</v>
          </cell>
          <cell r="BY6650">
            <v>381.6</v>
          </cell>
        </row>
        <row r="6651">
          <cell r="BT6651">
            <v>-11469.63</v>
          </cell>
          <cell r="BY6651">
            <v>1494</v>
          </cell>
        </row>
        <row r="6652">
          <cell r="BT6652">
            <v>9152.34</v>
          </cell>
          <cell r="BY6652">
            <v>1200</v>
          </cell>
        </row>
        <row r="6653">
          <cell r="BT6653">
            <v>3622.81</v>
          </cell>
          <cell r="BY6653">
            <v>475</v>
          </cell>
        </row>
        <row r="6654">
          <cell r="BT6654">
            <v>4766.8500000000004</v>
          </cell>
          <cell r="BY6654">
            <v>625</v>
          </cell>
        </row>
        <row r="6655">
          <cell r="BT6655">
            <v>2440.63</v>
          </cell>
          <cell r="BY6655">
            <v>320</v>
          </cell>
        </row>
        <row r="6656">
          <cell r="BT6656">
            <v>10067.59</v>
          </cell>
          <cell r="BY6656">
            <v>1320</v>
          </cell>
        </row>
        <row r="6657">
          <cell r="BT6657">
            <v>4385.5</v>
          </cell>
          <cell r="BY6657">
            <v>575</v>
          </cell>
        </row>
        <row r="6658">
          <cell r="BT6658">
            <v>17542.009999999998</v>
          </cell>
          <cell r="BY6658">
            <v>2300</v>
          </cell>
        </row>
        <row r="6659">
          <cell r="BT6659">
            <v>5344.21</v>
          </cell>
          <cell r="BY6659">
            <v>700.7</v>
          </cell>
        </row>
        <row r="6660">
          <cell r="BT6660">
            <v>7436.29</v>
          </cell>
          <cell r="BY6660">
            <v>975</v>
          </cell>
        </row>
        <row r="6661">
          <cell r="BT6661">
            <v>9152.34</v>
          </cell>
          <cell r="BY6661">
            <v>1200</v>
          </cell>
        </row>
        <row r="6662">
          <cell r="BT6662">
            <v>3622.81</v>
          </cell>
          <cell r="BY6662">
            <v>475</v>
          </cell>
        </row>
        <row r="6663">
          <cell r="BT6663">
            <v>4766.8500000000004</v>
          </cell>
          <cell r="BY6663">
            <v>625</v>
          </cell>
        </row>
        <row r="6664">
          <cell r="BT6664">
            <v>2440.63</v>
          </cell>
          <cell r="BY6664">
            <v>320</v>
          </cell>
        </row>
        <row r="6665">
          <cell r="BT6665">
            <v>10067.59</v>
          </cell>
          <cell r="BY6665">
            <v>1320</v>
          </cell>
        </row>
        <row r="6666">
          <cell r="BT6666">
            <v>4385.5</v>
          </cell>
          <cell r="BY6666">
            <v>575</v>
          </cell>
        </row>
        <row r="6667">
          <cell r="BT6667">
            <v>17542.009999999998</v>
          </cell>
          <cell r="BY6667">
            <v>2300</v>
          </cell>
        </row>
        <row r="6668">
          <cell r="BT6668">
            <v>5344.21</v>
          </cell>
          <cell r="BY6668">
            <v>700.7</v>
          </cell>
        </row>
        <row r="6669">
          <cell r="BT6669">
            <v>19830.099999999999</v>
          </cell>
          <cell r="BY6669">
            <v>2600</v>
          </cell>
        </row>
        <row r="6670">
          <cell r="BT6670">
            <v>7436.29</v>
          </cell>
          <cell r="BY6670">
            <v>975</v>
          </cell>
        </row>
        <row r="6671">
          <cell r="BT6671">
            <v>19830.099999999999</v>
          </cell>
          <cell r="BY6671">
            <v>2600</v>
          </cell>
        </row>
        <row r="6672">
          <cell r="BT6672">
            <v>-102025.2</v>
          </cell>
          <cell r="BY6672">
            <v>13289.5</v>
          </cell>
        </row>
        <row r="6673">
          <cell r="BT6673">
            <v>5101.22</v>
          </cell>
          <cell r="BY6673">
            <v>664.47</v>
          </cell>
        </row>
        <row r="6674">
          <cell r="BT6674">
            <v>-3040.14</v>
          </cell>
          <cell r="BY6674">
            <v>396</v>
          </cell>
        </row>
        <row r="6675">
          <cell r="BT6675">
            <v>152.01</v>
          </cell>
          <cell r="BY6675">
            <v>19.8</v>
          </cell>
        </row>
        <row r="6676">
          <cell r="BT6676">
            <v>-27637.66</v>
          </cell>
          <cell r="BY6676">
            <v>3600</v>
          </cell>
        </row>
        <row r="6677">
          <cell r="BT6677">
            <v>-10364.129999999999</v>
          </cell>
          <cell r="BY6677">
            <v>1350</v>
          </cell>
        </row>
        <row r="6678">
          <cell r="BT6678">
            <v>-422.26</v>
          </cell>
          <cell r="BY6678">
            <v>55</v>
          </cell>
        </row>
        <row r="6679">
          <cell r="BT6679">
            <v>-6988.41</v>
          </cell>
          <cell r="BY6679">
            <v>910.29</v>
          </cell>
        </row>
        <row r="6680">
          <cell r="BT6680">
            <v>-2740.74</v>
          </cell>
          <cell r="BY6680">
            <v>357</v>
          </cell>
        </row>
        <row r="6681">
          <cell r="BT6681">
            <v>137.04</v>
          </cell>
          <cell r="BY6681">
            <v>17.850000000000001</v>
          </cell>
        </row>
        <row r="6682">
          <cell r="BT6682">
            <v>-4062.74</v>
          </cell>
          <cell r="BY6682">
            <v>529.20000000000005</v>
          </cell>
        </row>
        <row r="6683">
          <cell r="BT6683">
            <v>203.14</v>
          </cell>
          <cell r="BY6683">
            <v>26.46</v>
          </cell>
        </row>
        <row r="6684">
          <cell r="BT6684">
            <v>-1246.77</v>
          </cell>
          <cell r="BY6684">
            <v>162.4</v>
          </cell>
        </row>
        <row r="6685">
          <cell r="BT6685">
            <v>62.34</v>
          </cell>
          <cell r="BY6685">
            <v>8.1199999999999992</v>
          </cell>
        </row>
        <row r="6686">
          <cell r="BT6686">
            <v>-4127.2299999999996</v>
          </cell>
          <cell r="BY6686">
            <v>537.6</v>
          </cell>
        </row>
        <row r="6687">
          <cell r="BT6687">
            <v>206.36</v>
          </cell>
          <cell r="BY6687">
            <v>26.88</v>
          </cell>
        </row>
        <row r="6688">
          <cell r="BT6688">
            <v>-6057.26</v>
          </cell>
          <cell r="BY6688">
            <v>789</v>
          </cell>
        </row>
        <row r="6689">
          <cell r="BT6689">
            <v>302.86</v>
          </cell>
          <cell r="BY6689">
            <v>39.450000000000003</v>
          </cell>
        </row>
        <row r="6690">
          <cell r="BT6690">
            <v>-3804.02</v>
          </cell>
          <cell r="BY6690">
            <v>495.5</v>
          </cell>
        </row>
        <row r="6691">
          <cell r="BT6691">
            <v>-13078.14</v>
          </cell>
          <cell r="BY6691">
            <v>1703.52</v>
          </cell>
        </row>
        <row r="6692">
          <cell r="BT6692">
            <v>-52204.480000000003</v>
          </cell>
          <cell r="BY6692">
            <v>6800</v>
          </cell>
        </row>
        <row r="6693">
          <cell r="BT6693">
            <v>-508.53</v>
          </cell>
          <cell r="BY6693">
            <v>66.239999999999995</v>
          </cell>
        </row>
        <row r="6694">
          <cell r="BT6694">
            <v>-3224.39</v>
          </cell>
          <cell r="BY6694">
            <v>420</v>
          </cell>
        </row>
        <row r="6695">
          <cell r="BT6695">
            <v>3224.39</v>
          </cell>
          <cell r="BY6695">
            <v>420</v>
          </cell>
        </row>
        <row r="6696">
          <cell r="BT6696">
            <v>190.24</v>
          </cell>
          <cell r="BY6696">
            <v>24.78</v>
          </cell>
        </row>
        <row r="6697">
          <cell r="BT6697">
            <v>-6755.88</v>
          </cell>
          <cell r="BY6697">
            <v>880</v>
          </cell>
        </row>
        <row r="6698">
          <cell r="BT6698">
            <v>-28503.65</v>
          </cell>
          <cell r="BY6698">
            <v>3712.8</v>
          </cell>
        </row>
        <row r="6699">
          <cell r="BT6699">
            <v>-32490</v>
          </cell>
          <cell r="BY6699">
            <v>4232.05</v>
          </cell>
        </row>
        <row r="6700">
          <cell r="BT6700">
            <v>-15555.4</v>
          </cell>
          <cell r="BY6700">
            <v>2026.2</v>
          </cell>
        </row>
        <row r="6701">
          <cell r="BT6701">
            <v>-27407.35</v>
          </cell>
          <cell r="BY6701">
            <v>3570</v>
          </cell>
        </row>
        <row r="6702">
          <cell r="BT6702">
            <v>-11441.99</v>
          </cell>
          <cell r="BY6702">
            <v>1490.4</v>
          </cell>
        </row>
        <row r="6703">
          <cell r="BT6703">
            <v>-44143.49</v>
          </cell>
          <cell r="BY6703">
            <v>5750</v>
          </cell>
        </row>
        <row r="6704">
          <cell r="BT6704">
            <v>2207.17</v>
          </cell>
          <cell r="BY6704">
            <v>287.5</v>
          </cell>
        </row>
        <row r="6705">
          <cell r="BT6705">
            <v>20296.25</v>
          </cell>
          <cell r="BY6705">
            <v>2661.12</v>
          </cell>
        </row>
        <row r="6706">
          <cell r="BT6706">
            <v>1657.19</v>
          </cell>
          <cell r="BY6706">
            <v>217.28</v>
          </cell>
        </row>
        <row r="6707">
          <cell r="BT6707">
            <v>76.27</v>
          </cell>
          <cell r="BY6707">
            <v>10</v>
          </cell>
        </row>
        <row r="6708">
          <cell r="BT6708">
            <v>7647.69</v>
          </cell>
          <cell r="BY6708">
            <v>1000</v>
          </cell>
        </row>
        <row r="6709">
          <cell r="BT6709">
            <v>76.48</v>
          </cell>
          <cell r="BY6709">
            <v>10</v>
          </cell>
        </row>
        <row r="6710">
          <cell r="BT6710">
            <v>764.77</v>
          </cell>
          <cell r="BY6710">
            <v>100</v>
          </cell>
        </row>
        <row r="6711">
          <cell r="BT6711">
            <v>15141.28</v>
          </cell>
          <cell r="BY6711">
            <v>1980</v>
          </cell>
        </row>
        <row r="6712">
          <cell r="BT6712">
            <v>11700.08</v>
          </cell>
          <cell r="BY6712">
            <v>1530</v>
          </cell>
        </row>
        <row r="6713">
          <cell r="BT6713">
            <v>3186.09</v>
          </cell>
          <cell r="BY6713">
            <v>416.64</v>
          </cell>
        </row>
        <row r="6714">
          <cell r="BT6714">
            <v>3385.61</v>
          </cell>
          <cell r="BY6714">
            <v>441</v>
          </cell>
        </row>
        <row r="6715">
          <cell r="BT6715">
            <v>20996.95</v>
          </cell>
          <cell r="BY6715">
            <v>2735</v>
          </cell>
        </row>
        <row r="6716">
          <cell r="BT6716">
            <v>82605.919999999998</v>
          </cell>
          <cell r="BY6716">
            <v>10760</v>
          </cell>
        </row>
        <row r="6717">
          <cell r="BT6717">
            <v>15262.13</v>
          </cell>
          <cell r="BY6717">
            <v>1988</v>
          </cell>
        </row>
        <row r="6718">
          <cell r="BT6718">
            <v>12682.62</v>
          </cell>
          <cell r="BY6718">
            <v>1652</v>
          </cell>
        </row>
        <row r="6719">
          <cell r="BT6719">
            <v>3088.66</v>
          </cell>
          <cell r="BY6719">
            <v>402.32</v>
          </cell>
        </row>
        <row r="6720">
          <cell r="BT6720">
            <v>360.83</v>
          </cell>
          <cell r="BY6720">
            <v>47</v>
          </cell>
        </row>
        <row r="6721">
          <cell r="BT6721">
            <v>87062.35</v>
          </cell>
          <cell r="BY6721">
            <v>11385</v>
          </cell>
        </row>
        <row r="6722">
          <cell r="BT6722">
            <v>12815.03</v>
          </cell>
          <cell r="BY6722">
            <v>1675.8</v>
          </cell>
        </row>
        <row r="6723">
          <cell r="BT6723">
            <v>260</v>
          </cell>
          <cell r="BY6723">
            <v>34</v>
          </cell>
        </row>
        <row r="6724">
          <cell r="BT6724">
            <v>-87062.35</v>
          </cell>
          <cell r="BY6724">
            <v>11385</v>
          </cell>
        </row>
        <row r="6725">
          <cell r="BT6725">
            <v>-12815.03</v>
          </cell>
          <cell r="BY6725">
            <v>1675.8</v>
          </cell>
        </row>
        <row r="6726">
          <cell r="BT6726">
            <v>-260</v>
          </cell>
          <cell r="BY6726">
            <v>34</v>
          </cell>
        </row>
        <row r="6727">
          <cell r="BT6727">
            <v>-15141.28</v>
          </cell>
          <cell r="BY6727">
            <v>1980</v>
          </cell>
        </row>
        <row r="6728">
          <cell r="BT6728">
            <v>-11700.08</v>
          </cell>
          <cell r="BY6728">
            <v>1530</v>
          </cell>
        </row>
        <row r="6729">
          <cell r="BT6729">
            <v>-3186.09</v>
          </cell>
          <cell r="BY6729">
            <v>416.64</v>
          </cell>
        </row>
        <row r="6730">
          <cell r="BT6730">
            <v>-84.12</v>
          </cell>
          <cell r="BY6730">
            <v>11</v>
          </cell>
        </row>
        <row r="6731">
          <cell r="BT6731">
            <v>7647.69</v>
          </cell>
          <cell r="BY6731">
            <v>1000</v>
          </cell>
        </row>
        <row r="6732">
          <cell r="BT6732">
            <v>764.77</v>
          </cell>
          <cell r="BY6732">
            <v>100</v>
          </cell>
        </row>
        <row r="6733">
          <cell r="BT6733">
            <v>-3385.61</v>
          </cell>
          <cell r="BY6733">
            <v>441</v>
          </cell>
        </row>
        <row r="6734">
          <cell r="BT6734">
            <v>-20996.95</v>
          </cell>
          <cell r="BY6734">
            <v>2735</v>
          </cell>
        </row>
        <row r="6735">
          <cell r="BT6735">
            <v>-82605.919999999998</v>
          </cell>
          <cell r="BY6735">
            <v>10760</v>
          </cell>
        </row>
        <row r="6736">
          <cell r="BT6736">
            <v>-15262.13</v>
          </cell>
          <cell r="BY6736">
            <v>1988</v>
          </cell>
        </row>
        <row r="6737">
          <cell r="BT6737">
            <v>-12682.62</v>
          </cell>
          <cell r="BY6737">
            <v>1652</v>
          </cell>
        </row>
        <row r="6738">
          <cell r="BT6738">
            <v>-3088.66</v>
          </cell>
          <cell r="BY6738">
            <v>402.32</v>
          </cell>
        </row>
        <row r="6739">
          <cell r="BT6739">
            <v>-360.83</v>
          </cell>
          <cell r="BY6739">
            <v>47</v>
          </cell>
        </row>
        <row r="6740">
          <cell r="BT6740">
            <v>-20296.25</v>
          </cell>
          <cell r="BY6740">
            <v>2661.12</v>
          </cell>
        </row>
        <row r="6741">
          <cell r="BT6741">
            <v>-1657.19</v>
          </cell>
          <cell r="BY6741">
            <v>217.28</v>
          </cell>
        </row>
        <row r="6742">
          <cell r="BT6742">
            <v>-76.27</v>
          </cell>
          <cell r="BY6742">
            <v>10</v>
          </cell>
        </row>
        <row r="6743">
          <cell r="BT6743">
            <v>15200.71</v>
          </cell>
          <cell r="BY6743">
            <v>1980</v>
          </cell>
        </row>
        <row r="6744">
          <cell r="BT6744">
            <v>11746.01</v>
          </cell>
          <cell r="BY6744">
            <v>1530</v>
          </cell>
        </row>
        <row r="6745">
          <cell r="BT6745">
            <v>3198.6</v>
          </cell>
          <cell r="BY6745">
            <v>416.64</v>
          </cell>
        </row>
        <row r="6746">
          <cell r="BT6746">
            <v>84.45</v>
          </cell>
          <cell r="BY6746">
            <v>11</v>
          </cell>
        </row>
        <row r="6747">
          <cell r="BT6747">
            <v>21956.6</v>
          </cell>
          <cell r="BY6747">
            <v>2860</v>
          </cell>
        </row>
        <row r="6748">
          <cell r="BT6748">
            <v>1582.1</v>
          </cell>
          <cell r="BY6748">
            <v>206.08</v>
          </cell>
        </row>
        <row r="6749">
          <cell r="BT6749">
            <v>76.77</v>
          </cell>
          <cell r="BY6749">
            <v>10</v>
          </cell>
        </row>
        <row r="6750">
          <cell r="BT6750">
            <v>21870.73</v>
          </cell>
          <cell r="BY6750">
            <v>2860</v>
          </cell>
        </row>
        <row r="6751">
          <cell r="BT6751">
            <v>1575.92</v>
          </cell>
          <cell r="BY6751">
            <v>206.08</v>
          </cell>
        </row>
        <row r="6752">
          <cell r="BT6752">
            <v>76.47</v>
          </cell>
          <cell r="BY6752">
            <v>10</v>
          </cell>
        </row>
        <row r="6753">
          <cell r="BT6753">
            <v>-3385.62</v>
          </cell>
          <cell r="BY6753">
            <v>441</v>
          </cell>
        </row>
        <row r="6754">
          <cell r="BT6754">
            <v>-20996.95</v>
          </cell>
          <cell r="BY6754">
            <v>2735</v>
          </cell>
        </row>
        <row r="6755">
          <cell r="BT6755">
            <v>-82605.919999999998</v>
          </cell>
          <cell r="BY6755">
            <v>10760</v>
          </cell>
        </row>
        <row r="6756">
          <cell r="BT6756">
            <v>-15262.13</v>
          </cell>
          <cell r="BY6756">
            <v>1988</v>
          </cell>
        </row>
        <row r="6757">
          <cell r="BT6757">
            <v>-12682.62</v>
          </cell>
          <cell r="BY6757">
            <v>1652</v>
          </cell>
        </row>
        <row r="6758">
          <cell r="BT6758">
            <v>-21956.6</v>
          </cell>
          <cell r="BY6758">
            <v>2860</v>
          </cell>
        </row>
        <row r="6759">
          <cell r="BT6759">
            <v>-1582.1</v>
          </cell>
          <cell r="BY6759">
            <v>206.08</v>
          </cell>
        </row>
        <row r="6760">
          <cell r="BT6760">
            <v>-76.77</v>
          </cell>
          <cell r="BY6760">
            <v>10</v>
          </cell>
        </row>
        <row r="6761">
          <cell r="BT6761">
            <v>8398.7900000000009</v>
          </cell>
          <cell r="BY6761">
            <v>1094</v>
          </cell>
        </row>
        <row r="6762">
          <cell r="BT6762">
            <v>30524.27</v>
          </cell>
          <cell r="BY6762">
            <v>3976</v>
          </cell>
        </row>
        <row r="6763">
          <cell r="BT6763">
            <v>1155.25</v>
          </cell>
          <cell r="BY6763">
            <v>150.47999999999999</v>
          </cell>
        </row>
        <row r="6764">
          <cell r="BT6764">
            <v>76.77</v>
          </cell>
          <cell r="BY6764">
            <v>10</v>
          </cell>
        </row>
        <row r="6765">
          <cell r="BT6765">
            <v>87062.35</v>
          </cell>
          <cell r="BY6765">
            <v>11385</v>
          </cell>
        </row>
        <row r="6766">
          <cell r="BT6766">
            <v>12815.03</v>
          </cell>
          <cell r="BY6766">
            <v>1675.8</v>
          </cell>
        </row>
        <row r="6767">
          <cell r="BT6767">
            <v>260</v>
          </cell>
          <cell r="BY6767">
            <v>34</v>
          </cell>
        </row>
        <row r="6768">
          <cell r="BT6768">
            <v>3385.62</v>
          </cell>
          <cell r="BY6768">
            <v>441</v>
          </cell>
        </row>
        <row r="6769">
          <cell r="BT6769">
            <v>20996.95</v>
          </cell>
          <cell r="BY6769">
            <v>2735</v>
          </cell>
        </row>
        <row r="6770">
          <cell r="BT6770">
            <v>82605.919999999998</v>
          </cell>
          <cell r="BY6770">
            <v>10760</v>
          </cell>
        </row>
        <row r="6771">
          <cell r="BT6771">
            <v>15262.13</v>
          </cell>
          <cell r="BY6771">
            <v>1988</v>
          </cell>
        </row>
        <row r="6772">
          <cell r="BT6772">
            <v>12682.62</v>
          </cell>
          <cell r="BY6772">
            <v>1652</v>
          </cell>
        </row>
        <row r="6773">
          <cell r="BT6773">
            <v>-15200.71</v>
          </cell>
          <cell r="BY6773">
            <v>1980</v>
          </cell>
        </row>
        <row r="6774">
          <cell r="BT6774">
            <v>-11746.01</v>
          </cell>
          <cell r="BY6774">
            <v>1530</v>
          </cell>
        </row>
        <row r="6775">
          <cell r="BT6775">
            <v>-3198.6</v>
          </cell>
          <cell r="BY6775">
            <v>416.64</v>
          </cell>
        </row>
        <row r="6776">
          <cell r="BT6776">
            <v>-84.45</v>
          </cell>
          <cell r="BY6776">
            <v>11</v>
          </cell>
        </row>
        <row r="6777">
          <cell r="BT6777">
            <v>-8398.7800000000007</v>
          </cell>
          <cell r="BY6777">
            <v>1094</v>
          </cell>
        </row>
        <row r="6778">
          <cell r="BT6778">
            <v>-30524.27</v>
          </cell>
          <cell r="BY6778">
            <v>3976</v>
          </cell>
        </row>
        <row r="6779">
          <cell r="BT6779">
            <v>-1155.25</v>
          </cell>
          <cell r="BY6779">
            <v>150.47999999999999</v>
          </cell>
        </row>
        <row r="6780">
          <cell r="BT6780">
            <v>-76.77</v>
          </cell>
          <cell r="BY6780">
            <v>10</v>
          </cell>
        </row>
        <row r="6781">
          <cell r="BT6781">
            <v>-21870.73</v>
          </cell>
          <cell r="BY6781">
            <v>2860</v>
          </cell>
        </row>
        <row r="6782">
          <cell r="BT6782">
            <v>-1575.92</v>
          </cell>
          <cell r="BY6782">
            <v>206.08</v>
          </cell>
        </row>
        <row r="6783">
          <cell r="BT6783">
            <v>-76.47</v>
          </cell>
          <cell r="BY6783">
            <v>10</v>
          </cell>
        </row>
        <row r="6784">
          <cell r="BT6784">
            <v>-87062.35</v>
          </cell>
          <cell r="BY6784">
            <v>11385</v>
          </cell>
        </row>
        <row r="6785">
          <cell r="BT6785">
            <v>-12815.03</v>
          </cell>
          <cell r="BY6785">
            <v>1675.8</v>
          </cell>
        </row>
        <row r="6786">
          <cell r="BT6786">
            <v>-260</v>
          </cell>
          <cell r="BY6786">
            <v>34</v>
          </cell>
        </row>
        <row r="6787">
          <cell r="BT6787">
            <v>87062.35</v>
          </cell>
          <cell r="BY6787">
            <v>11385</v>
          </cell>
        </row>
        <row r="6788">
          <cell r="BT6788">
            <v>12815.03</v>
          </cell>
          <cell r="BY6788">
            <v>1675.8</v>
          </cell>
        </row>
        <row r="6789">
          <cell r="BT6789">
            <v>260</v>
          </cell>
          <cell r="BY6789">
            <v>34</v>
          </cell>
        </row>
        <row r="6790">
          <cell r="BT6790">
            <v>-87062.35</v>
          </cell>
          <cell r="BY6790">
            <v>11385</v>
          </cell>
        </row>
        <row r="6791">
          <cell r="BT6791">
            <v>-12815.03</v>
          </cell>
          <cell r="BY6791">
            <v>1675.8</v>
          </cell>
        </row>
        <row r="6792">
          <cell r="BT6792">
            <v>-260</v>
          </cell>
          <cell r="BY6792">
            <v>34</v>
          </cell>
        </row>
        <row r="6793">
          <cell r="BT6793">
            <v>-360.83</v>
          </cell>
          <cell r="BY6793">
            <v>47</v>
          </cell>
        </row>
        <row r="6794">
          <cell r="BT6794">
            <v>360.83</v>
          </cell>
          <cell r="BY6794">
            <v>47</v>
          </cell>
        </row>
        <row r="6795">
          <cell r="BT6795">
            <v>-15295.38</v>
          </cell>
          <cell r="BY6795">
            <v>2000</v>
          </cell>
        </row>
        <row r="6796">
          <cell r="BT6796">
            <v>-152.94999999999999</v>
          </cell>
          <cell r="BY6796">
            <v>20</v>
          </cell>
        </row>
        <row r="6797">
          <cell r="BT6797">
            <v>-7647.69</v>
          </cell>
          <cell r="BY6797">
            <v>1000</v>
          </cell>
        </row>
        <row r="6798">
          <cell r="BT6798">
            <v>-152.94999999999999</v>
          </cell>
          <cell r="BY6798">
            <v>20</v>
          </cell>
        </row>
        <row r="6799">
          <cell r="BT6799">
            <v>-7647.69</v>
          </cell>
          <cell r="BY6799">
            <v>1000</v>
          </cell>
        </row>
        <row r="6800">
          <cell r="BT6800">
            <v>-76.48</v>
          </cell>
          <cell r="BY6800">
            <v>10</v>
          </cell>
        </row>
        <row r="6801">
          <cell r="BT6801">
            <v>-764.77</v>
          </cell>
          <cell r="BY6801">
            <v>100</v>
          </cell>
        </row>
        <row r="6802">
          <cell r="BT6802">
            <v>-7647.69</v>
          </cell>
          <cell r="BY6802">
            <v>1000</v>
          </cell>
        </row>
        <row r="6803">
          <cell r="BT6803">
            <v>-76.48</v>
          </cell>
          <cell r="BY6803">
            <v>10</v>
          </cell>
        </row>
        <row r="6804">
          <cell r="BT6804">
            <v>-6.79</v>
          </cell>
          <cell r="BY6804">
            <v>0.89</v>
          </cell>
        </row>
        <row r="6805">
          <cell r="BT6805">
            <v>-381.59</v>
          </cell>
          <cell r="BY6805">
            <v>50</v>
          </cell>
        </row>
        <row r="6806">
          <cell r="BT6806">
            <v>-122.11</v>
          </cell>
          <cell r="BY6806">
            <v>16</v>
          </cell>
        </row>
        <row r="6807">
          <cell r="BT6807">
            <v>-29.76</v>
          </cell>
          <cell r="BY6807">
            <v>3.9</v>
          </cell>
        </row>
        <row r="6808">
          <cell r="BT6808">
            <v>-15.26</v>
          </cell>
          <cell r="BY6808">
            <v>2</v>
          </cell>
        </row>
        <row r="6809">
          <cell r="BT6809">
            <v>-118.29</v>
          </cell>
          <cell r="BY6809">
            <v>15.5</v>
          </cell>
        </row>
        <row r="6810">
          <cell r="BT6810">
            <v>7647.69</v>
          </cell>
          <cell r="BY6810">
            <v>1000</v>
          </cell>
        </row>
        <row r="6811">
          <cell r="BT6811">
            <v>152.94999999999999</v>
          </cell>
          <cell r="BY6811">
            <v>20</v>
          </cell>
        </row>
        <row r="6812">
          <cell r="BT6812">
            <v>-3088.66</v>
          </cell>
          <cell r="BY6812">
            <v>402.32</v>
          </cell>
        </row>
        <row r="6813">
          <cell r="BT6813">
            <v>3088.66</v>
          </cell>
          <cell r="BY6813">
            <v>402.32</v>
          </cell>
        </row>
        <row r="6814">
          <cell r="BT6814">
            <v>151.69999999999999</v>
          </cell>
          <cell r="BY6814">
            <v>19.84</v>
          </cell>
        </row>
        <row r="6815">
          <cell r="BT6815">
            <v>-2.08</v>
          </cell>
          <cell r="BY6815">
            <v>0</v>
          </cell>
        </row>
        <row r="6816">
          <cell r="BT6816">
            <v>-89.52</v>
          </cell>
          <cell r="BY6816">
            <v>0</v>
          </cell>
        </row>
        <row r="6817">
          <cell r="BT6817">
            <v>-158.27000000000001</v>
          </cell>
          <cell r="BY6817">
            <v>0</v>
          </cell>
        </row>
        <row r="6818">
          <cell r="BT6818">
            <v>-1433.59</v>
          </cell>
          <cell r="BY6818">
            <v>0</v>
          </cell>
        </row>
        <row r="6819">
          <cell r="BT6819">
            <v>-221.29</v>
          </cell>
          <cell r="BY6819">
            <v>0</v>
          </cell>
        </row>
        <row r="6820">
          <cell r="BT6820">
            <v>-310.32</v>
          </cell>
          <cell r="BY6820">
            <v>0</v>
          </cell>
        </row>
        <row r="6821">
          <cell r="BT6821">
            <v>-357.9</v>
          </cell>
          <cell r="BY6821">
            <v>0</v>
          </cell>
        </row>
        <row r="6822">
          <cell r="BT6822">
            <v>-851.88</v>
          </cell>
          <cell r="BY6822">
            <v>0</v>
          </cell>
        </row>
        <row r="6823">
          <cell r="BT6823">
            <v>-851.88</v>
          </cell>
          <cell r="BY6823">
            <v>0</v>
          </cell>
        </row>
        <row r="6824">
          <cell r="BT6824">
            <v>-2036.58</v>
          </cell>
          <cell r="BY6824">
            <v>0</v>
          </cell>
        </row>
        <row r="6825">
          <cell r="BT6825">
            <v>-1580.13</v>
          </cell>
          <cell r="BY6825">
            <v>0</v>
          </cell>
        </row>
        <row r="6826">
          <cell r="BT6826">
            <v>-512.48</v>
          </cell>
          <cell r="BY6826">
            <v>0</v>
          </cell>
        </row>
        <row r="6827">
          <cell r="BT6827">
            <v>-193.36</v>
          </cell>
          <cell r="BY6827">
            <v>0</v>
          </cell>
        </row>
        <row r="6828">
          <cell r="BT6828">
            <v>-547.86</v>
          </cell>
          <cell r="BY6828">
            <v>0</v>
          </cell>
        </row>
        <row r="6829">
          <cell r="BT6829">
            <v>-695.74</v>
          </cell>
          <cell r="BY6829">
            <v>0</v>
          </cell>
        </row>
        <row r="6830">
          <cell r="BT6830">
            <v>-726.87</v>
          </cell>
          <cell r="BY6830">
            <v>0</v>
          </cell>
        </row>
        <row r="6831">
          <cell r="BT6831">
            <v>-618.77</v>
          </cell>
          <cell r="BY6831">
            <v>0</v>
          </cell>
        </row>
        <row r="6832">
          <cell r="BT6832">
            <v>-167.15</v>
          </cell>
          <cell r="BY6832">
            <v>0</v>
          </cell>
        </row>
        <row r="6833">
          <cell r="BT6833">
            <v>-572.82000000000005</v>
          </cell>
          <cell r="BY6833">
            <v>0</v>
          </cell>
        </row>
        <row r="6834">
          <cell r="BT6834">
            <v>-195.7</v>
          </cell>
          <cell r="BY6834">
            <v>0</v>
          </cell>
        </row>
        <row r="6835">
          <cell r="BT6835">
            <v>-849.69</v>
          </cell>
          <cell r="BY6835">
            <v>0</v>
          </cell>
        </row>
        <row r="6836">
          <cell r="BT6836">
            <v>-798.64</v>
          </cell>
          <cell r="BY6836">
            <v>0</v>
          </cell>
        </row>
        <row r="6837">
          <cell r="BT6837">
            <v>-505</v>
          </cell>
          <cell r="BY6837">
            <v>0</v>
          </cell>
        </row>
        <row r="6838">
          <cell r="BT6838">
            <v>-219.03</v>
          </cell>
          <cell r="BY6838">
            <v>0</v>
          </cell>
        </row>
        <row r="6839">
          <cell r="BT6839">
            <v>-158.27000000000001</v>
          </cell>
          <cell r="BY6839">
            <v>0</v>
          </cell>
        </row>
        <row r="6840">
          <cell r="BT6840">
            <v>-1433.59</v>
          </cell>
          <cell r="BY6840">
            <v>0</v>
          </cell>
        </row>
        <row r="6841">
          <cell r="BT6841">
            <v>-221.29</v>
          </cell>
          <cell r="BY6841">
            <v>0</v>
          </cell>
        </row>
        <row r="6842">
          <cell r="BT6842">
            <v>-310.32</v>
          </cell>
          <cell r="BY6842">
            <v>0</v>
          </cell>
        </row>
        <row r="6843">
          <cell r="BT6843">
            <v>-40.1</v>
          </cell>
          <cell r="BY6843">
            <v>0</v>
          </cell>
        </row>
        <row r="6844">
          <cell r="BT6844">
            <v>-92.35</v>
          </cell>
          <cell r="BY6844">
            <v>0</v>
          </cell>
        </row>
        <row r="6845">
          <cell r="BT6845">
            <v>-393.1</v>
          </cell>
          <cell r="BY6845">
            <v>0</v>
          </cell>
        </row>
        <row r="6846">
          <cell r="BT6846">
            <v>-144.91</v>
          </cell>
          <cell r="BY6846">
            <v>0</v>
          </cell>
        </row>
        <row r="6847">
          <cell r="BT6847">
            <v>-118.2</v>
          </cell>
          <cell r="BY6847">
            <v>0</v>
          </cell>
        </row>
        <row r="6848">
          <cell r="BT6848">
            <v>-2.08</v>
          </cell>
          <cell r="BY6848">
            <v>0</v>
          </cell>
        </row>
        <row r="6849">
          <cell r="BT6849">
            <v>-89.52</v>
          </cell>
          <cell r="BY6849">
            <v>0</v>
          </cell>
        </row>
        <row r="6850">
          <cell r="BT6850">
            <v>-24.56</v>
          </cell>
          <cell r="BY6850">
            <v>0</v>
          </cell>
        </row>
        <row r="6851">
          <cell r="BT6851">
            <v>-52.26</v>
          </cell>
          <cell r="BY6851">
            <v>0</v>
          </cell>
        </row>
        <row r="6852">
          <cell r="BT6852">
            <v>-216.05</v>
          </cell>
          <cell r="BY6852">
            <v>0</v>
          </cell>
        </row>
        <row r="6853">
          <cell r="BT6853">
            <v>4202.97</v>
          </cell>
          <cell r="BY6853">
            <v>549.58000000000004</v>
          </cell>
        </row>
        <row r="6854">
          <cell r="BT6854">
            <v>2128.08</v>
          </cell>
          <cell r="BY6854">
            <v>278.27</v>
          </cell>
        </row>
        <row r="6855">
          <cell r="BT6855">
            <v>6724.99</v>
          </cell>
          <cell r="BY6855">
            <v>881.11</v>
          </cell>
        </row>
        <row r="6856">
          <cell r="BT6856">
            <v>1841.29</v>
          </cell>
          <cell r="BY6856">
            <v>241.25</v>
          </cell>
        </row>
        <row r="6857">
          <cell r="BT6857">
            <v>3933.31</v>
          </cell>
          <cell r="BY6857">
            <v>515.34</v>
          </cell>
        </row>
        <row r="6858">
          <cell r="BT6858">
            <v>1514.83</v>
          </cell>
          <cell r="BY6858">
            <v>198.47</v>
          </cell>
        </row>
        <row r="6859">
          <cell r="BT6859">
            <v>-154.09</v>
          </cell>
          <cell r="BY6859">
            <v>20.07</v>
          </cell>
        </row>
        <row r="6860">
          <cell r="BT6860">
            <v>-1030.2</v>
          </cell>
          <cell r="BY6860">
            <v>134.19</v>
          </cell>
        </row>
        <row r="6861">
          <cell r="BT6861">
            <v>-181</v>
          </cell>
          <cell r="BY6861">
            <v>23.58</v>
          </cell>
        </row>
        <row r="6862">
          <cell r="BT6862">
            <v>-56.2</v>
          </cell>
          <cell r="BY6862">
            <v>7.32</v>
          </cell>
        </row>
        <row r="6863">
          <cell r="BT6863">
            <v>-29.65</v>
          </cell>
          <cell r="BY6863">
            <v>3.86</v>
          </cell>
        </row>
        <row r="6864">
          <cell r="BT6864">
            <v>-413.6</v>
          </cell>
          <cell r="BY6864">
            <v>53.88</v>
          </cell>
        </row>
        <row r="6865">
          <cell r="BT6865">
            <v>-3989.39</v>
          </cell>
          <cell r="BY6865">
            <v>519.66</v>
          </cell>
        </row>
        <row r="6866">
          <cell r="BT6866">
            <v>-85.2</v>
          </cell>
          <cell r="BY6866">
            <v>11.1</v>
          </cell>
        </row>
        <row r="6867">
          <cell r="BT6867">
            <v>-511.21</v>
          </cell>
          <cell r="BY6867">
            <v>66.59</v>
          </cell>
        </row>
        <row r="6868">
          <cell r="BT6868">
            <v>-106</v>
          </cell>
          <cell r="BY6868">
            <v>13.81</v>
          </cell>
        </row>
        <row r="6869">
          <cell r="BT6869">
            <v>-106</v>
          </cell>
          <cell r="BY6869">
            <v>13.81</v>
          </cell>
        </row>
        <row r="6870">
          <cell r="BT6870">
            <v>-1316.06</v>
          </cell>
          <cell r="BY6870">
            <v>171.43</v>
          </cell>
        </row>
        <row r="6871">
          <cell r="BT6871">
            <v>-2230.14</v>
          </cell>
          <cell r="BY6871">
            <v>290.5</v>
          </cell>
        </row>
        <row r="6872">
          <cell r="BT6872">
            <v>-381.55</v>
          </cell>
          <cell r="BY6872">
            <v>49.7</v>
          </cell>
        </row>
        <row r="6873">
          <cell r="BT6873">
            <v>-295.31</v>
          </cell>
          <cell r="BY6873">
            <v>38.47</v>
          </cell>
        </row>
        <row r="6874">
          <cell r="BT6874">
            <v>-1659.38</v>
          </cell>
          <cell r="BY6874">
            <v>216.15</v>
          </cell>
        </row>
        <row r="6875">
          <cell r="BT6875">
            <v>-77.13</v>
          </cell>
          <cell r="BY6875">
            <v>10.050000000000001</v>
          </cell>
        </row>
        <row r="6876">
          <cell r="BT6876">
            <v>-344.61</v>
          </cell>
          <cell r="BY6876">
            <v>44.89</v>
          </cell>
        </row>
        <row r="6877">
          <cell r="BT6877">
            <v>-7825.76</v>
          </cell>
          <cell r="BY6877">
            <v>1019.38</v>
          </cell>
        </row>
        <row r="6878">
          <cell r="BT6878">
            <v>-15524.37</v>
          </cell>
          <cell r="BY6878">
            <v>2022.2</v>
          </cell>
        </row>
        <row r="6879">
          <cell r="BT6879">
            <v>-1387.25</v>
          </cell>
          <cell r="BY6879">
            <v>180.7</v>
          </cell>
        </row>
        <row r="6880">
          <cell r="BT6880">
            <v>-3482.24</v>
          </cell>
          <cell r="BY6880">
            <v>453.6</v>
          </cell>
        </row>
        <row r="6881">
          <cell r="BT6881">
            <v>-3177.14</v>
          </cell>
          <cell r="BY6881">
            <v>413.85</v>
          </cell>
        </row>
        <row r="6882">
          <cell r="BT6882">
            <v>-459.17</v>
          </cell>
          <cell r="BY6882">
            <v>59.81</v>
          </cell>
        </row>
        <row r="6883">
          <cell r="BT6883">
            <v>-77.05</v>
          </cell>
          <cell r="BY6883">
            <v>10.039999999999999</v>
          </cell>
        </row>
        <row r="6884">
          <cell r="BT6884">
            <v>-54.6</v>
          </cell>
          <cell r="BY6884">
            <v>7.11</v>
          </cell>
        </row>
        <row r="6885">
          <cell r="BT6885">
            <v>2521.7800000000002</v>
          </cell>
          <cell r="BY6885">
            <v>330.4</v>
          </cell>
        </row>
        <row r="6886">
          <cell r="BT6886">
            <v>269.61</v>
          </cell>
          <cell r="BY6886">
            <v>35.32</v>
          </cell>
        </row>
        <row r="6887">
          <cell r="BT6887">
            <v>49544.62</v>
          </cell>
          <cell r="BY6887">
            <v>6491.34</v>
          </cell>
        </row>
        <row r="6888">
          <cell r="BT6888">
            <v>626.52</v>
          </cell>
          <cell r="BY6888">
            <v>82.09</v>
          </cell>
        </row>
        <row r="6889">
          <cell r="BT6889">
            <v>5523.88</v>
          </cell>
          <cell r="BY6889">
            <v>723.74</v>
          </cell>
        </row>
        <row r="6890">
          <cell r="BT6890">
            <v>1383.68</v>
          </cell>
          <cell r="BY6890">
            <v>181.29</v>
          </cell>
        </row>
        <row r="6891">
          <cell r="BT6891">
            <v>2421.63</v>
          </cell>
          <cell r="BY6891">
            <v>317.27999999999997</v>
          </cell>
        </row>
        <row r="6892">
          <cell r="BT6892">
            <v>1061.46</v>
          </cell>
          <cell r="BY6892">
            <v>138.27000000000001</v>
          </cell>
        </row>
        <row r="6893">
          <cell r="BT6893">
            <v>1548.39</v>
          </cell>
          <cell r="BY6893">
            <v>201.69</v>
          </cell>
        </row>
        <row r="6894">
          <cell r="BT6894">
            <v>3192.12</v>
          </cell>
          <cell r="BY6894">
            <v>415.81</v>
          </cell>
        </row>
        <row r="6895">
          <cell r="BT6895">
            <v>13468.52</v>
          </cell>
          <cell r="BY6895">
            <v>1754.81</v>
          </cell>
        </row>
        <row r="6896">
          <cell r="BT6896">
            <v>-135.69</v>
          </cell>
          <cell r="BY6896">
            <v>17.670000000000002</v>
          </cell>
        </row>
        <row r="6897">
          <cell r="BT6897">
            <v>-211.99</v>
          </cell>
          <cell r="BY6897">
            <v>27.61</v>
          </cell>
        </row>
        <row r="6898">
          <cell r="BT6898">
            <v>-848</v>
          </cell>
          <cell r="BY6898">
            <v>110.46</v>
          </cell>
        </row>
        <row r="6899">
          <cell r="BT6899">
            <v>-424</v>
          </cell>
          <cell r="BY6899">
            <v>55.23</v>
          </cell>
        </row>
        <row r="6900">
          <cell r="BT6900">
            <v>-54.06</v>
          </cell>
          <cell r="BY6900">
            <v>7.04</v>
          </cell>
        </row>
        <row r="6901">
          <cell r="BT6901">
            <v>-304.8</v>
          </cell>
          <cell r="BY6901">
            <v>39.700000000000003</v>
          </cell>
        </row>
        <row r="6902">
          <cell r="BT6902">
            <v>-975.36</v>
          </cell>
          <cell r="BY6902">
            <v>127.05</v>
          </cell>
        </row>
        <row r="6903">
          <cell r="BT6903">
            <v>-648</v>
          </cell>
          <cell r="BY6903">
            <v>84.41</v>
          </cell>
        </row>
        <row r="6904">
          <cell r="BT6904">
            <v>-2434.08</v>
          </cell>
          <cell r="BY6904">
            <v>317.06</v>
          </cell>
        </row>
        <row r="6905">
          <cell r="BT6905">
            <v>-81.03</v>
          </cell>
          <cell r="BY6905">
            <v>10.55</v>
          </cell>
        </row>
        <row r="6906">
          <cell r="BT6906">
            <v>-923.93</v>
          </cell>
          <cell r="BY6906">
            <v>120.35</v>
          </cell>
        </row>
        <row r="6907">
          <cell r="BT6907">
            <v>736482.02</v>
          </cell>
          <cell r="BY6907">
            <v>96493.87</v>
          </cell>
        </row>
        <row r="6908">
          <cell r="BT6908">
            <v>24948.83</v>
          </cell>
          <cell r="BY6908">
            <v>3268.8</v>
          </cell>
        </row>
        <row r="6909">
          <cell r="BT6909">
            <v>76728.97</v>
          </cell>
          <cell r="BY6909">
            <v>10053.030000000001</v>
          </cell>
        </row>
        <row r="6910">
          <cell r="BT6910">
            <v>-650.04999999999995</v>
          </cell>
          <cell r="BY6910">
            <v>84.68</v>
          </cell>
        </row>
        <row r="6911">
          <cell r="BT6911">
            <v>-3820.18</v>
          </cell>
          <cell r="BY6911">
            <v>497.62</v>
          </cell>
        </row>
        <row r="6912">
          <cell r="BT6912">
            <v>-284.89999999999998</v>
          </cell>
          <cell r="BY6912">
            <v>37.11</v>
          </cell>
        </row>
        <row r="6913">
          <cell r="BT6913">
            <v>-14765.69</v>
          </cell>
          <cell r="BY6913">
            <v>1923.38</v>
          </cell>
        </row>
        <row r="6914">
          <cell r="BT6914">
            <v>-4681.53</v>
          </cell>
          <cell r="BY6914">
            <v>609.82000000000005</v>
          </cell>
        </row>
        <row r="6915">
          <cell r="BT6915">
            <v>-6652.3</v>
          </cell>
          <cell r="BY6915">
            <v>866.53</v>
          </cell>
        </row>
        <row r="6916">
          <cell r="BT6916">
            <v>-4116.9799999999996</v>
          </cell>
          <cell r="BY6916">
            <v>536.28</v>
          </cell>
        </row>
        <row r="6917">
          <cell r="BT6917">
            <v>-6328.34</v>
          </cell>
          <cell r="BY6917">
            <v>824.33</v>
          </cell>
        </row>
        <row r="6918">
          <cell r="BT6918">
            <v>-550.29999999999995</v>
          </cell>
          <cell r="BY6918">
            <v>71.680000000000007</v>
          </cell>
        </row>
        <row r="6919">
          <cell r="BT6919">
            <v>-170.4</v>
          </cell>
          <cell r="BY6919">
            <v>22.2</v>
          </cell>
        </row>
        <row r="6920">
          <cell r="BT6920">
            <v>-143.07</v>
          </cell>
          <cell r="BY6920">
            <v>18.64</v>
          </cell>
        </row>
        <row r="6921">
          <cell r="BT6921">
            <v>2555.34</v>
          </cell>
          <cell r="BY6921">
            <v>334.8</v>
          </cell>
        </row>
        <row r="6922">
          <cell r="BT6922">
            <v>-1819.54</v>
          </cell>
          <cell r="BY6922">
            <v>237.01</v>
          </cell>
        </row>
        <row r="6923">
          <cell r="BT6923">
            <v>-106</v>
          </cell>
          <cell r="BY6923">
            <v>13.81</v>
          </cell>
        </row>
        <row r="6924">
          <cell r="BT6924">
            <v>-324.38</v>
          </cell>
          <cell r="BY6924">
            <v>42.25</v>
          </cell>
        </row>
        <row r="6925">
          <cell r="BT6925">
            <v>-908.49</v>
          </cell>
          <cell r="BY6925">
            <v>118.34</v>
          </cell>
        </row>
        <row r="6926">
          <cell r="BT6926">
            <v>-14940.09</v>
          </cell>
          <cell r="BY6926">
            <v>1946.1</v>
          </cell>
        </row>
        <row r="6927">
          <cell r="BT6927">
            <v>-20603.48</v>
          </cell>
          <cell r="BY6927">
            <v>2683.81</v>
          </cell>
        </row>
        <row r="6928">
          <cell r="BT6928">
            <v>-3815.46</v>
          </cell>
          <cell r="BY6928">
            <v>497</v>
          </cell>
        </row>
        <row r="6929">
          <cell r="BT6929">
            <v>-139.02000000000001</v>
          </cell>
          <cell r="BY6929">
            <v>18.11</v>
          </cell>
        </row>
        <row r="6930">
          <cell r="BT6930">
            <v>345.65</v>
          </cell>
          <cell r="BY6930">
            <v>45.29</v>
          </cell>
        </row>
        <row r="6931">
          <cell r="BT6931">
            <v>2299.89</v>
          </cell>
          <cell r="BY6931">
            <v>301.33</v>
          </cell>
        </row>
        <row r="6932">
          <cell r="BT6932">
            <v>82470.539999999994</v>
          </cell>
          <cell r="BY6932">
            <v>10805.29</v>
          </cell>
        </row>
        <row r="6933">
          <cell r="BT6933">
            <v>5144.41</v>
          </cell>
          <cell r="BY6933">
            <v>674.02</v>
          </cell>
        </row>
        <row r="6934">
          <cell r="BT6934">
            <v>4256.16</v>
          </cell>
          <cell r="BY6934">
            <v>557.64</v>
          </cell>
        </row>
        <row r="6935">
          <cell r="BT6935">
            <v>21552.49</v>
          </cell>
          <cell r="BY6935">
            <v>2823.81</v>
          </cell>
        </row>
        <row r="6936">
          <cell r="BT6936">
            <v>262.22000000000003</v>
          </cell>
          <cell r="BY6936">
            <v>34.36</v>
          </cell>
        </row>
        <row r="6937">
          <cell r="BT6937">
            <v>2291.65</v>
          </cell>
          <cell r="BY6937">
            <v>299.66000000000003</v>
          </cell>
        </row>
        <row r="6938">
          <cell r="BT6938">
            <v>14126.17</v>
          </cell>
          <cell r="BY6938">
            <v>1850.81</v>
          </cell>
        </row>
        <row r="6939">
          <cell r="BT6939">
            <v>40360.47</v>
          </cell>
          <cell r="BY6939">
            <v>5288.03</v>
          </cell>
        </row>
        <row r="6940">
          <cell r="BT6940">
            <v>33095.589999999997</v>
          </cell>
          <cell r="BY6940">
            <v>4336.18</v>
          </cell>
        </row>
        <row r="6941">
          <cell r="BT6941">
            <v>242.16</v>
          </cell>
          <cell r="BY6941">
            <v>31.73</v>
          </cell>
        </row>
        <row r="6942">
          <cell r="BT6942">
            <v>3029.66</v>
          </cell>
          <cell r="BY6942">
            <v>396.95</v>
          </cell>
        </row>
        <row r="6943">
          <cell r="BT6943">
            <v>12108.14</v>
          </cell>
          <cell r="BY6943">
            <v>1586.41</v>
          </cell>
        </row>
        <row r="6944">
          <cell r="BT6944">
            <v>35113.620000000003</v>
          </cell>
          <cell r="BY6944">
            <v>4600.59</v>
          </cell>
        </row>
        <row r="6945">
          <cell r="BT6945">
            <v>4036.05</v>
          </cell>
          <cell r="BY6945">
            <v>528.79999999999995</v>
          </cell>
        </row>
        <row r="6946">
          <cell r="BT6946">
            <v>-81.52</v>
          </cell>
          <cell r="BY6946">
            <v>10.62</v>
          </cell>
        </row>
        <row r="6947">
          <cell r="BT6947">
            <v>-105.03</v>
          </cell>
          <cell r="BY6947">
            <v>13.68</v>
          </cell>
        </row>
        <row r="6948">
          <cell r="BT6948">
            <v>-337.59</v>
          </cell>
          <cell r="BY6948">
            <v>43.97</v>
          </cell>
        </row>
        <row r="6949">
          <cell r="BT6949">
            <v>-1941.13</v>
          </cell>
          <cell r="BY6949">
            <v>252.85</v>
          </cell>
        </row>
        <row r="6950">
          <cell r="BT6950">
            <v>0</v>
          </cell>
          <cell r="BY6950">
            <v>0</v>
          </cell>
        </row>
        <row r="6951">
          <cell r="BT6951">
            <v>-1774.05</v>
          </cell>
          <cell r="BY6951">
            <v>231.09</v>
          </cell>
        </row>
        <row r="6952">
          <cell r="BT6952">
            <v>-739.14</v>
          </cell>
          <cell r="BY6952">
            <v>96.28</v>
          </cell>
        </row>
        <row r="6953">
          <cell r="BT6953">
            <v>-1083.42</v>
          </cell>
          <cell r="BY6953">
            <v>141.13</v>
          </cell>
        </row>
        <row r="6954">
          <cell r="BT6954">
            <v>-318.35000000000002</v>
          </cell>
          <cell r="BY6954">
            <v>41.47</v>
          </cell>
        </row>
        <row r="6955">
          <cell r="BT6955">
            <v>-6328.34</v>
          </cell>
          <cell r="BY6955">
            <v>824.33</v>
          </cell>
        </row>
        <row r="6956">
          <cell r="BT6956">
            <v>-1874.44</v>
          </cell>
          <cell r="BY6956">
            <v>244.16</v>
          </cell>
        </row>
        <row r="6957">
          <cell r="BT6957">
            <v>-413.53</v>
          </cell>
          <cell r="BY6957">
            <v>53.87</v>
          </cell>
        </row>
        <row r="6958">
          <cell r="BT6958">
            <v>-162.19</v>
          </cell>
          <cell r="BY6958">
            <v>21.13</v>
          </cell>
        </row>
        <row r="6959">
          <cell r="BT6959">
            <v>-648.91999999999996</v>
          </cell>
          <cell r="BY6959">
            <v>84.53</v>
          </cell>
        </row>
        <row r="6960">
          <cell r="BT6960">
            <v>-177.86</v>
          </cell>
          <cell r="BY6960">
            <v>23.17</v>
          </cell>
        </row>
        <row r="6961">
          <cell r="BT6961">
            <v>-890.27</v>
          </cell>
          <cell r="BY6961">
            <v>115.97</v>
          </cell>
        </row>
        <row r="6962">
          <cell r="BT6962">
            <v>-95.86</v>
          </cell>
          <cell r="BY6962">
            <v>12.49</v>
          </cell>
        </row>
        <row r="6963">
          <cell r="BT6963">
            <v>-2157.29</v>
          </cell>
          <cell r="BY6963">
            <v>281.01</v>
          </cell>
        </row>
        <row r="6964">
          <cell r="BT6964">
            <v>-1330.54</v>
          </cell>
          <cell r="BY6964">
            <v>173.32</v>
          </cell>
        </row>
        <row r="6965">
          <cell r="BT6965">
            <v>-170.4</v>
          </cell>
          <cell r="BY6965">
            <v>22.2</v>
          </cell>
        </row>
        <row r="6966">
          <cell r="BT6966">
            <v>-85.2</v>
          </cell>
          <cell r="BY6966">
            <v>11.1</v>
          </cell>
        </row>
        <row r="6967">
          <cell r="BT6967">
            <v>-255.61</v>
          </cell>
          <cell r="BY6967">
            <v>33.299999999999997</v>
          </cell>
        </row>
        <row r="6968">
          <cell r="BT6968">
            <v>4036.05</v>
          </cell>
          <cell r="BY6968">
            <v>528.79999999999995</v>
          </cell>
        </row>
        <row r="6969">
          <cell r="BT6969">
            <v>1227.26</v>
          </cell>
          <cell r="BY6969">
            <v>160.80000000000001</v>
          </cell>
        </row>
        <row r="6970">
          <cell r="BT6970">
            <v>-83188.350000000006</v>
          </cell>
          <cell r="BY6970">
            <v>10836.11</v>
          </cell>
        </row>
        <row r="6971">
          <cell r="BT6971">
            <v>-109416.11</v>
          </cell>
          <cell r="BY6971">
            <v>14252.54</v>
          </cell>
        </row>
        <row r="6972">
          <cell r="BT6972">
            <v>-119.31</v>
          </cell>
          <cell r="BY6972">
            <v>15.54</v>
          </cell>
        </row>
        <row r="6973">
          <cell r="BT6973">
            <v>-514.54</v>
          </cell>
          <cell r="BY6973">
            <v>67.02</v>
          </cell>
        </row>
        <row r="6974">
          <cell r="BT6974">
            <v>-251.63</v>
          </cell>
          <cell r="BY6974">
            <v>32.78</v>
          </cell>
        </row>
        <row r="6975">
          <cell r="BT6975">
            <v>-148.28</v>
          </cell>
          <cell r="BY6975">
            <v>19.309999999999999</v>
          </cell>
        </row>
        <row r="6976">
          <cell r="BT6976">
            <v>-53.89</v>
          </cell>
          <cell r="BY6976">
            <v>7.02</v>
          </cell>
        </row>
        <row r="6977">
          <cell r="BT6977">
            <v>-317.99</v>
          </cell>
          <cell r="BY6977">
            <v>41.42</v>
          </cell>
        </row>
        <row r="6978">
          <cell r="BT6978">
            <v>-848</v>
          </cell>
          <cell r="BY6978">
            <v>110.46</v>
          </cell>
        </row>
        <row r="6979">
          <cell r="BT6979">
            <v>-122.64</v>
          </cell>
          <cell r="BY6979">
            <v>15.98</v>
          </cell>
        </row>
        <row r="6980">
          <cell r="BT6980">
            <v>-359.99</v>
          </cell>
          <cell r="BY6980">
            <v>46.89</v>
          </cell>
        </row>
        <row r="6981">
          <cell r="BT6981">
            <v>-212</v>
          </cell>
          <cell r="BY6981">
            <v>27.62</v>
          </cell>
        </row>
        <row r="6982">
          <cell r="BT6982">
            <v>-858.3</v>
          </cell>
          <cell r="BY6982">
            <v>111.8</v>
          </cell>
        </row>
        <row r="6983">
          <cell r="BT6983">
            <v>-123836.49</v>
          </cell>
          <cell r="BY6983">
            <v>16130.94</v>
          </cell>
        </row>
        <row r="6984">
          <cell r="BT6984">
            <v>-1629.6</v>
          </cell>
          <cell r="BY6984">
            <v>212.27</v>
          </cell>
        </row>
        <row r="6985">
          <cell r="BT6985">
            <v>-5592.49</v>
          </cell>
          <cell r="BY6985">
            <v>728.48</v>
          </cell>
        </row>
        <row r="6986">
          <cell r="BT6986">
            <v>-68.790000000000006</v>
          </cell>
          <cell r="BY6986">
            <v>8.9600000000000009</v>
          </cell>
        </row>
        <row r="6987">
          <cell r="BT6987">
            <v>-95.38</v>
          </cell>
          <cell r="BY6987">
            <v>12.42</v>
          </cell>
        </row>
        <row r="6988">
          <cell r="BT6988">
            <v>-496.24</v>
          </cell>
          <cell r="BY6988">
            <v>64.64</v>
          </cell>
        </row>
        <row r="6989">
          <cell r="BT6989">
            <v>-2150.36</v>
          </cell>
          <cell r="BY6989">
            <v>280.11</v>
          </cell>
        </row>
        <row r="6990">
          <cell r="BT6990">
            <v>-643.42999999999995</v>
          </cell>
          <cell r="BY6990">
            <v>83.81</v>
          </cell>
        </row>
        <row r="6991">
          <cell r="BT6991">
            <v>-106</v>
          </cell>
          <cell r="BY6991">
            <v>13.81</v>
          </cell>
        </row>
        <row r="6992">
          <cell r="BT6992">
            <v>-339.54</v>
          </cell>
          <cell r="BY6992">
            <v>44.23</v>
          </cell>
        </row>
        <row r="6993">
          <cell r="BT6993">
            <v>-11027.21</v>
          </cell>
          <cell r="BY6993">
            <v>1436.4</v>
          </cell>
        </row>
        <row r="6994">
          <cell r="BT6994">
            <v>-2416.46</v>
          </cell>
          <cell r="BY6994">
            <v>314.77</v>
          </cell>
        </row>
        <row r="6995">
          <cell r="BT6995">
            <v>1714.8</v>
          </cell>
          <cell r="BY6995">
            <v>224.67</v>
          </cell>
        </row>
        <row r="6996">
          <cell r="BT6996">
            <v>-1529.2</v>
          </cell>
          <cell r="BY6996">
            <v>199.19</v>
          </cell>
        </row>
        <row r="6997">
          <cell r="BT6997">
            <v>-2603.56</v>
          </cell>
          <cell r="BY6997">
            <v>339.14</v>
          </cell>
        </row>
        <row r="6998">
          <cell r="BT6998">
            <v>-1134.42</v>
          </cell>
          <cell r="BY6998">
            <v>147.77000000000001</v>
          </cell>
        </row>
        <row r="6999">
          <cell r="BT6999">
            <v>-1293.5</v>
          </cell>
          <cell r="BY6999">
            <v>168.49</v>
          </cell>
        </row>
        <row r="7000">
          <cell r="BT7000">
            <v>-2816.88</v>
          </cell>
          <cell r="BY7000">
            <v>366.93</v>
          </cell>
        </row>
        <row r="7001">
          <cell r="BT7001">
            <v>-4138.53</v>
          </cell>
          <cell r="BY7001">
            <v>539.08000000000004</v>
          </cell>
        </row>
        <row r="7002">
          <cell r="BT7002">
            <v>-1141.25</v>
          </cell>
          <cell r="BY7002">
            <v>148.66</v>
          </cell>
        </row>
        <row r="7003">
          <cell r="BT7003">
            <v>0</v>
          </cell>
          <cell r="BY7003">
            <v>0</v>
          </cell>
        </row>
        <row r="7004">
          <cell r="BT7004">
            <v>-2194.33</v>
          </cell>
          <cell r="BY7004">
            <v>285.83</v>
          </cell>
        </row>
        <row r="7005">
          <cell r="BT7005">
            <v>-421.99</v>
          </cell>
          <cell r="BY7005">
            <v>54.97</v>
          </cell>
        </row>
        <row r="7006">
          <cell r="BT7006">
            <v>0</v>
          </cell>
          <cell r="BY7006">
            <v>0</v>
          </cell>
        </row>
        <row r="7007">
          <cell r="BT7007">
            <v>20608.490000000002</v>
          </cell>
          <cell r="BY7007">
            <v>2700.12</v>
          </cell>
        </row>
        <row r="7008">
          <cell r="BT7008">
            <v>0</v>
          </cell>
          <cell r="BY7008">
            <v>0</v>
          </cell>
        </row>
        <row r="7009">
          <cell r="BT7009">
            <v>0</v>
          </cell>
          <cell r="BY7009">
            <v>0</v>
          </cell>
        </row>
        <row r="7010">
          <cell r="BT7010">
            <v>-67.58</v>
          </cell>
          <cell r="BY7010">
            <v>8.8000000000000007</v>
          </cell>
        </row>
        <row r="7011">
          <cell r="BT7011">
            <v>-386.92</v>
          </cell>
          <cell r="BY7011">
            <v>50.4</v>
          </cell>
        </row>
        <row r="7012">
          <cell r="BT7012">
            <v>-11812.55</v>
          </cell>
          <cell r="BY7012">
            <v>1538.7</v>
          </cell>
        </row>
        <row r="7013">
          <cell r="BT7013">
            <v>-92.4</v>
          </cell>
          <cell r="BY7013">
            <v>12.04</v>
          </cell>
        </row>
        <row r="7014">
          <cell r="BT7014">
            <v>-739.19</v>
          </cell>
          <cell r="BY7014">
            <v>96.29</v>
          </cell>
        </row>
        <row r="7015">
          <cell r="BT7015">
            <v>-1022.42</v>
          </cell>
          <cell r="BY7015">
            <v>133.18</v>
          </cell>
        </row>
        <row r="7016">
          <cell r="BT7016">
            <v>-48.6</v>
          </cell>
          <cell r="BY7016">
            <v>6.33</v>
          </cell>
        </row>
        <row r="7017">
          <cell r="BT7017">
            <v>-680.4</v>
          </cell>
          <cell r="BY7017">
            <v>88.63</v>
          </cell>
        </row>
        <row r="7018">
          <cell r="BT7018">
            <v>-972</v>
          </cell>
          <cell r="BY7018">
            <v>126.61</v>
          </cell>
        </row>
        <row r="7019">
          <cell r="BT7019">
            <v>384.05</v>
          </cell>
          <cell r="BY7019">
            <v>50.04</v>
          </cell>
        </row>
        <row r="7020">
          <cell r="BT7020">
            <v>767.24</v>
          </cell>
          <cell r="BY7020">
            <v>99.94</v>
          </cell>
        </row>
        <row r="7021">
          <cell r="BT7021">
            <v>2422.41</v>
          </cell>
          <cell r="BY7021">
            <v>315.54000000000002</v>
          </cell>
        </row>
        <row r="7022">
          <cell r="BT7022">
            <v>9625</v>
          </cell>
          <cell r="BY7022">
            <v>1253.75</v>
          </cell>
        </row>
        <row r="7023">
          <cell r="BT7023">
            <v>3792.7</v>
          </cell>
          <cell r="BY7023">
            <v>494.04</v>
          </cell>
        </row>
        <row r="7024">
          <cell r="BT7024">
            <v>6451.65</v>
          </cell>
          <cell r="BY7024">
            <v>840.39</v>
          </cell>
        </row>
        <row r="7025">
          <cell r="BT7025">
            <v>6867.47</v>
          </cell>
          <cell r="BY7025">
            <v>894.56</v>
          </cell>
        </row>
        <row r="7026">
          <cell r="BT7026">
            <v>4567.17</v>
          </cell>
          <cell r="BY7026">
            <v>594.91999999999996</v>
          </cell>
        </row>
        <row r="7027">
          <cell r="BT7027">
            <v>3328.05</v>
          </cell>
          <cell r="BY7027">
            <v>433.51</v>
          </cell>
        </row>
        <row r="7028">
          <cell r="BT7028">
            <v>5642.65</v>
          </cell>
          <cell r="BY7028">
            <v>735.01</v>
          </cell>
        </row>
        <row r="7029">
          <cell r="BT7029">
            <v>3176.71</v>
          </cell>
          <cell r="BY7029">
            <v>413.8</v>
          </cell>
        </row>
        <row r="7030">
          <cell r="BT7030">
            <v>14742.66</v>
          </cell>
          <cell r="BY7030">
            <v>1931.58</v>
          </cell>
        </row>
        <row r="7031">
          <cell r="BT7031">
            <v>8383.09</v>
          </cell>
          <cell r="BY7031">
            <v>1098.3499999999999</v>
          </cell>
        </row>
        <row r="7032">
          <cell r="BT7032">
            <v>8993.35</v>
          </cell>
          <cell r="BY7032">
            <v>1178.31</v>
          </cell>
        </row>
        <row r="7033">
          <cell r="BT7033">
            <v>696.36</v>
          </cell>
          <cell r="BY7033">
            <v>90.71</v>
          </cell>
        </row>
        <row r="7034">
          <cell r="BT7034">
            <v>3129.98</v>
          </cell>
          <cell r="BY7034">
            <v>407.71</v>
          </cell>
        </row>
        <row r="7035">
          <cell r="BT7035">
            <v>588.44000000000005</v>
          </cell>
          <cell r="BY7035">
            <v>76.650000000000006</v>
          </cell>
        </row>
        <row r="7036">
          <cell r="BT7036">
            <v>303.27</v>
          </cell>
          <cell r="BY7036">
            <v>39.5</v>
          </cell>
        </row>
        <row r="7037">
          <cell r="BT7037">
            <v>203.19</v>
          </cell>
          <cell r="BY7037">
            <v>26.47</v>
          </cell>
        </row>
        <row r="7038">
          <cell r="BT7038">
            <v>302.97000000000003</v>
          </cell>
          <cell r="BY7038">
            <v>39.46</v>
          </cell>
        </row>
        <row r="7039">
          <cell r="BT7039">
            <v>84.06</v>
          </cell>
          <cell r="BY7039">
            <v>10.95</v>
          </cell>
        </row>
        <row r="7040">
          <cell r="BT7040">
            <v>80.72</v>
          </cell>
          <cell r="BY7040">
            <v>10.51</v>
          </cell>
        </row>
        <row r="7041">
          <cell r="BT7041">
            <v>-20608.490000000002</v>
          </cell>
          <cell r="BY7041">
            <v>2700.12</v>
          </cell>
        </row>
        <row r="7042">
          <cell r="BT7042">
            <v>-82470.539999999994</v>
          </cell>
          <cell r="BY7042">
            <v>10805.29</v>
          </cell>
        </row>
        <row r="7043">
          <cell r="BT7043">
            <v>2255.6799999999998</v>
          </cell>
          <cell r="BY7043">
            <v>293.82</v>
          </cell>
        </row>
        <row r="7044">
          <cell r="BT7044">
            <v>20812.5</v>
          </cell>
          <cell r="BY7044">
            <v>2711.04</v>
          </cell>
        </row>
        <row r="7045">
          <cell r="BT7045">
            <v>6750</v>
          </cell>
          <cell r="BY7045">
            <v>879.26</v>
          </cell>
        </row>
        <row r="7046">
          <cell r="BT7046">
            <v>165.6</v>
          </cell>
          <cell r="BY7046">
            <v>21.57</v>
          </cell>
        </row>
        <row r="7047">
          <cell r="BT7047">
            <v>17140.490000000002</v>
          </cell>
          <cell r="BY7047">
            <v>2232.7199999999998</v>
          </cell>
        </row>
        <row r="7048">
          <cell r="BT7048">
            <v>2440.96</v>
          </cell>
          <cell r="BY7048">
            <v>317.95999999999998</v>
          </cell>
        </row>
        <row r="7049">
          <cell r="BT7049">
            <v>22941.24</v>
          </cell>
          <cell r="BY7049">
            <v>2988.33</v>
          </cell>
        </row>
        <row r="7050">
          <cell r="BT7050">
            <v>25024.68</v>
          </cell>
          <cell r="BY7050">
            <v>3259.71</v>
          </cell>
        </row>
        <row r="7051">
          <cell r="BT7051">
            <v>13936.79</v>
          </cell>
          <cell r="BY7051">
            <v>1815.41</v>
          </cell>
        </row>
        <row r="7052">
          <cell r="BT7052">
            <v>1289</v>
          </cell>
          <cell r="BY7052">
            <v>167.91</v>
          </cell>
        </row>
        <row r="7053">
          <cell r="BT7053">
            <v>3063.47</v>
          </cell>
          <cell r="BY7053">
            <v>399.05</v>
          </cell>
        </row>
        <row r="7054">
          <cell r="BT7054">
            <v>751.51</v>
          </cell>
          <cell r="BY7054">
            <v>97.89</v>
          </cell>
        </row>
        <row r="7055">
          <cell r="BT7055">
            <v>22980.49</v>
          </cell>
          <cell r="BY7055">
            <v>2993.44</v>
          </cell>
        </row>
        <row r="7056">
          <cell r="BT7056">
            <v>5425</v>
          </cell>
          <cell r="BY7056">
            <v>706.66</v>
          </cell>
        </row>
        <row r="7057">
          <cell r="BT7057">
            <v>5652.88</v>
          </cell>
          <cell r="BY7057">
            <v>736.34</v>
          </cell>
        </row>
        <row r="7058">
          <cell r="BT7058">
            <v>5362.35</v>
          </cell>
          <cell r="BY7058">
            <v>698.5</v>
          </cell>
        </row>
        <row r="7059">
          <cell r="BT7059">
            <v>6639.43</v>
          </cell>
          <cell r="BY7059">
            <v>864.85</v>
          </cell>
        </row>
        <row r="7060">
          <cell r="BT7060">
            <v>2919.48</v>
          </cell>
          <cell r="BY7060">
            <v>380.29</v>
          </cell>
        </row>
        <row r="7061">
          <cell r="BT7061">
            <v>2639.75</v>
          </cell>
          <cell r="BY7061">
            <v>343.85</v>
          </cell>
        </row>
        <row r="7062">
          <cell r="BT7062">
            <v>13424.86</v>
          </cell>
          <cell r="BY7062">
            <v>1748.72</v>
          </cell>
        </row>
        <row r="7063">
          <cell r="BT7063">
            <v>13811.29</v>
          </cell>
          <cell r="BY7063">
            <v>1799.06</v>
          </cell>
        </row>
        <row r="7064">
          <cell r="BT7064">
            <v>1702.5</v>
          </cell>
          <cell r="BY7064">
            <v>221.77</v>
          </cell>
        </row>
        <row r="7065">
          <cell r="BT7065">
            <v>1488.6</v>
          </cell>
          <cell r="BY7065">
            <v>193.91</v>
          </cell>
        </row>
        <row r="7066">
          <cell r="BT7066">
            <v>1692.18</v>
          </cell>
          <cell r="BY7066">
            <v>220.42</v>
          </cell>
        </row>
        <row r="7067">
          <cell r="BT7067">
            <v>1624.84</v>
          </cell>
          <cell r="BY7067">
            <v>211.65</v>
          </cell>
        </row>
        <row r="7068">
          <cell r="BT7068">
            <v>3681.3</v>
          </cell>
          <cell r="BY7068">
            <v>479.53</v>
          </cell>
        </row>
        <row r="7069">
          <cell r="BT7069">
            <v>6526</v>
          </cell>
          <cell r="BY7069">
            <v>850.08</v>
          </cell>
        </row>
        <row r="7070">
          <cell r="BT7070">
            <v>14970.79</v>
          </cell>
          <cell r="BY7070">
            <v>1950.1</v>
          </cell>
        </row>
        <row r="7071">
          <cell r="BT7071">
            <v>383.3</v>
          </cell>
          <cell r="BY7071">
            <v>49.93</v>
          </cell>
        </row>
        <row r="7072">
          <cell r="BT7072">
            <v>1118.99</v>
          </cell>
          <cell r="BY7072">
            <v>145.76</v>
          </cell>
        </row>
        <row r="7073">
          <cell r="BT7073">
            <v>80.209999999999994</v>
          </cell>
          <cell r="BY7073">
            <v>10.45</v>
          </cell>
        </row>
        <row r="7074">
          <cell r="BT7074">
            <v>0.21</v>
          </cell>
          <cell r="BY7074">
            <v>0.03</v>
          </cell>
        </row>
        <row r="7075">
          <cell r="BT7075">
            <v>7.73</v>
          </cell>
          <cell r="BY7075">
            <v>1.01</v>
          </cell>
        </row>
        <row r="7076">
          <cell r="BT7076">
            <v>1.04</v>
          </cell>
          <cell r="BY7076">
            <v>0.14000000000000001</v>
          </cell>
        </row>
        <row r="7077">
          <cell r="BT7077">
            <v>70</v>
          </cell>
          <cell r="BY7077">
            <v>9.1199999999999992</v>
          </cell>
        </row>
        <row r="7078">
          <cell r="BT7078">
            <v>0.34</v>
          </cell>
          <cell r="BY7078">
            <v>0.04</v>
          </cell>
        </row>
        <row r="7079">
          <cell r="BT7079">
            <v>0.7</v>
          </cell>
          <cell r="BY7079">
            <v>0.09</v>
          </cell>
        </row>
        <row r="7080">
          <cell r="BT7080">
            <v>3.22</v>
          </cell>
          <cell r="BY7080">
            <v>0.42</v>
          </cell>
        </row>
        <row r="7081">
          <cell r="BT7081">
            <v>5.19</v>
          </cell>
          <cell r="BY7081">
            <v>0.68</v>
          </cell>
        </row>
        <row r="7082">
          <cell r="BT7082">
            <v>2.35</v>
          </cell>
          <cell r="BY7082">
            <v>0.31</v>
          </cell>
        </row>
        <row r="7083">
          <cell r="BT7083">
            <v>68.5</v>
          </cell>
          <cell r="BY7083">
            <v>8.92</v>
          </cell>
        </row>
        <row r="7084">
          <cell r="BT7084">
            <v>121.8</v>
          </cell>
          <cell r="BY7084">
            <v>15.87</v>
          </cell>
        </row>
        <row r="7085">
          <cell r="BT7085">
            <v>1510.32</v>
          </cell>
          <cell r="BY7085">
            <v>196.73</v>
          </cell>
        </row>
        <row r="7086">
          <cell r="BT7086">
            <v>254</v>
          </cell>
          <cell r="BY7086">
            <v>33.090000000000003</v>
          </cell>
        </row>
        <row r="7087">
          <cell r="BT7087">
            <v>845</v>
          </cell>
          <cell r="BY7087">
            <v>110.07</v>
          </cell>
        </row>
        <row r="7088">
          <cell r="BT7088">
            <v>39.630000000000003</v>
          </cell>
          <cell r="BY7088">
            <v>5.16</v>
          </cell>
        </row>
        <row r="7089">
          <cell r="BT7089">
            <v>2523.5300000000002</v>
          </cell>
          <cell r="BY7089">
            <v>328.72</v>
          </cell>
        </row>
        <row r="7090">
          <cell r="BT7090">
            <v>40.99</v>
          </cell>
          <cell r="BY7090">
            <v>5.34</v>
          </cell>
        </row>
        <row r="7091">
          <cell r="BT7091">
            <v>50.77</v>
          </cell>
          <cell r="BY7091">
            <v>6.61</v>
          </cell>
        </row>
        <row r="7092">
          <cell r="BT7092">
            <v>107.87</v>
          </cell>
          <cell r="BY7092">
            <v>14.05</v>
          </cell>
        </row>
        <row r="7093">
          <cell r="BT7093">
            <v>1447.77</v>
          </cell>
          <cell r="BY7093">
            <v>188.59</v>
          </cell>
        </row>
        <row r="7094">
          <cell r="BT7094">
            <v>1345.27</v>
          </cell>
          <cell r="BY7094">
            <v>175.23</v>
          </cell>
        </row>
        <row r="7095">
          <cell r="BT7095">
            <v>3018.26</v>
          </cell>
          <cell r="BY7095">
            <v>393.16</v>
          </cell>
        </row>
        <row r="7096">
          <cell r="BT7096">
            <v>136.66999999999999</v>
          </cell>
          <cell r="BY7096">
            <v>17.8</v>
          </cell>
        </row>
        <row r="7097">
          <cell r="BT7097">
            <v>48.97</v>
          </cell>
          <cell r="BY7097">
            <v>6.38</v>
          </cell>
        </row>
        <row r="7098">
          <cell r="BT7098">
            <v>885.5</v>
          </cell>
          <cell r="BY7098">
            <v>115.35</v>
          </cell>
        </row>
        <row r="7099">
          <cell r="BT7099">
            <v>189.63</v>
          </cell>
          <cell r="BY7099">
            <v>24.7</v>
          </cell>
        </row>
        <row r="7100">
          <cell r="BT7100">
            <v>258.07</v>
          </cell>
          <cell r="BY7100">
            <v>33.619999999999997</v>
          </cell>
        </row>
        <row r="7101">
          <cell r="BT7101">
            <v>392.43</v>
          </cell>
          <cell r="BY7101">
            <v>51.12</v>
          </cell>
        </row>
        <row r="7102">
          <cell r="BT7102">
            <v>1656</v>
          </cell>
          <cell r="BY7102">
            <v>215.71</v>
          </cell>
        </row>
        <row r="7103">
          <cell r="BT7103">
            <v>9589.27</v>
          </cell>
          <cell r="BY7103">
            <v>1249.0999999999999</v>
          </cell>
        </row>
        <row r="7104">
          <cell r="BT7104">
            <v>261.52999999999997</v>
          </cell>
          <cell r="BY7104">
            <v>34.07</v>
          </cell>
        </row>
        <row r="7105">
          <cell r="BT7105">
            <v>11358.41</v>
          </cell>
          <cell r="BY7105">
            <v>1479.55</v>
          </cell>
        </row>
        <row r="7106">
          <cell r="BT7106">
            <v>112.05</v>
          </cell>
          <cell r="BY7106">
            <v>14.6</v>
          </cell>
        </row>
        <row r="7107">
          <cell r="BT7107">
            <v>24.68</v>
          </cell>
          <cell r="BY7107">
            <v>3.21</v>
          </cell>
        </row>
        <row r="7108">
          <cell r="BT7108">
            <v>91</v>
          </cell>
          <cell r="BY7108">
            <v>11.85</v>
          </cell>
        </row>
        <row r="7109">
          <cell r="BT7109">
            <v>145.83000000000001</v>
          </cell>
          <cell r="BY7109">
            <v>19</v>
          </cell>
        </row>
        <row r="7110">
          <cell r="BT7110">
            <v>38.5</v>
          </cell>
          <cell r="BY7110">
            <v>5.04</v>
          </cell>
        </row>
        <row r="7111">
          <cell r="BT7111">
            <v>785.93</v>
          </cell>
          <cell r="BY7111">
            <v>102.97</v>
          </cell>
        </row>
        <row r="7112">
          <cell r="BT7112">
            <v>3194.18</v>
          </cell>
          <cell r="BY7112">
            <v>418.5</v>
          </cell>
        </row>
        <row r="7113">
          <cell r="BT7113">
            <v>19.02</v>
          </cell>
          <cell r="BY7113">
            <v>2.48</v>
          </cell>
        </row>
        <row r="7114">
          <cell r="BT7114">
            <v>2.08</v>
          </cell>
          <cell r="BY7114">
            <v>0.27</v>
          </cell>
        </row>
        <row r="7115">
          <cell r="BT7115">
            <v>-461.23</v>
          </cell>
          <cell r="BY7115">
            <v>60.47</v>
          </cell>
        </row>
        <row r="7116">
          <cell r="BT7116">
            <v>809.4</v>
          </cell>
          <cell r="BY7116">
            <v>106.05</v>
          </cell>
        </row>
        <row r="7117">
          <cell r="BT7117">
            <v>-15022.94</v>
          </cell>
          <cell r="BY7117">
            <v>1956.89</v>
          </cell>
        </row>
        <row r="7118">
          <cell r="BT7118">
            <v>-11562.94</v>
          </cell>
          <cell r="BY7118">
            <v>1506.19</v>
          </cell>
        </row>
        <row r="7119">
          <cell r="BT7119">
            <v>20608.490000000002</v>
          </cell>
          <cell r="BY7119">
            <v>2694.97</v>
          </cell>
        </row>
        <row r="7120">
          <cell r="BT7120">
            <v>15022.94</v>
          </cell>
          <cell r="BY7120">
            <v>1964.55</v>
          </cell>
        </row>
        <row r="7121">
          <cell r="BT7121">
            <v>11562.94</v>
          </cell>
          <cell r="BY7121">
            <v>1512.09</v>
          </cell>
        </row>
        <row r="7122">
          <cell r="BT7122">
            <v>19115.189999999999</v>
          </cell>
          <cell r="BY7122">
            <v>2506.19</v>
          </cell>
        </row>
        <row r="7123">
          <cell r="BT7123">
            <v>1076.8499999999999</v>
          </cell>
          <cell r="BY7123">
            <v>140.27000000000001</v>
          </cell>
        </row>
        <row r="7124">
          <cell r="BT7124">
            <v>2796.88</v>
          </cell>
          <cell r="BY7124">
            <v>364.32</v>
          </cell>
        </row>
        <row r="7125">
          <cell r="BT7125">
            <v>26845.58</v>
          </cell>
          <cell r="BY7125">
            <v>3496.91</v>
          </cell>
        </row>
        <row r="7126">
          <cell r="BT7126">
            <v>879.55</v>
          </cell>
          <cell r="BY7126">
            <v>114.57</v>
          </cell>
        </row>
        <row r="7127">
          <cell r="BT7127">
            <v>583.33000000000004</v>
          </cell>
          <cell r="BY7127">
            <v>75.98</v>
          </cell>
        </row>
        <row r="7128">
          <cell r="BT7128">
            <v>15022.94</v>
          </cell>
          <cell r="BY7128">
            <v>1956.89</v>
          </cell>
        </row>
        <row r="7129">
          <cell r="BT7129">
            <v>11562.94</v>
          </cell>
          <cell r="BY7129">
            <v>1506.19</v>
          </cell>
        </row>
        <row r="7130">
          <cell r="BT7130">
            <v>3496.99</v>
          </cell>
          <cell r="BY7130">
            <v>457.27</v>
          </cell>
        </row>
        <row r="7131">
          <cell r="BT7131">
            <v>461.23</v>
          </cell>
          <cell r="BY7131">
            <v>60.47</v>
          </cell>
        </row>
        <row r="7132">
          <cell r="BT7132">
            <v>82470.539999999994</v>
          </cell>
          <cell r="BY7132">
            <v>10784.67</v>
          </cell>
        </row>
        <row r="7133">
          <cell r="BT7133">
            <v>1118.75</v>
          </cell>
          <cell r="BY7133">
            <v>145.72999999999999</v>
          </cell>
        </row>
        <row r="7134">
          <cell r="BT7134">
            <v>1759.11</v>
          </cell>
          <cell r="BY7134">
            <v>229.14</v>
          </cell>
        </row>
        <row r="7135">
          <cell r="BT7135">
            <v>327.14999999999998</v>
          </cell>
          <cell r="BY7135">
            <v>42.64</v>
          </cell>
        </row>
        <row r="7136">
          <cell r="BT7136">
            <v>57.15</v>
          </cell>
          <cell r="BY7136">
            <v>7.44</v>
          </cell>
        </row>
        <row r="7137">
          <cell r="BT7137">
            <v>1720.41</v>
          </cell>
          <cell r="BY7137">
            <v>225</v>
          </cell>
        </row>
        <row r="7138">
          <cell r="BT7138">
            <v>57.15</v>
          </cell>
          <cell r="BY7138">
            <v>7.44</v>
          </cell>
        </row>
        <row r="7139">
          <cell r="BT7139">
            <v>57.15</v>
          </cell>
          <cell r="BY7139">
            <v>7.44</v>
          </cell>
        </row>
        <row r="7140">
          <cell r="BT7140">
            <v>575.78</v>
          </cell>
          <cell r="BY7140">
            <v>75</v>
          </cell>
        </row>
        <row r="7141">
          <cell r="BT7141">
            <v>57.14</v>
          </cell>
          <cell r="BY7141">
            <v>7.44</v>
          </cell>
        </row>
        <row r="7142">
          <cell r="BT7142">
            <v>307.08999999999997</v>
          </cell>
          <cell r="BY7142">
            <v>40</v>
          </cell>
        </row>
        <row r="7143">
          <cell r="BT7143">
            <v>207.13</v>
          </cell>
          <cell r="BY7143">
            <v>26.98</v>
          </cell>
        </row>
        <row r="7144">
          <cell r="BT7144">
            <v>57.13</v>
          </cell>
          <cell r="BY7144">
            <v>7.44</v>
          </cell>
        </row>
        <row r="7145">
          <cell r="BT7145">
            <v>429.1</v>
          </cell>
          <cell r="BY7145">
            <v>55.89</v>
          </cell>
        </row>
        <row r="7146">
          <cell r="BT7146">
            <v>1187.5</v>
          </cell>
          <cell r="BY7146">
            <v>155.30000000000001</v>
          </cell>
        </row>
        <row r="7147">
          <cell r="BT7147">
            <v>100</v>
          </cell>
          <cell r="BY7147">
            <v>13.08</v>
          </cell>
        </row>
        <row r="7148">
          <cell r="BT7148">
            <v>0</v>
          </cell>
          <cell r="BY7148">
            <v>4.01</v>
          </cell>
        </row>
        <row r="7149">
          <cell r="BT7149">
            <v>1818.77</v>
          </cell>
          <cell r="BY7149">
            <v>238.31</v>
          </cell>
        </row>
        <row r="7150">
          <cell r="BT7150">
            <v>0</v>
          </cell>
          <cell r="BY7150">
            <v>0</v>
          </cell>
        </row>
        <row r="7151">
          <cell r="BT7151">
            <v>0.02</v>
          </cell>
          <cell r="BY7151">
            <v>0</v>
          </cell>
        </row>
        <row r="7152">
          <cell r="BT7152">
            <v>0</v>
          </cell>
          <cell r="BY7152">
            <v>2137.16</v>
          </cell>
        </row>
        <row r="7153">
          <cell r="BT7153">
            <v>161.51</v>
          </cell>
          <cell r="BY7153">
            <v>21.44</v>
          </cell>
        </row>
        <row r="7154">
          <cell r="BT7154">
            <v>3270.51</v>
          </cell>
          <cell r="BY7154">
            <v>426.02</v>
          </cell>
        </row>
        <row r="7155">
          <cell r="BT7155">
            <v>1448.51</v>
          </cell>
          <cell r="BY7155">
            <v>192.35</v>
          </cell>
        </row>
        <row r="7156">
          <cell r="BT7156">
            <v>-1448.51</v>
          </cell>
          <cell r="BY7156">
            <v>192.35</v>
          </cell>
        </row>
        <row r="7157">
          <cell r="BT7157">
            <v>17759.55</v>
          </cell>
          <cell r="BY7157">
            <v>192.35</v>
          </cell>
        </row>
        <row r="7158">
          <cell r="BT7158">
            <v>110.84</v>
          </cell>
          <cell r="BY7158">
            <v>14.44</v>
          </cell>
        </row>
        <row r="7159">
          <cell r="BT7159">
            <v>0.05</v>
          </cell>
          <cell r="BY7159">
            <v>0.01</v>
          </cell>
        </row>
        <row r="7160">
          <cell r="BT7160">
            <v>-8921.86</v>
          </cell>
          <cell r="BY7160">
            <v>1162.1600000000001</v>
          </cell>
        </row>
        <row r="7161">
          <cell r="BT7161">
            <v>0</v>
          </cell>
          <cell r="BY7161">
            <v>0.04</v>
          </cell>
        </row>
        <row r="7162">
          <cell r="BT7162">
            <v>0</v>
          </cell>
          <cell r="BY7162">
            <v>4.3</v>
          </cell>
        </row>
        <row r="7163">
          <cell r="BT7163">
            <v>0</v>
          </cell>
          <cell r="BY7163">
            <v>7.0000000000000007E-2</v>
          </cell>
        </row>
        <row r="7164">
          <cell r="BT7164">
            <v>0</v>
          </cell>
          <cell r="BY7164">
            <v>9.36</v>
          </cell>
        </row>
        <row r="7165">
          <cell r="BT7165">
            <v>0</v>
          </cell>
          <cell r="BY7165">
            <v>0.06</v>
          </cell>
        </row>
        <row r="7166">
          <cell r="BT7166">
            <v>16311.04</v>
          </cell>
          <cell r="BY7166">
            <v>0</v>
          </cell>
        </row>
        <row r="7167">
          <cell r="BT7167">
            <v>0</v>
          </cell>
          <cell r="BY7167">
            <v>0.21</v>
          </cell>
        </row>
        <row r="7168">
          <cell r="BT7168">
            <v>0</v>
          </cell>
          <cell r="BY7168">
            <v>18.52</v>
          </cell>
        </row>
        <row r="7169">
          <cell r="BT7169">
            <v>-1647.45</v>
          </cell>
          <cell r="BY7169">
            <v>214.6</v>
          </cell>
        </row>
        <row r="7170">
          <cell r="BT7170">
            <v>-16311.04</v>
          </cell>
          <cell r="BY7170">
            <v>0</v>
          </cell>
        </row>
        <row r="7171">
          <cell r="BT7171">
            <v>-5744.93</v>
          </cell>
          <cell r="BY7171">
            <v>748.34</v>
          </cell>
        </row>
        <row r="7172">
          <cell r="BT7172">
            <v>8.5</v>
          </cell>
          <cell r="BY7172">
            <v>1.1100000000000001</v>
          </cell>
        </row>
        <row r="7173">
          <cell r="BT7173">
            <v>-84.99</v>
          </cell>
          <cell r="BY7173">
            <v>11.07</v>
          </cell>
        </row>
        <row r="7174">
          <cell r="BT7174">
            <v>-8.5</v>
          </cell>
          <cell r="BY7174">
            <v>1.1100000000000001</v>
          </cell>
        </row>
        <row r="7175">
          <cell r="BT7175">
            <v>8.5</v>
          </cell>
          <cell r="BY7175">
            <v>1.1100000000000001</v>
          </cell>
        </row>
        <row r="7176">
          <cell r="BT7176">
            <v>1500</v>
          </cell>
          <cell r="BY7176">
            <v>195.39</v>
          </cell>
        </row>
        <row r="7177">
          <cell r="BT7177">
            <v>1500</v>
          </cell>
          <cell r="BY7177">
            <v>196.34</v>
          </cell>
        </row>
        <row r="7178">
          <cell r="BT7178">
            <v>-1500</v>
          </cell>
          <cell r="BY7178">
            <v>195.39</v>
          </cell>
        </row>
        <row r="7179">
          <cell r="BT7179">
            <v>8400</v>
          </cell>
          <cell r="BY7179">
            <v>1097.6300000000001</v>
          </cell>
        </row>
        <row r="7180">
          <cell r="BT7180">
            <v>7315</v>
          </cell>
          <cell r="BY7180">
            <v>955.85</v>
          </cell>
        </row>
        <row r="7181">
          <cell r="BT7181">
            <v>4065</v>
          </cell>
          <cell r="BY7181">
            <v>531.16999999999996</v>
          </cell>
        </row>
        <row r="7182">
          <cell r="BT7182">
            <v>-435.54</v>
          </cell>
          <cell r="BY7182">
            <v>56.73</v>
          </cell>
        </row>
        <row r="7183">
          <cell r="BT7183">
            <v>8300</v>
          </cell>
          <cell r="BY7183">
            <v>1084.56</v>
          </cell>
        </row>
        <row r="7184">
          <cell r="BT7184">
            <v>2000</v>
          </cell>
          <cell r="BY7184">
            <v>261.39999999999998</v>
          </cell>
        </row>
        <row r="7185">
          <cell r="BT7185">
            <v>27688.81</v>
          </cell>
          <cell r="BY7185">
            <v>3606.74</v>
          </cell>
        </row>
        <row r="7186">
          <cell r="BT7186">
            <v>-145286.35</v>
          </cell>
          <cell r="BY7186">
            <v>19047.03</v>
          </cell>
        </row>
        <row r="7187">
          <cell r="BT7187">
            <v>143881.92000000001</v>
          </cell>
          <cell r="BY7187">
            <v>18795.900000000001</v>
          </cell>
        </row>
        <row r="7188">
          <cell r="BT7188">
            <v>48777.120000000003</v>
          </cell>
          <cell r="BY7188">
            <v>6390.78</v>
          </cell>
        </row>
        <row r="7189">
          <cell r="BT7189">
            <v>145286.35</v>
          </cell>
          <cell r="BY7189">
            <v>18979.37</v>
          </cell>
        </row>
        <row r="7190">
          <cell r="BT7190">
            <v>-41.52</v>
          </cell>
          <cell r="BY7190">
            <v>5.44</v>
          </cell>
        </row>
        <row r="7191">
          <cell r="BT7191">
            <v>-518.02</v>
          </cell>
          <cell r="BY7191">
            <v>68.010000000000005</v>
          </cell>
        </row>
        <row r="7192">
          <cell r="BT7192">
            <v>518.07000000000005</v>
          </cell>
          <cell r="BY7192">
            <v>67.73</v>
          </cell>
        </row>
        <row r="7193">
          <cell r="BT7193">
            <v>518.02</v>
          </cell>
          <cell r="BY7193">
            <v>68.010000000000005</v>
          </cell>
        </row>
        <row r="7194">
          <cell r="BT7194">
            <v>-6977.47</v>
          </cell>
          <cell r="BY7194">
            <v>916.04</v>
          </cell>
        </row>
        <row r="7195">
          <cell r="BT7195">
            <v>6977.41</v>
          </cell>
          <cell r="BY7195">
            <v>912.27</v>
          </cell>
        </row>
        <row r="7196">
          <cell r="BT7196">
            <v>6977.47</v>
          </cell>
          <cell r="BY7196">
            <v>916.04</v>
          </cell>
        </row>
        <row r="7197">
          <cell r="BT7197">
            <v>-129.94999999999999</v>
          </cell>
          <cell r="BY7197">
            <v>17.059999999999999</v>
          </cell>
        </row>
        <row r="7198">
          <cell r="BT7198">
            <v>-412.49</v>
          </cell>
          <cell r="BY7198">
            <v>54.15</v>
          </cell>
        </row>
        <row r="7199">
          <cell r="BT7199">
            <v>-669.1</v>
          </cell>
          <cell r="BY7199">
            <v>87.84</v>
          </cell>
        </row>
        <row r="7200">
          <cell r="BT7200">
            <v>-10976.46</v>
          </cell>
          <cell r="BY7200">
            <v>1433.9</v>
          </cell>
        </row>
        <row r="7201">
          <cell r="BT7201">
            <v>145.57</v>
          </cell>
          <cell r="BY7201">
            <v>19.03</v>
          </cell>
        </row>
        <row r="7202">
          <cell r="BT7202">
            <v>10976.46</v>
          </cell>
          <cell r="BY7202">
            <v>1433.9</v>
          </cell>
        </row>
        <row r="7203">
          <cell r="BT7203">
            <v>412.42</v>
          </cell>
          <cell r="BY7203">
            <v>53.92</v>
          </cell>
        </row>
        <row r="7204">
          <cell r="BT7204">
            <v>669.12</v>
          </cell>
          <cell r="BY7204">
            <v>87.48</v>
          </cell>
        </row>
        <row r="7205">
          <cell r="BT7205">
            <v>129.94999999999999</v>
          </cell>
          <cell r="BY7205">
            <v>17.059999999999999</v>
          </cell>
        </row>
        <row r="7206">
          <cell r="BT7206">
            <v>412.49</v>
          </cell>
          <cell r="BY7206">
            <v>54.15</v>
          </cell>
        </row>
        <row r="7207">
          <cell r="BT7207">
            <v>669.1</v>
          </cell>
          <cell r="BY7207">
            <v>87.84</v>
          </cell>
        </row>
        <row r="7208">
          <cell r="BT7208">
            <v>10976.46</v>
          </cell>
          <cell r="BY7208">
            <v>1433.9</v>
          </cell>
        </row>
        <row r="7209">
          <cell r="BT7209">
            <v>212.12</v>
          </cell>
          <cell r="BY7209">
            <v>27.72</v>
          </cell>
        </row>
        <row r="7210">
          <cell r="BT7210">
            <v>-0.03</v>
          </cell>
          <cell r="BY7210">
            <v>0</v>
          </cell>
        </row>
        <row r="7211">
          <cell r="BT7211">
            <v>0</v>
          </cell>
          <cell r="BY7211">
            <v>67.66</v>
          </cell>
        </row>
        <row r="7212">
          <cell r="BT7212">
            <v>12.58</v>
          </cell>
          <cell r="BY7212">
            <v>1.64</v>
          </cell>
        </row>
        <row r="7213">
          <cell r="BT7213">
            <v>20.34</v>
          </cell>
          <cell r="BY7213">
            <v>2.66</v>
          </cell>
        </row>
        <row r="7214">
          <cell r="BT7214">
            <v>4.43</v>
          </cell>
          <cell r="BY7214">
            <v>0.57999999999999996</v>
          </cell>
        </row>
        <row r="7215">
          <cell r="BT7215">
            <v>15.74</v>
          </cell>
          <cell r="BY7215">
            <v>2.06</v>
          </cell>
        </row>
        <row r="7216">
          <cell r="BT7216">
            <v>9096.9599999999991</v>
          </cell>
          <cell r="BY7216">
            <v>1193.1199999999999</v>
          </cell>
        </row>
        <row r="7217">
          <cell r="BT7217">
            <v>104.79</v>
          </cell>
          <cell r="BY7217">
            <v>13.7</v>
          </cell>
        </row>
        <row r="7218">
          <cell r="BT7218">
            <v>278.16000000000003</v>
          </cell>
          <cell r="BY7218">
            <v>36.369999999999997</v>
          </cell>
        </row>
        <row r="7219">
          <cell r="BT7219">
            <v>6295.53</v>
          </cell>
          <cell r="BY7219">
            <v>824.84</v>
          </cell>
        </row>
        <row r="7220">
          <cell r="BT7220">
            <v>49.4</v>
          </cell>
          <cell r="BY7220">
            <v>6.47</v>
          </cell>
        </row>
        <row r="7221">
          <cell r="BT7221">
            <v>137.01</v>
          </cell>
          <cell r="BY7221">
            <v>17.95</v>
          </cell>
        </row>
        <row r="7222">
          <cell r="BT7222">
            <v>164969.84</v>
          </cell>
          <cell r="BY7222">
            <v>21624.03</v>
          </cell>
        </row>
        <row r="7223">
          <cell r="BT7223">
            <v>-163580.97</v>
          </cell>
          <cell r="BY7223">
            <v>21370.23</v>
          </cell>
        </row>
        <row r="7224">
          <cell r="BT7224">
            <v>163580.97</v>
          </cell>
          <cell r="BY7224">
            <v>21432.38</v>
          </cell>
        </row>
        <row r="7225">
          <cell r="BT7225">
            <v>-164969.84</v>
          </cell>
          <cell r="BY7225">
            <v>21556.37</v>
          </cell>
        </row>
        <row r="7226">
          <cell r="BT7226">
            <v>-14222.44</v>
          </cell>
          <cell r="BY7226">
            <v>1859.87</v>
          </cell>
        </row>
        <row r="7227">
          <cell r="BT7227">
            <v>13839.49</v>
          </cell>
          <cell r="BY7227">
            <v>1809.79</v>
          </cell>
        </row>
        <row r="7228">
          <cell r="BT7228">
            <v>-218653.62</v>
          </cell>
          <cell r="BY7228">
            <v>28648</v>
          </cell>
        </row>
        <row r="7229">
          <cell r="BT7229">
            <v>-7106.16</v>
          </cell>
          <cell r="BY7229">
            <v>931.12</v>
          </cell>
        </row>
        <row r="7230">
          <cell r="BT7230">
            <v>6919.75</v>
          </cell>
          <cell r="BY7230">
            <v>906.69</v>
          </cell>
        </row>
        <row r="7231">
          <cell r="BT7231">
            <v>-231884.88</v>
          </cell>
          <cell r="BY7231">
            <v>30205.32</v>
          </cell>
        </row>
        <row r="7232">
          <cell r="BT7232">
            <v>-8408.4</v>
          </cell>
          <cell r="BY7232">
            <v>1094.3499999999999</v>
          </cell>
        </row>
        <row r="7233">
          <cell r="BT7233">
            <v>16816.8</v>
          </cell>
          <cell r="BY7233">
            <v>2199.13</v>
          </cell>
        </row>
        <row r="7234">
          <cell r="BT7234">
            <v>-16816.8</v>
          </cell>
          <cell r="BY7234">
            <v>2199.13</v>
          </cell>
        </row>
        <row r="7235">
          <cell r="BT7235">
            <v>8408.4</v>
          </cell>
          <cell r="BY7235">
            <v>1094.3499999999999</v>
          </cell>
        </row>
        <row r="7236">
          <cell r="BT7236">
            <v>231884.88</v>
          </cell>
          <cell r="BY7236">
            <v>30205.32</v>
          </cell>
        </row>
        <row r="7237">
          <cell r="BT7237">
            <v>-8408.4</v>
          </cell>
          <cell r="BY7237">
            <v>1094.3599999999999</v>
          </cell>
        </row>
        <row r="7238">
          <cell r="BT7238">
            <v>-231884.88</v>
          </cell>
          <cell r="BY7238">
            <v>30205.32</v>
          </cell>
        </row>
        <row r="7239">
          <cell r="BT7239">
            <v>-16816.8</v>
          </cell>
          <cell r="BY7239">
            <v>2188.6999999999998</v>
          </cell>
        </row>
        <row r="7240">
          <cell r="BT7240">
            <v>-70</v>
          </cell>
          <cell r="BY7240">
            <v>9.1199999999999992</v>
          </cell>
        </row>
        <row r="7241">
          <cell r="BT7241">
            <v>218653.62</v>
          </cell>
          <cell r="BY7241">
            <v>28481.82</v>
          </cell>
        </row>
        <row r="7242">
          <cell r="BT7242">
            <v>64.680000000000007</v>
          </cell>
          <cell r="BY7242">
            <v>8.43</v>
          </cell>
        </row>
        <row r="7243">
          <cell r="BT7243">
            <v>14219.07</v>
          </cell>
          <cell r="BY7243">
            <v>1850.61</v>
          </cell>
        </row>
        <row r="7244">
          <cell r="BT7244">
            <v>7109.53</v>
          </cell>
          <cell r="BY7244">
            <v>925.31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AGROUP-GILBERTO UGALDE"/>
      <sheetName val="VENCIDOS-ALPA"/>
      <sheetName val="Hoja10"/>
      <sheetName val="VENCIDOS (2)"/>
      <sheetName val="Hoja13"/>
      <sheetName val="Hoja9"/>
      <sheetName val="VENTAS-DEDUCTIONS-0716"/>
      <sheetName val="EFtable-DISTRIBUTION"/>
      <sheetName val="EFtable-PROMOTION"/>
      <sheetName val="EFtable-SALES FORCE"/>
      <sheetName val="EFtable-MARKETING"/>
      <sheetName val="EFtable-TECHNICAL"/>
      <sheetName val="EFtable-R&amp;D"/>
      <sheetName val="EFtable-FINANCE"/>
      <sheetName val="EFtable-GENERAL SERVICES"/>
      <sheetName val="HONORARIOS"/>
      <sheetName val="EFtable-G&amp;A"/>
      <sheetName val="EFtable-DEPRECIACIONES"/>
      <sheetName val="EFtable-Other Provision"/>
      <sheetName val="VENCIDOS TOTAL"/>
      <sheetName val="VENCIDOS-ALPA122016"/>
      <sheetName val="VENCIDOS-ASGT122016"/>
      <sheetName val="VENCIDOS-ALGT122016"/>
      <sheetName val="Hoja11"/>
      <sheetName val="Hoja1"/>
      <sheetName val="Hoja8"/>
      <sheetName val="Hoja14"/>
      <sheetName val="Hoja17"/>
      <sheetName val="Hoja26"/>
      <sheetName val="Hoja27"/>
      <sheetName val="Hoja28"/>
      <sheetName val="Hoja15"/>
      <sheetName val="Hoja16"/>
      <sheetName val="Hoja20"/>
      <sheetName val="Hoja21"/>
      <sheetName val="Hoja22"/>
      <sheetName val="Hoja23"/>
      <sheetName val="Hoja25"/>
      <sheetName val="Hoja29"/>
      <sheetName val="Hoja30"/>
      <sheetName val="Hoja12"/>
      <sheetName val="ACUMULADO ENERO-DICIEMBRE"/>
      <sheetName val="Hoja2"/>
      <sheetName val="Hoja3"/>
      <sheetName val="Hoja5"/>
      <sheetName val="Hoja6"/>
      <sheetName val="Hoja7"/>
      <sheetName val="Exptable"/>
      <sheetName val="EXP-TOTAL-DISTRIBUTION"/>
      <sheetName val="EFtable-Expenses"/>
      <sheetName val="EXP-TOTAL-VENTAS DEDUCTION 1Q"/>
      <sheetName val="VENTAS+EXPENSES-0316 (2)"/>
      <sheetName val="EFtable-Cogs"/>
      <sheetName val="EFtable"/>
      <sheetName val="EXP-TOTAL"/>
      <sheetName val="EXP-TOTAL-COGS"/>
      <sheetName val="Exp"/>
      <sheetName val="BALANCE DICIEMBRE-2016"/>
      <sheetName val="EF"/>
      <sheetName val="GL"/>
      <sheetName val="CCenters"/>
      <sheetName val="PL"/>
      <sheetName val="Hoja4"/>
      <sheetName val="EF-DICIEMBRE"/>
      <sheetName val="BALANCE-GENERAL-FIN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8"/>
  <sheetViews>
    <sheetView topLeftCell="A481" workbookViewId="0">
      <selection activeCell="C504" sqref="C504"/>
    </sheetView>
  </sheetViews>
  <sheetFormatPr baseColWidth="10" defaultColWidth="11.42578125" defaultRowHeight="15" x14ac:dyDescent="0.25"/>
  <cols>
    <col min="1" max="1" width="12.28515625" style="184" customWidth="1"/>
    <col min="2" max="2" width="56.140625" style="184" bestFit="1" customWidth="1"/>
    <col min="3" max="5" width="13.42578125" style="184" bestFit="1" customWidth="1"/>
    <col min="6" max="16384" width="11.42578125" style="184"/>
  </cols>
  <sheetData>
    <row r="1" spans="1:7" x14ac:dyDescent="0.25">
      <c r="A1" s="229" t="s">
        <v>507</v>
      </c>
      <c r="B1" s="280" t="s">
        <v>508</v>
      </c>
      <c r="C1" s="230" t="s">
        <v>382</v>
      </c>
      <c r="D1" s="230" t="s">
        <v>383</v>
      </c>
      <c r="E1" s="230" t="s">
        <v>384</v>
      </c>
      <c r="F1" s="230" t="s">
        <v>485</v>
      </c>
      <c r="G1" s="229" t="s">
        <v>393</v>
      </c>
    </row>
    <row r="2" spans="1:7" x14ac:dyDescent="0.25">
      <c r="A2" s="231" t="s">
        <v>790</v>
      </c>
      <c r="B2" s="231"/>
      <c r="C2" s="232"/>
      <c r="D2" s="232"/>
      <c r="E2" s="232"/>
      <c r="F2" s="265" t="s">
        <v>486</v>
      </c>
      <c r="G2" s="231" t="s">
        <v>4</v>
      </c>
    </row>
    <row r="3" spans="1:7" x14ac:dyDescent="0.25">
      <c r="A3" s="231">
        <v>5730090</v>
      </c>
      <c r="B3" s="231" t="s">
        <v>14</v>
      </c>
      <c r="C3" s="232">
        <v>32851.160000000003</v>
      </c>
      <c r="D3" s="232">
        <v>32851.160000000003</v>
      </c>
      <c r="E3" s="232">
        <v>0</v>
      </c>
      <c r="F3" s="265" t="s">
        <v>486</v>
      </c>
      <c r="G3" s="231" t="s">
        <v>4</v>
      </c>
    </row>
    <row r="4" spans="1:7" x14ac:dyDescent="0.25">
      <c r="A4" s="231">
        <v>5730990</v>
      </c>
      <c r="B4" s="231" t="s">
        <v>21</v>
      </c>
      <c r="C4" s="232">
        <v>-25782.69</v>
      </c>
      <c r="D4" s="232">
        <v>-31326.65</v>
      </c>
      <c r="E4" s="232">
        <v>5543.96</v>
      </c>
      <c r="F4" s="265" t="s">
        <v>486</v>
      </c>
      <c r="G4" s="231" t="s">
        <v>4</v>
      </c>
    </row>
    <row r="5" spans="1:7" x14ac:dyDescent="0.25">
      <c r="A5" s="231"/>
      <c r="B5" s="231"/>
      <c r="C5" s="232">
        <v>7068.47</v>
      </c>
      <c r="D5" s="232">
        <v>1524.51</v>
      </c>
      <c r="E5" s="232">
        <v>5543.96</v>
      </c>
      <c r="F5" s="265" t="s">
        <v>486</v>
      </c>
      <c r="G5" s="231" t="s">
        <v>4</v>
      </c>
    </row>
    <row r="6" spans="1:7" x14ac:dyDescent="0.25">
      <c r="A6" s="231"/>
      <c r="B6" s="231"/>
      <c r="C6" s="232">
        <v>7068.47</v>
      </c>
      <c r="D6" s="232">
        <v>1524.51</v>
      </c>
      <c r="E6" s="232">
        <v>5543.96</v>
      </c>
      <c r="F6" s="265" t="s">
        <v>486</v>
      </c>
      <c r="G6" s="231" t="s">
        <v>4</v>
      </c>
    </row>
    <row r="7" spans="1:7" x14ac:dyDescent="0.25">
      <c r="A7" s="231" t="s">
        <v>791</v>
      </c>
      <c r="B7" s="231"/>
      <c r="C7" s="232"/>
      <c r="D7" s="232"/>
      <c r="E7" s="232"/>
      <c r="F7" s="265" t="s">
        <v>486</v>
      </c>
      <c r="G7" s="231" t="s">
        <v>4</v>
      </c>
    </row>
    <row r="8" spans="1:7" x14ac:dyDescent="0.25">
      <c r="A8" s="231" t="s">
        <v>791</v>
      </c>
      <c r="B8" s="231"/>
      <c r="C8" s="232"/>
      <c r="D8" s="232"/>
      <c r="E8" s="232"/>
      <c r="F8" s="265" t="s">
        <v>486</v>
      </c>
      <c r="G8" s="231" t="s">
        <v>4</v>
      </c>
    </row>
    <row r="9" spans="1:7" x14ac:dyDescent="0.25">
      <c r="A9" s="231">
        <v>5730080</v>
      </c>
      <c r="B9" s="231" t="s">
        <v>12</v>
      </c>
      <c r="C9" s="232">
        <v>7199.72</v>
      </c>
      <c r="D9" s="232">
        <v>7199.72</v>
      </c>
      <c r="E9" s="232">
        <v>0</v>
      </c>
      <c r="F9" s="265" t="s">
        <v>486</v>
      </c>
      <c r="G9" s="231" t="s">
        <v>4</v>
      </c>
    </row>
    <row r="10" spans="1:7" x14ac:dyDescent="0.25">
      <c r="A10" s="231">
        <v>5730085</v>
      </c>
      <c r="B10" s="231" t="s">
        <v>13</v>
      </c>
      <c r="C10" s="232">
        <v>294258.21000000002</v>
      </c>
      <c r="D10" s="232">
        <v>294258.21000000002</v>
      </c>
      <c r="E10" s="232">
        <v>0</v>
      </c>
      <c r="F10" s="265" t="s">
        <v>486</v>
      </c>
      <c r="G10" s="231" t="s">
        <v>4</v>
      </c>
    </row>
    <row r="11" spans="1:7" x14ac:dyDescent="0.25">
      <c r="A11" s="231">
        <v>5730099</v>
      </c>
      <c r="B11" s="231" t="s">
        <v>15</v>
      </c>
      <c r="C11" s="232">
        <v>2267.2800000000002</v>
      </c>
      <c r="D11" s="232">
        <v>2276.75</v>
      </c>
      <c r="E11" s="232">
        <v>-9.4700000000000006</v>
      </c>
      <c r="F11" s="265" t="s">
        <v>486</v>
      </c>
      <c r="G11" s="231" t="s">
        <v>4</v>
      </c>
    </row>
    <row r="12" spans="1:7" x14ac:dyDescent="0.25">
      <c r="A12" s="231">
        <v>5730100</v>
      </c>
      <c r="B12" s="231" t="s">
        <v>16</v>
      </c>
      <c r="C12" s="232">
        <v>214613.6</v>
      </c>
      <c r="D12" s="232">
        <v>214613.6</v>
      </c>
      <c r="E12" s="232">
        <v>0</v>
      </c>
      <c r="F12" s="265" t="s">
        <v>486</v>
      </c>
      <c r="G12" s="231" t="s">
        <v>4</v>
      </c>
    </row>
    <row r="13" spans="1:7" x14ac:dyDescent="0.25">
      <c r="A13" s="231">
        <v>5730980</v>
      </c>
      <c r="B13" s="231" t="s">
        <v>19</v>
      </c>
      <c r="C13" s="232">
        <v>3.6</v>
      </c>
      <c r="D13" s="232">
        <v>7.52</v>
      </c>
      <c r="E13" s="232">
        <v>-3.92</v>
      </c>
      <c r="F13" s="265" t="s">
        <v>486</v>
      </c>
      <c r="G13" s="231" t="s">
        <v>4</v>
      </c>
    </row>
    <row r="14" spans="1:7" x14ac:dyDescent="0.25">
      <c r="A14" s="231">
        <v>5730985</v>
      </c>
      <c r="B14" s="231" t="s">
        <v>20</v>
      </c>
      <c r="C14" s="232">
        <v>-109859.08</v>
      </c>
      <c r="D14" s="232">
        <v>13380.93</v>
      </c>
      <c r="E14" s="232">
        <v>-123240.01</v>
      </c>
      <c r="F14" s="265" t="s">
        <v>486</v>
      </c>
      <c r="G14" s="231" t="s">
        <v>4</v>
      </c>
    </row>
    <row r="15" spans="1:7" x14ac:dyDescent="0.25">
      <c r="A15" s="231">
        <v>5739100</v>
      </c>
      <c r="B15" s="231" t="s">
        <v>22</v>
      </c>
      <c r="C15" s="232">
        <v>1658179.58</v>
      </c>
      <c r="D15" s="232">
        <v>241016.03</v>
      </c>
      <c r="E15" s="232">
        <v>1417163.55</v>
      </c>
      <c r="F15" s="265" t="s">
        <v>486</v>
      </c>
      <c r="G15" s="231" t="s">
        <v>4</v>
      </c>
    </row>
    <row r="16" spans="1:7" x14ac:dyDescent="0.25">
      <c r="A16" s="231"/>
      <c r="B16" s="231"/>
      <c r="C16" s="232">
        <v>2066662.91</v>
      </c>
      <c r="D16" s="232">
        <v>772752.76</v>
      </c>
      <c r="E16" s="232">
        <v>1293910.1499999999</v>
      </c>
      <c r="F16" s="265" t="s">
        <v>486</v>
      </c>
      <c r="G16" s="231" t="s">
        <v>4</v>
      </c>
    </row>
    <row r="17" spans="1:7" x14ac:dyDescent="0.25">
      <c r="A17" s="231"/>
      <c r="B17" s="231"/>
      <c r="C17" s="232">
        <v>2066662.91</v>
      </c>
      <c r="D17" s="232">
        <v>772752.76</v>
      </c>
      <c r="E17" s="232">
        <v>1293910.1499999999</v>
      </c>
      <c r="F17" s="265" t="s">
        <v>486</v>
      </c>
      <c r="G17" s="231" t="s">
        <v>4</v>
      </c>
    </row>
    <row r="18" spans="1:7" x14ac:dyDescent="0.25">
      <c r="A18" s="231" t="s">
        <v>607</v>
      </c>
      <c r="B18" s="231"/>
      <c r="C18" s="232"/>
      <c r="D18" s="232"/>
      <c r="E18" s="232"/>
      <c r="F18" s="265" t="s">
        <v>486</v>
      </c>
      <c r="G18" s="231" t="s">
        <v>4</v>
      </c>
    </row>
    <row r="19" spans="1:7" x14ac:dyDescent="0.25">
      <c r="A19" s="282">
        <v>5714001</v>
      </c>
      <c r="B19" s="231" t="s">
        <v>608</v>
      </c>
      <c r="C19" s="232">
        <v>49790.44</v>
      </c>
      <c r="D19" s="232">
        <v>49105.37</v>
      </c>
      <c r="E19" s="232">
        <v>685.07</v>
      </c>
      <c r="F19" s="265" t="s">
        <v>486</v>
      </c>
      <c r="G19" s="231" t="s">
        <v>4</v>
      </c>
    </row>
    <row r="20" spans="1:7" x14ac:dyDescent="0.25">
      <c r="A20" s="231">
        <v>5714011</v>
      </c>
      <c r="B20" s="231" t="s">
        <v>10</v>
      </c>
      <c r="C20" s="232">
        <v>-45.8</v>
      </c>
      <c r="D20" s="232">
        <v>-45.8</v>
      </c>
      <c r="E20" s="232">
        <v>0</v>
      </c>
      <c r="F20" s="265" t="s">
        <v>486</v>
      </c>
      <c r="G20" s="231" t="s">
        <v>4</v>
      </c>
    </row>
    <row r="21" spans="1:7" x14ac:dyDescent="0.25">
      <c r="A21" s="231">
        <v>5714099</v>
      </c>
      <c r="B21" s="231" t="s">
        <v>11</v>
      </c>
      <c r="C21" s="232">
        <v>-6268.18</v>
      </c>
      <c r="D21" s="232">
        <v>-6268.18</v>
      </c>
      <c r="E21" s="232">
        <v>0</v>
      </c>
      <c r="F21" s="265" t="s">
        <v>486</v>
      </c>
      <c r="G21" s="231" t="s">
        <v>4</v>
      </c>
    </row>
    <row r="22" spans="1:7" x14ac:dyDescent="0.25">
      <c r="A22" s="231"/>
      <c r="B22" s="231"/>
      <c r="C22" s="232">
        <v>43476.46</v>
      </c>
      <c r="D22" s="232">
        <v>42791.39</v>
      </c>
      <c r="E22" s="232">
        <v>685.07</v>
      </c>
      <c r="F22" s="265" t="s">
        <v>486</v>
      </c>
      <c r="G22" s="231" t="s">
        <v>4</v>
      </c>
    </row>
    <row r="23" spans="1:7" x14ac:dyDescent="0.25">
      <c r="A23" s="231"/>
      <c r="B23" s="231"/>
      <c r="C23" s="232">
        <v>2117207.84</v>
      </c>
      <c r="D23" s="232">
        <v>817068.66</v>
      </c>
      <c r="E23" s="232">
        <v>1300139.18</v>
      </c>
      <c r="F23" s="265" t="s">
        <v>486</v>
      </c>
      <c r="G23" s="231" t="s">
        <v>4</v>
      </c>
    </row>
    <row r="24" spans="1:7" x14ac:dyDescent="0.25">
      <c r="A24" s="231" t="s">
        <v>609</v>
      </c>
      <c r="B24" s="231"/>
      <c r="C24" s="232"/>
      <c r="D24" s="232"/>
      <c r="E24" s="232"/>
      <c r="F24" s="265" t="s">
        <v>486</v>
      </c>
      <c r="G24" s="231" t="s">
        <v>4</v>
      </c>
    </row>
    <row r="25" spans="1:7" x14ac:dyDescent="0.25">
      <c r="A25" s="231" t="s">
        <v>610</v>
      </c>
      <c r="B25" s="231"/>
      <c r="C25" s="232"/>
      <c r="D25" s="232"/>
      <c r="E25" s="232"/>
      <c r="F25" s="265" t="s">
        <v>486</v>
      </c>
      <c r="G25" s="231" t="s">
        <v>4</v>
      </c>
    </row>
    <row r="26" spans="1:7" x14ac:dyDescent="0.25">
      <c r="A26" s="231">
        <v>4300000</v>
      </c>
      <c r="B26" s="231" t="s">
        <v>25</v>
      </c>
      <c r="C26" s="232">
        <v>1184763.3799999999</v>
      </c>
      <c r="D26" s="232">
        <v>1464491.2</v>
      </c>
      <c r="E26" s="232">
        <v>-279727.82</v>
      </c>
      <c r="F26" s="265" t="s">
        <v>486</v>
      </c>
      <c r="G26" s="231" t="s">
        <v>4</v>
      </c>
    </row>
    <row r="27" spans="1:7" x14ac:dyDescent="0.25">
      <c r="A27" s="231"/>
      <c r="B27" s="231"/>
      <c r="C27" s="232">
        <v>1184763.3799999999</v>
      </c>
      <c r="D27" s="232">
        <v>1464491.2</v>
      </c>
      <c r="E27" s="232">
        <v>-279727.82</v>
      </c>
      <c r="F27" s="265" t="s">
        <v>486</v>
      </c>
      <c r="G27" s="231" t="s">
        <v>4</v>
      </c>
    </row>
    <row r="28" spans="1:7" x14ac:dyDescent="0.25">
      <c r="A28" s="231" t="s">
        <v>26</v>
      </c>
      <c r="B28" s="231"/>
      <c r="C28" s="232"/>
      <c r="D28" s="232"/>
      <c r="E28" s="232"/>
      <c r="F28" s="265" t="s">
        <v>486</v>
      </c>
      <c r="G28" s="231" t="s">
        <v>4</v>
      </c>
    </row>
    <row r="29" spans="1:7" x14ac:dyDescent="0.25">
      <c r="A29" s="231">
        <v>4304000</v>
      </c>
      <c r="B29" s="231" t="s">
        <v>26</v>
      </c>
      <c r="C29" s="232">
        <v>9307055.3000000007</v>
      </c>
      <c r="D29" s="232">
        <v>9302213</v>
      </c>
      <c r="E29" s="232">
        <v>4842.3</v>
      </c>
      <c r="F29" s="265" t="s">
        <v>486</v>
      </c>
      <c r="G29" s="231" t="s">
        <v>4</v>
      </c>
    </row>
    <row r="30" spans="1:7" x14ac:dyDescent="0.25">
      <c r="A30" s="231">
        <v>4304099</v>
      </c>
      <c r="B30" s="231" t="s">
        <v>792</v>
      </c>
      <c r="C30" s="232">
        <v>194.01</v>
      </c>
      <c r="D30" s="232">
        <v>194.01</v>
      </c>
      <c r="E30" s="232">
        <v>0</v>
      </c>
      <c r="F30" s="265" t="s">
        <v>486</v>
      </c>
      <c r="G30" s="231" t="s">
        <v>4</v>
      </c>
    </row>
    <row r="31" spans="1:7" x14ac:dyDescent="0.25">
      <c r="A31" s="231"/>
      <c r="B31" s="231"/>
      <c r="C31" s="232">
        <v>9307249.3100000005</v>
      </c>
      <c r="D31" s="232">
        <v>9302407.0099999998</v>
      </c>
      <c r="E31" s="232">
        <v>4842.3</v>
      </c>
      <c r="F31" s="265" t="s">
        <v>486</v>
      </c>
      <c r="G31" s="231" t="s">
        <v>4</v>
      </c>
    </row>
    <row r="32" spans="1:7" x14ac:dyDescent="0.25">
      <c r="A32" s="231" t="s">
        <v>612</v>
      </c>
      <c r="B32" s="231"/>
      <c r="C32" s="232"/>
      <c r="D32" s="232"/>
      <c r="E32" s="232"/>
      <c r="F32" s="265" t="s">
        <v>486</v>
      </c>
      <c r="G32" s="231" t="s">
        <v>4</v>
      </c>
    </row>
    <row r="33" spans="1:7" x14ac:dyDescent="0.25">
      <c r="A33" s="231">
        <v>4330002</v>
      </c>
      <c r="B33" s="231" t="s">
        <v>28</v>
      </c>
      <c r="C33" s="232">
        <v>771880.07</v>
      </c>
      <c r="D33" s="232">
        <v>771880.07</v>
      </c>
      <c r="E33" s="232">
        <v>0</v>
      </c>
      <c r="F33" s="265" t="s">
        <v>486</v>
      </c>
      <c r="G33" s="231" t="s">
        <v>4</v>
      </c>
    </row>
    <row r="34" spans="1:7" x14ac:dyDescent="0.25">
      <c r="A34" s="231"/>
      <c r="B34" s="231"/>
      <c r="C34" s="232">
        <v>771880.07</v>
      </c>
      <c r="D34" s="232">
        <v>771880.07</v>
      </c>
      <c r="E34" s="232">
        <v>0</v>
      </c>
      <c r="F34" s="265" t="s">
        <v>486</v>
      </c>
      <c r="G34" s="231" t="s">
        <v>4</v>
      </c>
    </row>
    <row r="35" spans="1:7" x14ac:dyDescent="0.25">
      <c r="A35" s="231">
        <v>4900000</v>
      </c>
      <c r="B35" s="231" t="s">
        <v>613</v>
      </c>
      <c r="C35" s="232">
        <v>-200313.84</v>
      </c>
      <c r="D35" s="232">
        <v>-230501.11</v>
      </c>
      <c r="E35" s="232">
        <v>30187.27</v>
      </c>
      <c r="F35" s="265" t="s">
        <v>486</v>
      </c>
      <c r="G35" s="231" t="s">
        <v>4</v>
      </c>
    </row>
    <row r="36" spans="1:7" x14ac:dyDescent="0.25">
      <c r="A36" s="231"/>
      <c r="B36" s="231"/>
      <c r="C36" s="232">
        <v>-200313.84</v>
      </c>
      <c r="D36" s="232">
        <v>-230501.11</v>
      </c>
      <c r="E36" s="232">
        <v>30187.27</v>
      </c>
      <c r="F36" s="265" t="s">
        <v>486</v>
      </c>
      <c r="G36" s="231" t="s">
        <v>4</v>
      </c>
    </row>
    <row r="37" spans="1:7" x14ac:dyDescent="0.25">
      <c r="A37" s="231"/>
      <c r="B37" s="231"/>
      <c r="C37" s="232">
        <v>11063578.92</v>
      </c>
      <c r="D37" s="232">
        <v>11308277.17</v>
      </c>
      <c r="E37" s="232">
        <v>-244698.25</v>
      </c>
      <c r="F37" s="265" t="s">
        <v>486</v>
      </c>
      <c r="G37" s="231" t="s">
        <v>4</v>
      </c>
    </row>
    <row r="38" spans="1:7" x14ac:dyDescent="0.25">
      <c r="A38" s="231" t="s">
        <v>614</v>
      </c>
      <c r="B38" s="231"/>
      <c r="C38" s="232"/>
      <c r="D38" s="232"/>
      <c r="E38" s="232"/>
      <c r="F38" s="265" t="s">
        <v>486</v>
      </c>
      <c r="G38" s="231" t="s">
        <v>4</v>
      </c>
    </row>
    <row r="39" spans="1:7" x14ac:dyDescent="0.25">
      <c r="A39" s="231" t="s">
        <v>793</v>
      </c>
      <c r="B39" s="231"/>
      <c r="C39" s="232"/>
      <c r="D39" s="232"/>
      <c r="E39" s="232"/>
      <c r="F39" s="265" t="s">
        <v>486</v>
      </c>
      <c r="G39" s="231" t="s">
        <v>4</v>
      </c>
    </row>
    <row r="40" spans="1:7" x14ac:dyDescent="0.25">
      <c r="A40" s="231">
        <v>4600012</v>
      </c>
      <c r="B40" s="231" t="s">
        <v>37</v>
      </c>
      <c r="C40" s="232">
        <v>2198</v>
      </c>
      <c r="D40" s="232">
        <v>2198</v>
      </c>
      <c r="E40" s="232">
        <v>0</v>
      </c>
      <c r="F40" s="265" t="s">
        <v>486</v>
      </c>
      <c r="G40" s="231" t="s">
        <v>4</v>
      </c>
    </row>
    <row r="41" spans="1:7" x14ac:dyDescent="0.25">
      <c r="A41" s="231"/>
      <c r="B41" s="231"/>
      <c r="C41" s="232">
        <v>2198</v>
      </c>
      <c r="D41" s="232">
        <v>2198</v>
      </c>
      <c r="E41" s="232">
        <v>0</v>
      </c>
      <c r="F41" s="265" t="s">
        <v>486</v>
      </c>
      <c r="G41" s="231" t="s">
        <v>4</v>
      </c>
    </row>
    <row r="42" spans="1:7" x14ac:dyDescent="0.25">
      <c r="A42" s="231" t="s">
        <v>794</v>
      </c>
      <c r="B42" s="231"/>
      <c r="C42" s="232"/>
      <c r="D42" s="232"/>
      <c r="E42" s="232"/>
      <c r="F42" s="265" t="s">
        <v>486</v>
      </c>
      <c r="G42" s="231" t="s">
        <v>4</v>
      </c>
    </row>
    <row r="43" spans="1:7" x14ac:dyDescent="0.25">
      <c r="A43" s="231">
        <v>5430000</v>
      </c>
      <c r="B43" s="231" t="s">
        <v>795</v>
      </c>
      <c r="C43" s="232">
        <v>734643.94</v>
      </c>
      <c r="D43" s="232">
        <v>770378.06</v>
      </c>
      <c r="E43" s="232">
        <v>-35734.120000000003</v>
      </c>
      <c r="F43" s="265" t="s">
        <v>486</v>
      </c>
      <c r="G43" s="231" t="s">
        <v>4</v>
      </c>
    </row>
    <row r="44" spans="1:7" x14ac:dyDescent="0.25">
      <c r="A44" s="231"/>
      <c r="B44" s="231"/>
      <c r="C44" s="232">
        <v>734643.94</v>
      </c>
      <c r="D44" s="232">
        <v>770378.06</v>
      </c>
      <c r="E44" s="232">
        <v>-35734.120000000003</v>
      </c>
      <c r="F44" s="265" t="s">
        <v>486</v>
      </c>
      <c r="G44" s="231" t="s">
        <v>4</v>
      </c>
    </row>
    <row r="45" spans="1:7" x14ac:dyDescent="0.25">
      <c r="A45" s="231" t="s">
        <v>796</v>
      </c>
      <c r="B45" s="231"/>
      <c r="C45" s="232"/>
      <c r="D45" s="232"/>
      <c r="E45" s="232"/>
      <c r="F45" s="265" t="s">
        <v>486</v>
      </c>
      <c r="G45" s="231" t="s">
        <v>4</v>
      </c>
    </row>
    <row r="46" spans="1:7" x14ac:dyDescent="0.25">
      <c r="A46" s="231" t="s">
        <v>797</v>
      </c>
      <c r="B46" s="231"/>
      <c r="C46" s="232"/>
      <c r="D46" s="232"/>
      <c r="E46" s="232"/>
      <c r="F46" s="265" t="s">
        <v>486</v>
      </c>
      <c r="G46" s="231" t="s">
        <v>4</v>
      </c>
    </row>
    <row r="47" spans="1:7" x14ac:dyDescent="0.25">
      <c r="A47" s="231">
        <v>4600000</v>
      </c>
      <c r="B47" s="231" t="s">
        <v>128</v>
      </c>
      <c r="C47" s="232">
        <v>0.55000000000000004</v>
      </c>
      <c r="D47" s="232">
        <v>0.55000000000000004</v>
      </c>
      <c r="E47" s="232">
        <v>0</v>
      </c>
      <c r="F47" s="265" t="s">
        <v>486</v>
      </c>
      <c r="G47" s="231" t="s">
        <v>4</v>
      </c>
    </row>
    <row r="48" spans="1:7" x14ac:dyDescent="0.25">
      <c r="A48" s="231">
        <v>4600001</v>
      </c>
      <c r="B48" s="231" t="s">
        <v>36</v>
      </c>
      <c r="C48" s="232">
        <v>2000</v>
      </c>
      <c r="D48" s="232">
        <v>2000</v>
      </c>
      <c r="E48" s="232">
        <v>0</v>
      </c>
      <c r="F48" s="265" t="s">
        <v>486</v>
      </c>
      <c r="G48" s="231" t="s">
        <v>4</v>
      </c>
    </row>
    <row r="49" spans="1:7" x14ac:dyDescent="0.25">
      <c r="A49" s="231"/>
      <c r="B49" s="231"/>
      <c r="C49" s="232">
        <v>2000.55</v>
      </c>
      <c r="D49" s="232">
        <v>2000.55</v>
      </c>
      <c r="E49" s="232">
        <v>0</v>
      </c>
      <c r="F49" s="265" t="s">
        <v>486</v>
      </c>
      <c r="G49" s="231" t="s">
        <v>4</v>
      </c>
    </row>
    <row r="50" spans="1:7" x14ac:dyDescent="0.25">
      <c r="A50" s="231"/>
      <c r="B50" s="231"/>
      <c r="C50" s="232">
        <v>2000.55</v>
      </c>
      <c r="D50" s="232">
        <v>2000.55</v>
      </c>
      <c r="E50" s="232">
        <v>0</v>
      </c>
      <c r="F50" s="265" t="s">
        <v>486</v>
      </c>
      <c r="G50" s="231" t="s">
        <v>4</v>
      </c>
    </row>
    <row r="51" spans="1:7" x14ac:dyDescent="0.25">
      <c r="A51" s="231" t="s">
        <v>616</v>
      </c>
      <c r="B51" s="231"/>
      <c r="C51" s="232"/>
      <c r="D51" s="232"/>
      <c r="E51" s="232"/>
      <c r="F51" s="265" t="s">
        <v>486</v>
      </c>
      <c r="G51" s="231" t="s">
        <v>4</v>
      </c>
    </row>
    <row r="52" spans="1:7" x14ac:dyDescent="0.25">
      <c r="A52" s="231">
        <v>4070000</v>
      </c>
      <c r="B52" s="231" t="s">
        <v>31</v>
      </c>
      <c r="C52" s="232">
        <v>1120438.99</v>
      </c>
      <c r="D52" s="232">
        <v>896084.26</v>
      </c>
      <c r="E52" s="232">
        <v>224354.73</v>
      </c>
      <c r="F52" s="265" t="s">
        <v>486</v>
      </c>
      <c r="G52" s="231" t="s">
        <v>4</v>
      </c>
    </row>
    <row r="53" spans="1:7" x14ac:dyDescent="0.25">
      <c r="A53" s="231">
        <v>4070001</v>
      </c>
      <c r="B53" s="231" t="s">
        <v>32</v>
      </c>
      <c r="C53" s="232">
        <v>839829.77</v>
      </c>
      <c r="D53" s="232">
        <v>749013.96</v>
      </c>
      <c r="E53" s="232">
        <v>90815.81</v>
      </c>
      <c r="F53" s="265" t="s">
        <v>486</v>
      </c>
      <c r="G53" s="231" t="s">
        <v>4</v>
      </c>
    </row>
    <row r="54" spans="1:7" x14ac:dyDescent="0.25">
      <c r="A54" s="231">
        <v>4170004</v>
      </c>
      <c r="B54" s="231" t="s">
        <v>34</v>
      </c>
      <c r="C54" s="232">
        <v>40817.89</v>
      </c>
      <c r="D54" s="232">
        <v>33817.89</v>
      </c>
      <c r="E54" s="232">
        <v>7000</v>
      </c>
      <c r="F54" s="265" t="s">
        <v>486</v>
      </c>
      <c r="G54" s="231" t="s">
        <v>4</v>
      </c>
    </row>
    <row r="55" spans="1:7" x14ac:dyDescent="0.25">
      <c r="A55" s="231">
        <v>4800000</v>
      </c>
      <c r="B55" s="231" t="s">
        <v>44</v>
      </c>
      <c r="C55" s="232">
        <v>915530.25</v>
      </c>
      <c r="D55" s="232">
        <v>854260.42</v>
      </c>
      <c r="E55" s="232">
        <v>61269.83</v>
      </c>
      <c r="F55" s="265" t="s">
        <v>486</v>
      </c>
      <c r="G55" s="231" t="s">
        <v>4</v>
      </c>
    </row>
    <row r="56" spans="1:7" x14ac:dyDescent="0.25">
      <c r="A56" s="231"/>
      <c r="B56" s="231"/>
      <c r="C56" s="232">
        <v>2916616.9</v>
      </c>
      <c r="D56" s="232">
        <v>2533176.5299999998</v>
      </c>
      <c r="E56" s="232">
        <v>383440.37</v>
      </c>
      <c r="F56" s="265" t="s">
        <v>486</v>
      </c>
      <c r="G56" s="231" t="s">
        <v>4</v>
      </c>
    </row>
    <row r="57" spans="1:7" x14ac:dyDescent="0.25">
      <c r="A57" s="231" t="s">
        <v>798</v>
      </c>
      <c r="B57" s="231"/>
      <c r="C57" s="232"/>
      <c r="D57" s="232"/>
      <c r="E57" s="232"/>
      <c r="F57" s="265" t="s">
        <v>486</v>
      </c>
      <c r="G57" s="231" t="s">
        <v>4</v>
      </c>
    </row>
    <row r="58" spans="1:7" x14ac:dyDescent="0.25">
      <c r="A58" s="231">
        <v>4600014</v>
      </c>
      <c r="B58" s="231" t="s">
        <v>35</v>
      </c>
      <c r="C58" s="232">
        <v>63.34</v>
      </c>
      <c r="D58" s="232">
        <v>63.34</v>
      </c>
      <c r="E58" s="232">
        <v>0</v>
      </c>
      <c r="F58" s="265" t="s">
        <v>486</v>
      </c>
      <c r="G58" s="231" t="s">
        <v>4</v>
      </c>
    </row>
    <row r="59" spans="1:7" x14ac:dyDescent="0.25">
      <c r="A59" s="231"/>
      <c r="B59" s="231"/>
      <c r="C59" s="232">
        <v>63.34</v>
      </c>
      <c r="D59" s="232">
        <v>63.34</v>
      </c>
      <c r="E59" s="232">
        <v>0</v>
      </c>
      <c r="F59" s="265" t="s">
        <v>486</v>
      </c>
      <c r="G59" s="231" t="s">
        <v>4</v>
      </c>
    </row>
    <row r="60" spans="1:7" x14ac:dyDescent="0.25">
      <c r="A60" s="231" t="s">
        <v>653</v>
      </c>
      <c r="B60" s="231"/>
      <c r="C60" s="232"/>
      <c r="D60" s="232"/>
      <c r="E60" s="232"/>
      <c r="F60" s="265" t="s">
        <v>486</v>
      </c>
      <c r="G60" s="231" t="s">
        <v>4</v>
      </c>
    </row>
    <row r="61" spans="1:7" x14ac:dyDescent="0.25">
      <c r="A61" s="231">
        <v>5510000</v>
      </c>
      <c r="B61" s="231" t="s">
        <v>46</v>
      </c>
      <c r="C61" s="232">
        <v>3430758.14</v>
      </c>
      <c r="D61" s="232">
        <v>3430758.14</v>
      </c>
      <c r="E61" s="232">
        <v>0</v>
      </c>
      <c r="F61" s="265" t="s">
        <v>486</v>
      </c>
      <c r="G61" s="231" t="s">
        <v>4</v>
      </c>
    </row>
    <row r="62" spans="1:7" x14ac:dyDescent="0.25">
      <c r="A62" s="231"/>
      <c r="B62" s="231"/>
      <c r="C62" s="232">
        <v>3430758.14</v>
      </c>
      <c r="D62" s="232">
        <v>3430758.14</v>
      </c>
      <c r="E62" s="232">
        <v>0</v>
      </c>
      <c r="F62" s="265" t="s">
        <v>486</v>
      </c>
      <c r="G62" s="231" t="s">
        <v>4</v>
      </c>
    </row>
    <row r="63" spans="1:7" x14ac:dyDescent="0.25">
      <c r="A63" s="231"/>
      <c r="B63" s="231"/>
      <c r="C63" s="232">
        <v>7086280.8700000001</v>
      </c>
      <c r="D63" s="232">
        <v>6738574.6200000001</v>
      </c>
      <c r="E63" s="232">
        <v>347706.25</v>
      </c>
      <c r="F63" s="265" t="s">
        <v>486</v>
      </c>
      <c r="G63" s="231" t="s">
        <v>4</v>
      </c>
    </row>
    <row r="64" spans="1:7" x14ac:dyDescent="0.25">
      <c r="A64" s="231" t="s">
        <v>617</v>
      </c>
      <c r="B64" s="231"/>
      <c r="C64" s="232"/>
      <c r="D64" s="232"/>
      <c r="E64" s="232"/>
      <c r="F64" s="265" t="s">
        <v>486</v>
      </c>
      <c r="G64" s="231" t="s">
        <v>4</v>
      </c>
    </row>
    <row r="65" spans="1:7" x14ac:dyDescent="0.25">
      <c r="A65" s="231">
        <v>3100000</v>
      </c>
      <c r="B65" s="231" t="s">
        <v>48</v>
      </c>
      <c r="C65" s="232">
        <v>872843.45</v>
      </c>
      <c r="D65" s="232">
        <v>506563.07</v>
      </c>
      <c r="E65" s="232">
        <v>366280.38</v>
      </c>
      <c r="F65" s="265" t="s">
        <v>486</v>
      </c>
      <c r="G65" s="231" t="s">
        <v>4</v>
      </c>
    </row>
    <row r="66" spans="1:7" x14ac:dyDescent="0.25">
      <c r="A66" s="231">
        <v>3270000</v>
      </c>
      <c r="B66" s="231" t="s">
        <v>49</v>
      </c>
      <c r="C66" s="232">
        <v>171523.64</v>
      </c>
      <c r="D66" s="232">
        <v>170097.11</v>
      </c>
      <c r="E66" s="232">
        <v>1426.53</v>
      </c>
      <c r="F66" s="265" t="s">
        <v>486</v>
      </c>
      <c r="G66" s="231" t="s">
        <v>4</v>
      </c>
    </row>
    <row r="67" spans="1:7" x14ac:dyDescent="0.25">
      <c r="A67" s="231">
        <v>3500000</v>
      </c>
      <c r="B67" s="231" t="s">
        <v>50</v>
      </c>
      <c r="C67" s="232">
        <v>2369329.25</v>
      </c>
      <c r="D67" s="232">
        <v>2352554.4300000002</v>
      </c>
      <c r="E67" s="232">
        <v>16774.82</v>
      </c>
      <c r="F67" s="265" t="s">
        <v>486</v>
      </c>
      <c r="G67" s="231" t="s">
        <v>4</v>
      </c>
    </row>
    <row r="68" spans="1:7" x14ac:dyDescent="0.25">
      <c r="A68" s="231"/>
      <c r="B68" s="231"/>
      <c r="C68" s="232">
        <v>3413696.34</v>
      </c>
      <c r="D68" s="232">
        <v>3029214.61</v>
      </c>
      <c r="E68" s="232">
        <v>384481.73</v>
      </c>
      <c r="F68" s="265" t="s">
        <v>486</v>
      </c>
      <c r="G68" s="231" t="s">
        <v>385</v>
      </c>
    </row>
    <row r="69" spans="1:7" x14ac:dyDescent="0.25">
      <c r="A69" s="231" t="s">
        <v>618</v>
      </c>
      <c r="B69" s="231"/>
      <c r="C69" s="232"/>
      <c r="D69" s="232"/>
      <c r="E69" s="232"/>
      <c r="F69" s="265" t="s">
        <v>385</v>
      </c>
      <c r="G69" s="231" t="s">
        <v>385</v>
      </c>
    </row>
    <row r="70" spans="1:7" x14ac:dyDescent="0.25">
      <c r="A70" s="184">
        <v>3700000</v>
      </c>
      <c r="B70" s="184" t="s">
        <v>51</v>
      </c>
      <c r="C70" s="184">
        <v>567433.71</v>
      </c>
      <c r="D70" s="184">
        <v>1041496.65</v>
      </c>
      <c r="E70" s="184">
        <v>-474062.94</v>
      </c>
    </row>
    <row r="71" spans="1:7" x14ac:dyDescent="0.25">
      <c r="C71" s="184">
        <v>567433.71</v>
      </c>
      <c r="D71" s="184">
        <v>1041496.65</v>
      </c>
      <c r="E71" s="184">
        <v>-474062.94</v>
      </c>
    </row>
    <row r="72" spans="1:7" x14ac:dyDescent="0.25">
      <c r="A72" s="184" t="s">
        <v>619</v>
      </c>
    </row>
    <row r="73" spans="1:7" x14ac:dyDescent="0.25">
      <c r="A73" s="184">
        <v>3500001</v>
      </c>
      <c r="B73" s="184" t="s">
        <v>52</v>
      </c>
      <c r="C73" s="184">
        <v>-236891.75</v>
      </c>
      <c r="D73" s="184">
        <v>-455260.77</v>
      </c>
      <c r="E73" s="184">
        <v>218369.02</v>
      </c>
    </row>
    <row r="74" spans="1:7" x14ac:dyDescent="0.25">
      <c r="C74" s="184">
        <v>-236891.75</v>
      </c>
      <c r="D74" s="184">
        <v>-455260.77</v>
      </c>
      <c r="E74" s="184">
        <v>218369.02</v>
      </c>
    </row>
    <row r="75" spans="1:7" x14ac:dyDescent="0.25">
      <c r="A75" s="184" t="s">
        <v>620</v>
      </c>
    </row>
    <row r="76" spans="1:7" x14ac:dyDescent="0.25">
      <c r="A76" s="184">
        <v>3900000</v>
      </c>
      <c r="B76" s="184" t="s">
        <v>621</v>
      </c>
      <c r="C76" s="184">
        <v>173830.72</v>
      </c>
      <c r="D76" s="184">
        <v>117610.98</v>
      </c>
      <c r="E76" s="184">
        <v>56219.74</v>
      </c>
    </row>
    <row r="77" spans="1:7" x14ac:dyDescent="0.25">
      <c r="C77" s="184">
        <v>173830.72</v>
      </c>
      <c r="D77" s="184">
        <v>117610.98</v>
      </c>
      <c r="E77" s="184">
        <v>56219.74</v>
      </c>
    </row>
    <row r="78" spans="1:7" x14ac:dyDescent="0.25">
      <c r="A78" s="184" t="s">
        <v>53</v>
      </c>
    </row>
    <row r="79" spans="1:7" x14ac:dyDescent="0.25">
      <c r="A79" s="184">
        <v>1603002</v>
      </c>
      <c r="B79" s="184" t="s">
        <v>54</v>
      </c>
      <c r="C79" s="184">
        <v>142519.17000000001</v>
      </c>
      <c r="D79" s="184">
        <v>142519.17000000001</v>
      </c>
      <c r="E79" s="184">
        <v>0</v>
      </c>
    </row>
    <row r="80" spans="1:7" x14ac:dyDescent="0.25">
      <c r="C80" s="184">
        <v>142519.17000000001</v>
      </c>
      <c r="D80" s="184">
        <v>142519.17000000001</v>
      </c>
      <c r="E80" s="184">
        <v>0</v>
      </c>
    </row>
    <row r="81" spans="1:5" x14ac:dyDescent="0.25">
      <c r="C81" s="184">
        <v>24327655.82</v>
      </c>
      <c r="D81" s="184">
        <v>22739501.09</v>
      </c>
      <c r="E81" s="184">
        <v>1588154.73</v>
      </c>
    </row>
    <row r="82" spans="1:5" x14ac:dyDescent="0.25">
      <c r="A82" s="184" t="s">
        <v>622</v>
      </c>
    </row>
    <row r="83" spans="1:5" x14ac:dyDescent="0.25">
      <c r="A83" s="184" t="s">
        <v>623</v>
      </c>
    </row>
    <row r="84" spans="1:5" x14ac:dyDescent="0.25">
      <c r="A84" s="184" t="s">
        <v>624</v>
      </c>
    </row>
    <row r="85" spans="1:5" x14ac:dyDescent="0.25">
      <c r="A85" s="184">
        <v>2160001</v>
      </c>
      <c r="B85" s="184" t="s">
        <v>56</v>
      </c>
      <c r="C85" s="184">
        <v>34723.39</v>
      </c>
      <c r="D85" s="184">
        <v>34723.39</v>
      </c>
      <c r="E85" s="184">
        <v>0</v>
      </c>
    </row>
    <row r="86" spans="1:5" x14ac:dyDescent="0.25">
      <c r="A86" s="184">
        <v>2170001</v>
      </c>
      <c r="B86" s="184" t="s">
        <v>57</v>
      </c>
      <c r="C86" s="184">
        <v>25692.19</v>
      </c>
      <c r="D86" s="184">
        <v>25692.19</v>
      </c>
      <c r="E86" s="184">
        <v>0</v>
      </c>
    </row>
    <row r="87" spans="1:5" x14ac:dyDescent="0.25">
      <c r="C87" s="184">
        <v>60415.58</v>
      </c>
      <c r="D87" s="184">
        <v>60415.58</v>
      </c>
      <c r="E87" s="184">
        <v>0</v>
      </c>
    </row>
    <row r="88" spans="1:5" x14ac:dyDescent="0.25">
      <c r="A88" s="184" t="s">
        <v>625</v>
      </c>
    </row>
    <row r="89" spans="1:5" x14ac:dyDescent="0.25">
      <c r="A89" s="184">
        <v>2180001</v>
      </c>
      <c r="B89" s="184" t="s">
        <v>58</v>
      </c>
      <c r="C89" s="184">
        <v>87500.01</v>
      </c>
      <c r="D89" s="184">
        <v>87500.01</v>
      </c>
      <c r="E89" s="184">
        <v>0</v>
      </c>
    </row>
    <row r="90" spans="1:5" x14ac:dyDescent="0.25">
      <c r="C90" s="184">
        <v>87500.01</v>
      </c>
      <c r="D90" s="184">
        <v>87500.01</v>
      </c>
      <c r="E90" s="184">
        <v>0</v>
      </c>
    </row>
    <row r="91" spans="1:5" x14ac:dyDescent="0.25">
      <c r="A91" s="184" t="s">
        <v>799</v>
      </c>
    </row>
    <row r="92" spans="1:5" x14ac:dyDescent="0.25">
      <c r="A92" s="184">
        <v>2100001</v>
      </c>
      <c r="B92" s="184" t="s">
        <v>59</v>
      </c>
      <c r="C92" s="184">
        <v>186013.07</v>
      </c>
      <c r="D92" s="184">
        <v>186013.07</v>
      </c>
      <c r="E92" s="184">
        <v>0</v>
      </c>
    </row>
    <row r="93" spans="1:5" x14ac:dyDescent="0.25">
      <c r="C93" s="184">
        <v>186013.07</v>
      </c>
      <c r="D93" s="184">
        <v>186013.07</v>
      </c>
      <c r="E93" s="184">
        <v>0</v>
      </c>
    </row>
    <row r="94" spans="1:5" x14ac:dyDescent="0.25">
      <c r="A94" s="184" t="s">
        <v>627</v>
      </c>
    </row>
    <row r="95" spans="1:5" x14ac:dyDescent="0.25">
      <c r="A95" s="184">
        <v>2110001</v>
      </c>
      <c r="B95" s="184" t="s">
        <v>61</v>
      </c>
      <c r="C95" s="184">
        <v>849879.52</v>
      </c>
      <c r="D95" s="184">
        <v>849879.52</v>
      </c>
      <c r="E95" s="184">
        <v>0</v>
      </c>
    </row>
    <row r="96" spans="1:5" x14ac:dyDescent="0.25">
      <c r="C96" s="184">
        <v>849879.52</v>
      </c>
      <c r="D96" s="184">
        <v>849879.52</v>
      </c>
      <c r="E96" s="184">
        <v>0</v>
      </c>
    </row>
    <row r="97" spans="1:5" x14ac:dyDescent="0.25">
      <c r="A97" s="184" t="s">
        <v>135</v>
      </c>
    </row>
    <row r="98" spans="1:5" x14ac:dyDescent="0.25">
      <c r="A98" s="184">
        <v>2020001</v>
      </c>
      <c r="B98" s="184" t="s">
        <v>800</v>
      </c>
      <c r="C98" s="184">
        <v>121333.34</v>
      </c>
      <c r="D98" s="184">
        <v>0</v>
      </c>
      <c r="E98" s="184">
        <v>121333.34</v>
      </c>
    </row>
    <row r="99" spans="1:5" x14ac:dyDescent="0.25">
      <c r="C99" s="184">
        <v>121333.34</v>
      </c>
      <c r="D99" s="184">
        <v>0</v>
      </c>
      <c r="E99" s="184">
        <v>121333.34</v>
      </c>
    </row>
    <row r="100" spans="1:5" x14ac:dyDescent="0.25">
      <c r="A100" s="184" t="s">
        <v>630</v>
      </c>
    </row>
    <row r="101" spans="1:5" x14ac:dyDescent="0.25">
      <c r="A101" s="184">
        <v>2811001</v>
      </c>
      <c r="B101" s="184" t="s">
        <v>65</v>
      </c>
      <c r="C101" s="184">
        <v>-156008.16</v>
      </c>
      <c r="D101" s="184">
        <v>-154288.04999999999</v>
      </c>
      <c r="E101" s="184">
        <v>-1720.11</v>
      </c>
    </row>
    <row r="102" spans="1:5" x14ac:dyDescent="0.25">
      <c r="A102" s="184">
        <v>2816001</v>
      </c>
      <c r="B102" s="184" t="s">
        <v>69</v>
      </c>
      <c r="C102" s="184">
        <v>-26958.94</v>
      </c>
      <c r="D102" s="184">
        <v>-26801.599999999999</v>
      </c>
      <c r="E102" s="184">
        <v>-157.34</v>
      </c>
    </row>
    <row r="103" spans="1:5" x14ac:dyDescent="0.25">
      <c r="A103" s="184">
        <v>2817001</v>
      </c>
      <c r="B103" s="184" t="s">
        <v>70</v>
      </c>
      <c r="C103" s="184">
        <v>-18123.05</v>
      </c>
      <c r="D103" s="184">
        <v>-17845.650000000001</v>
      </c>
      <c r="E103" s="184">
        <v>-277.39999999999998</v>
      </c>
    </row>
    <row r="104" spans="1:5" x14ac:dyDescent="0.25">
      <c r="A104" s="184">
        <v>2818001</v>
      </c>
      <c r="B104" s="184" t="s">
        <v>71</v>
      </c>
      <c r="C104" s="184">
        <v>-54458.34</v>
      </c>
      <c r="D104" s="184">
        <v>-53020.85</v>
      </c>
      <c r="E104" s="184">
        <v>-1437.49</v>
      </c>
    </row>
    <row r="105" spans="1:5" x14ac:dyDescent="0.25">
      <c r="C105" s="184">
        <v>-255548.49</v>
      </c>
      <c r="D105" s="184">
        <v>-251956.15</v>
      </c>
      <c r="E105" s="184">
        <v>-3592.34</v>
      </c>
    </row>
    <row r="106" spans="1:5" x14ac:dyDescent="0.25">
      <c r="C106" s="184">
        <v>-255548.49</v>
      </c>
      <c r="D106" s="184">
        <v>-251956.15</v>
      </c>
      <c r="E106" s="184">
        <v>-3592.34</v>
      </c>
    </row>
    <row r="107" spans="1:5" x14ac:dyDescent="0.25">
      <c r="A107" s="184" t="s">
        <v>632</v>
      </c>
      <c r="C107" s="184">
        <v>1049593.03</v>
      </c>
      <c r="D107" s="184">
        <v>931852.03</v>
      </c>
      <c r="E107" s="184">
        <v>117741</v>
      </c>
    </row>
    <row r="108" spans="1:5" x14ac:dyDescent="0.25">
      <c r="A108" s="184" t="s">
        <v>633</v>
      </c>
    </row>
    <row r="110" spans="1:5" x14ac:dyDescent="0.25">
      <c r="A110" s="184" t="s">
        <v>634</v>
      </c>
    </row>
    <row r="111" spans="1:5" x14ac:dyDescent="0.25">
      <c r="A111" s="184" t="s">
        <v>155</v>
      </c>
    </row>
    <row r="112" spans="1:5" x14ac:dyDescent="0.25">
      <c r="A112" s="184" t="s">
        <v>801</v>
      </c>
    </row>
    <row r="113" spans="1:5" x14ac:dyDescent="0.25">
      <c r="A113" s="184">
        <v>4732001</v>
      </c>
      <c r="B113" s="184" t="s">
        <v>72</v>
      </c>
      <c r="C113" s="184">
        <v>180137.48</v>
      </c>
      <c r="D113" s="184">
        <v>180137.48</v>
      </c>
      <c r="E113" s="184">
        <v>0</v>
      </c>
    </row>
    <row r="114" spans="1:5" x14ac:dyDescent="0.25">
      <c r="C114" s="184">
        <v>180137.48</v>
      </c>
      <c r="D114" s="184">
        <v>180137.48</v>
      </c>
      <c r="E114" s="184">
        <v>0</v>
      </c>
    </row>
    <row r="115" spans="1:5" x14ac:dyDescent="0.25">
      <c r="A115" s="184" t="s">
        <v>637</v>
      </c>
    </row>
    <row r="116" spans="1:5" x14ac:dyDescent="0.25">
      <c r="A116" s="184">
        <v>4732004</v>
      </c>
      <c r="B116" s="184" t="s">
        <v>75</v>
      </c>
      <c r="C116" s="184">
        <v>122008.69</v>
      </c>
      <c r="D116" s="184">
        <v>122008.69</v>
      </c>
      <c r="E116" s="184">
        <v>0</v>
      </c>
    </row>
    <row r="117" spans="1:5" x14ac:dyDescent="0.25">
      <c r="C117" s="184">
        <v>122008.69</v>
      </c>
      <c r="D117" s="184">
        <v>122008.69</v>
      </c>
      <c r="E117" s="184">
        <v>0</v>
      </c>
    </row>
    <row r="118" spans="1:5" x14ac:dyDescent="0.25">
      <c r="A118" s="184">
        <v>4790000</v>
      </c>
      <c r="B118" s="184" t="s">
        <v>802</v>
      </c>
      <c r="C118" s="184">
        <v>-200081.25</v>
      </c>
      <c r="D118" s="184">
        <v>-203191.2</v>
      </c>
      <c r="E118" s="184">
        <v>3109.95</v>
      </c>
    </row>
    <row r="119" spans="1:5" x14ac:dyDescent="0.25">
      <c r="C119" s="184">
        <v>-200081.25</v>
      </c>
      <c r="D119" s="184">
        <v>-203191.2</v>
      </c>
      <c r="E119" s="184">
        <v>3109.95</v>
      </c>
    </row>
    <row r="120" spans="1:5" x14ac:dyDescent="0.25">
      <c r="C120" s="184">
        <v>102064.92</v>
      </c>
      <c r="D120" s="184">
        <v>98954.97</v>
      </c>
      <c r="E120" s="184">
        <v>3109.95</v>
      </c>
    </row>
    <row r="121" spans="1:5" x14ac:dyDescent="0.25">
      <c r="A121" s="184" t="s">
        <v>638</v>
      </c>
    </row>
    <row r="122" spans="1:5" x14ac:dyDescent="0.25">
      <c r="A122" s="184" t="s">
        <v>639</v>
      </c>
    </row>
    <row r="123" spans="1:5" x14ac:dyDescent="0.25">
      <c r="A123" s="184">
        <v>2650000</v>
      </c>
      <c r="B123" s="184" t="s">
        <v>76</v>
      </c>
      <c r="C123" s="184">
        <v>129094.88</v>
      </c>
      <c r="D123" s="184">
        <v>243928.21</v>
      </c>
      <c r="E123" s="184">
        <v>-114833.33</v>
      </c>
    </row>
    <row r="124" spans="1:5" x14ac:dyDescent="0.25">
      <c r="C124" s="184">
        <v>129094.88</v>
      </c>
      <c r="D124" s="184">
        <v>243928.21</v>
      </c>
      <c r="E124" s="184">
        <v>-114833.33</v>
      </c>
    </row>
    <row r="125" spans="1:5" x14ac:dyDescent="0.25">
      <c r="C125" s="184">
        <v>129094.88</v>
      </c>
      <c r="D125" s="184">
        <v>243928.21</v>
      </c>
      <c r="E125" s="184">
        <v>-114833.33</v>
      </c>
    </row>
    <row r="126" spans="1:5" x14ac:dyDescent="0.25">
      <c r="C126" s="184">
        <v>231159.8</v>
      </c>
      <c r="D126" s="184">
        <v>342883.18</v>
      </c>
      <c r="E126" s="184">
        <v>-111723.38</v>
      </c>
    </row>
    <row r="127" spans="1:5" x14ac:dyDescent="0.25">
      <c r="A127" s="184" t="s">
        <v>642</v>
      </c>
      <c r="C127" s="184">
        <v>25608408.649999999</v>
      </c>
      <c r="D127" s="184">
        <v>24014236.300000001</v>
      </c>
      <c r="E127" s="184">
        <v>1594172.35</v>
      </c>
    </row>
    <row r="128" spans="1:5" x14ac:dyDescent="0.25">
      <c r="A128" s="184" t="s">
        <v>643</v>
      </c>
    </row>
    <row r="137" spans="1:5" x14ac:dyDescent="0.25">
      <c r="A137" s="184" t="s">
        <v>644</v>
      </c>
      <c r="E137" s="184" t="s">
        <v>645</v>
      </c>
    </row>
    <row r="138" spans="1:5" x14ac:dyDescent="0.25">
      <c r="A138" s="184" t="s">
        <v>646</v>
      </c>
      <c r="E138" s="184" t="s">
        <v>647</v>
      </c>
    </row>
    <row r="140" spans="1:5" x14ac:dyDescent="0.25">
      <c r="A140" s="184" t="s">
        <v>79</v>
      </c>
    </row>
    <row r="141" spans="1:5" x14ac:dyDescent="0.25">
      <c r="A141" s="184" t="s">
        <v>648</v>
      </c>
    </row>
    <row r="142" spans="1:5" x14ac:dyDescent="0.25">
      <c r="A142" s="184" t="s">
        <v>649</v>
      </c>
    </row>
    <row r="143" spans="1:5" x14ac:dyDescent="0.25">
      <c r="A143" s="184" t="s">
        <v>633</v>
      </c>
    </row>
    <row r="144" spans="1:5" x14ac:dyDescent="0.25">
      <c r="A144" s="184" t="s">
        <v>803</v>
      </c>
    </row>
    <row r="145" spans="1:5" x14ac:dyDescent="0.25">
      <c r="A145" s="184">
        <v>4100003</v>
      </c>
      <c r="B145" s="184" t="s">
        <v>81</v>
      </c>
      <c r="C145" s="184">
        <v>-271533</v>
      </c>
      <c r="D145" s="184">
        <v>-169312.05</v>
      </c>
      <c r="E145" s="184">
        <v>-102220.95</v>
      </c>
    </row>
    <row r="146" spans="1:5" x14ac:dyDescent="0.25">
      <c r="C146" s="184">
        <v>-271533</v>
      </c>
      <c r="D146" s="184">
        <v>-169312.05</v>
      </c>
      <c r="E146" s="184">
        <v>-102220.95</v>
      </c>
    </row>
    <row r="147" spans="1:5" x14ac:dyDescent="0.25">
      <c r="A147" s="184" t="s">
        <v>804</v>
      </c>
    </row>
    <row r="148" spans="1:5" x14ac:dyDescent="0.25">
      <c r="A148" s="184">
        <v>4144000</v>
      </c>
      <c r="B148" s="184" t="s">
        <v>84</v>
      </c>
      <c r="C148" s="184">
        <v>1954.4</v>
      </c>
      <c r="D148" s="184">
        <v>1954.4</v>
      </c>
      <c r="E148" s="184">
        <v>0</v>
      </c>
    </row>
    <row r="149" spans="1:5" x14ac:dyDescent="0.25">
      <c r="C149" s="184">
        <v>1954.4</v>
      </c>
      <c r="D149" s="184">
        <v>1954.4</v>
      </c>
      <c r="E149" s="184">
        <v>0</v>
      </c>
    </row>
    <row r="150" spans="1:5" x14ac:dyDescent="0.25">
      <c r="A150" s="184" t="s">
        <v>650</v>
      </c>
    </row>
    <row r="151" spans="1:5" x14ac:dyDescent="0.25">
      <c r="A151" s="184">
        <v>4100000</v>
      </c>
      <c r="B151" s="184" t="s">
        <v>86</v>
      </c>
      <c r="C151" s="184">
        <v>-1023184.04</v>
      </c>
      <c r="D151" s="184">
        <v>-739521.85</v>
      </c>
      <c r="E151" s="184">
        <v>-283662.19</v>
      </c>
    </row>
    <row r="152" spans="1:5" x14ac:dyDescent="0.25">
      <c r="A152" s="184">
        <v>4100004</v>
      </c>
      <c r="B152" s="184" t="s">
        <v>94</v>
      </c>
      <c r="C152" s="184">
        <v>-15371.98</v>
      </c>
      <c r="D152" s="184">
        <v>-15429.51</v>
      </c>
      <c r="E152" s="184">
        <v>57.53</v>
      </c>
    </row>
    <row r="153" spans="1:5" x14ac:dyDescent="0.25">
      <c r="A153" s="184">
        <v>4104000</v>
      </c>
      <c r="B153" s="184" t="s">
        <v>87</v>
      </c>
      <c r="C153" s="184">
        <v>-2110049.65</v>
      </c>
      <c r="D153" s="184">
        <v>-2128670.41</v>
      </c>
      <c r="E153" s="184">
        <v>18620.759999999998</v>
      </c>
    </row>
    <row r="154" spans="1:5" x14ac:dyDescent="0.25">
      <c r="C154" s="184">
        <v>-3148605.67</v>
      </c>
      <c r="D154" s="184">
        <v>-2883621.77</v>
      </c>
      <c r="E154" s="184">
        <v>-264983.90000000002</v>
      </c>
    </row>
    <row r="155" spans="1:5" x14ac:dyDescent="0.25">
      <c r="A155" s="184" t="s">
        <v>88</v>
      </c>
    </row>
    <row r="156" spans="1:5" x14ac:dyDescent="0.25">
      <c r="A156" s="184">
        <v>4000000</v>
      </c>
      <c r="B156" s="184" t="s">
        <v>89</v>
      </c>
      <c r="C156" s="184">
        <v>-1155570.68</v>
      </c>
      <c r="D156" s="184">
        <v>-1344350.57</v>
      </c>
      <c r="E156" s="184">
        <v>188779.89</v>
      </c>
    </row>
    <row r="157" spans="1:5" x14ac:dyDescent="0.25">
      <c r="A157" s="184">
        <v>4004000</v>
      </c>
      <c r="B157" s="184" t="s">
        <v>90</v>
      </c>
      <c r="C157" s="184">
        <v>-3613213.74</v>
      </c>
      <c r="D157" s="184">
        <v>-3194085.45</v>
      </c>
      <c r="E157" s="184">
        <v>-419128.29</v>
      </c>
    </row>
    <row r="158" spans="1:5" x14ac:dyDescent="0.25">
      <c r="A158" s="184">
        <v>4004099</v>
      </c>
      <c r="B158" s="184" t="s">
        <v>805</v>
      </c>
      <c r="C158" s="184">
        <v>-309435.12</v>
      </c>
      <c r="D158" s="184">
        <v>-952.12</v>
      </c>
      <c r="E158" s="184">
        <v>-308483</v>
      </c>
    </row>
    <row r="159" spans="1:5" x14ac:dyDescent="0.25">
      <c r="A159" s="184">
        <v>4009000</v>
      </c>
      <c r="B159" s="184" t="s">
        <v>91</v>
      </c>
      <c r="C159" s="184">
        <v>-142881.22</v>
      </c>
      <c r="D159" s="184">
        <v>-376651.54</v>
      </c>
      <c r="E159" s="184">
        <v>233770.32</v>
      </c>
    </row>
    <row r="160" spans="1:5" x14ac:dyDescent="0.25">
      <c r="A160" s="184">
        <v>4009002</v>
      </c>
      <c r="B160" s="184" t="s">
        <v>92</v>
      </c>
      <c r="C160" s="184">
        <v>-2353.29</v>
      </c>
      <c r="D160" s="184">
        <v>-7962.75</v>
      </c>
      <c r="E160" s="184">
        <v>5609.46</v>
      </c>
    </row>
    <row r="161" spans="1:5" x14ac:dyDescent="0.25">
      <c r="A161" s="184">
        <v>4030001</v>
      </c>
      <c r="B161" s="184" t="s">
        <v>82</v>
      </c>
      <c r="C161" s="184">
        <v>-1102336.46</v>
      </c>
      <c r="D161" s="184">
        <v>-818998.78</v>
      </c>
      <c r="E161" s="184">
        <v>-283337.68</v>
      </c>
    </row>
    <row r="162" spans="1:5" x14ac:dyDescent="0.25">
      <c r="C162" s="184">
        <v>-6325790.5099999998</v>
      </c>
      <c r="D162" s="184">
        <v>-5743001.21</v>
      </c>
      <c r="E162" s="184">
        <v>-582789.30000000005</v>
      </c>
    </row>
    <row r="163" spans="1:5" x14ac:dyDescent="0.25">
      <c r="A163" s="184" t="s">
        <v>651</v>
      </c>
    </row>
    <row r="164" spans="1:5" x14ac:dyDescent="0.25">
      <c r="A164" s="184">
        <v>4650000</v>
      </c>
      <c r="B164" s="184" t="s">
        <v>95</v>
      </c>
      <c r="C164" s="184">
        <v>-78575.95</v>
      </c>
      <c r="D164" s="184">
        <v>-78575.95</v>
      </c>
      <c r="E164" s="184">
        <v>0</v>
      </c>
    </row>
    <row r="165" spans="1:5" x14ac:dyDescent="0.25">
      <c r="A165" s="184">
        <v>4650003</v>
      </c>
      <c r="B165" s="184" t="s">
        <v>97</v>
      </c>
      <c r="C165" s="184">
        <v>-207642.74</v>
      </c>
      <c r="D165" s="184">
        <v>-208959.16</v>
      </c>
      <c r="E165" s="184">
        <v>1316.42</v>
      </c>
    </row>
    <row r="166" spans="1:5" x14ac:dyDescent="0.25">
      <c r="A166" s="184">
        <v>4650009</v>
      </c>
      <c r="B166" s="184" t="s">
        <v>98</v>
      </c>
      <c r="C166" s="184">
        <v>-1174792.4099999999</v>
      </c>
      <c r="D166" s="184">
        <v>-1156694.8700000001</v>
      </c>
      <c r="E166" s="184">
        <v>-18097.54</v>
      </c>
    </row>
    <row r="167" spans="1:5" x14ac:dyDescent="0.25">
      <c r="A167" s="184">
        <v>4650017</v>
      </c>
      <c r="B167" s="184" t="s">
        <v>99</v>
      </c>
      <c r="C167" s="184">
        <v>-110749.71</v>
      </c>
      <c r="D167" s="184">
        <v>-102727.5</v>
      </c>
      <c r="E167" s="184">
        <v>-8022.21</v>
      </c>
    </row>
    <row r="168" spans="1:5" x14ac:dyDescent="0.25">
      <c r="C168" s="184">
        <v>-1571760.81</v>
      </c>
      <c r="D168" s="184">
        <v>-1546957.48</v>
      </c>
      <c r="E168" s="184">
        <v>-24803.33</v>
      </c>
    </row>
    <row r="169" spans="1:5" x14ac:dyDescent="0.25">
      <c r="A169" s="184" t="s">
        <v>158</v>
      </c>
    </row>
    <row r="170" spans="1:5" x14ac:dyDescent="0.25">
      <c r="A170" s="184">
        <v>4760023</v>
      </c>
      <c r="B170" s="184" t="s">
        <v>102</v>
      </c>
      <c r="C170" s="184">
        <v>-41570.31</v>
      </c>
      <c r="D170" s="184">
        <v>-21033.15</v>
      </c>
      <c r="E170" s="184">
        <v>-20537.16</v>
      </c>
    </row>
    <row r="171" spans="1:5" x14ac:dyDescent="0.25">
      <c r="C171" s="184">
        <v>-41570.31</v>
      </c>
      <c r="D171" s="184">
        <v>-21033.15</v>
      </c>
      <c r="E171" s="184">
        <v>-20537.16</v>
      </c>
    </row>
    <row r="172" spans="1:5" x14ac:dyDescent="0.25">
      <c r="A172" s="184" t="s">
        <v>652</v>
      </c>
    </row>
    <row r="173" spans="1:5" x14ac:dyDescent="0.25">
      <c r="A173" s="184">
        <v>4751007</v>
      </c>
      <c r="B173" s="184" t="s">
        <v>104</v>
      </c>
      <c r="C173" s="184">
        <v>-342963.74</v>
      </c>
      <c r="D173" s="184">
        <v>-339800.72</v>
      </c>
      <c r="E173" s="184">
        <v>-3163.02</v>
      </c>
    </row>
    <row r="174" spans="1:5" x14ac:dyDescent="0.25">
      <c r="C174" s="184">
        <v>-342963.74</v>
      </c>
      <c r="D174" s="184">
        <v>-339800.72</v>
      </c>
      <c r="E174" s="184">
        <v>-3163.02</v>
      </c>
    </row>
    <row r="175" spans="1:5" x14ac:dyDescent="0.25">
      <c r="A175" s="184" t="s">
        <v>654</v>
      </c>
      <c r="C175" s="184">
        <v>-11700269.640000001</v>
      </c>
      <c r="D175" s="184">
        <v>-10701771.98</v>
      </c>
      <c r="E175" s="184">
        <v>-998497.66</v>
      </c>
    </row>
    <row r="176" spans="1:5" x14ac:dyDescent="0.25">
      <c r="A176" s="184" t="s">
        <v>655</v>
      </c>
    </row>
    <row r="178" spans="1:5" x14ac:dyDescent="0.25">
      <c r="A178" s="184" t="s">
        <v>806</v>
      </c>
    </row>
    <row r="179" spans="1:5" x14ac:dyDescent="0.25">
      <c r="A179" s="184" t="s">
        <v>807</v>
      </c>
    </row>
    <row r="180" spans="1:5" x14ac:dyDescent="0.25">
      <c r="A180" s="184">
        <v>4650001</v>
      </c>
      <c r="B180" s="184" t="s">
        <v>96</v>
      </c>
      <c r="C180" s="184">
        <v>-93319.72</v>
      </c>
      <c r="D180" s="184">
        <v>-114943.92</v>
      </c>
      <c r="E180" s="184">
        <v>21624.2</v>
      </c>
    </row>
    <row r="181" spans="1:5" x14ac:dyDescent="0.25">
      <c r="C181" s="184">
        <v>-93319.72</v>
      </c>
      <c r="D181" s="184">
        <v>-114943.92</v>
      </c>
      <c r="E181" s="184">
        <v>21624.2</v>
      </c>
    </row>
    <row r="182" spans="1:5" x14ac:dyDescent="0.25">
      <c r="C182" s="184">
        <v>-93319.72</v>
      </c>
      <c r="D182" s="184">
        <v>-114943.92</v>
      </c>
      <c r="E182" s="184">
        <v>21624.2</v>
      </c>
    </row>
    <row r="183" spans="1:5" x14ac:dyDescent="0.25">
      <c r="A183" s="184" t="s">
        <v>656</v>
      </c>
    </row>
    <row r="184" spans="1:5" x14ac:dyDescent="0.25">
      <c r="A184" s="184" t="s">
        <v>107</v>
      </c>
    </row>
    <row r="185" spans="1:5" x14ac:dyDescent="0.25">
      <c r="A185" s="184">
        <v>1420000</v>
      </c>
      <c r="B185" s="184" t="s">
        <v>108</v>
      </c>
      <c r="C185" s="184">
        <v>63707.92</v>
      </c>
      <c r="D185" s="184">
        <v>40480.32</v>
      </c>
      <c r="E185" s="184">
        <v>23227.599999999999</v>
      </c>
    </row>
    <row r="186" spans="1:5" x14ac:dyDescent="0.25">
      <c r="C186" s="184">
        <v>63707.92</v>
      </c>
      <c r="D186" s="184">
        <v>40480.32</v>
      </c>
      <c r="E186" s="184">
        <v>23227.599999999999</v>
      </c>
    </row>
    <row r="187" spans="1:5" x14ac:dyDescent="0.25">
      <c r="C187" s="184">
        <v>63707.92</v>
      </c>
      <c r="D187" s="184">
        <v>40480.32</v>
      </c>
      <c r="E187" s="184">
        <v>23227.599999999999</v>
      </c>
    </row>
    <row r="188" spans="1:5" x14ac:dyDescent="0.25">
      <c r="A188" s="184" t="s">
        <v>657</v>
      </c>
      <c r="C188" s="184">
        <v>-11729881.439999999</v>
      </c>
      <c r="D188" s="184">
        <v>-10776235.58</v>
      </c>
      <c r="E188" s="184">
        <v>-953645.86</v>
      </c>
    </row>
    <row r="189" spans="1:5" x14ac:dyDescent="0.25">
      <c r="A189" s="184" t="s">
        <v>658</v>
      </c>
    </row>
    <row r="198" spans="1:5" x14ac:dyDescent="0.25">
      <c r="A198" s="184" t="s">
        <v>644</v>
      </c>
      <c r="E198" s="184" t="s">
        <v>645</v>
      </c>
    </row>
    <row r="199" spans="1:5" x14ac:dyDescent="0.25">
      <c r="A199" s="184" t="s">
        <v>646</v>
      </c>
      <c r="E199" s="184" t="s">
        <v>647</v>
      </c>
    </row>
    <row r="201" spans="1:5" x14ac:dyDescent="0.25">
      <c r="A201" s="184" t="s">
        <v>659</v>
      </c>
    </row>
    <row r="202" spans="1:5" x14ac:dyDescent="0.25">
      <c r="A202" s="184" t="s">
        <v>660</v>
      </c>
    </row>
    <row r="203" spans="1:5" x14ac:dyDescent="0.25">
      <c r="A203" s="184" t="s">
        <v>661</v>
      </c>
    </row>
    <row r="204" spans="1:5" x14ac:dyDescent="0.25">
      <c r="A204" s="184">
        <v>1000000</v>
      </c>
      <c r="B204" s="184" t="s">
        <v>111</v>
      </c>
      <c r="C204" s="184">
        <v>-1492894.33</v>
      </c>
      <c r="D204" s="184">
        <v>-1492894.33</v>
      </c>
      <c r="E204" s="184">
        <v>0</v>
      </c>
    </row>
    <row r="205" spans="1:5" x14ac:dyDescent="0.25">
      <c r="C205" s="184">
        <v>-1492894.33</v>
      </c>
      <c r="D205" s="184">
        <v>-1492894.33</v>
      </c>
      <c r="E205" s="184">
        <v>0</v>
      </c>
    </row>
    <row r="206" spans="1:5" x14ac:dyDescent="0.25">
      <c r="C206" s="184">
        <v>-1492894.33</v>
      </c>
      <c r="D206" s="184">
        <v>-1492894.33</v>
      </c>
      <c r="E206" s="184">
        <v>0</v>
      </c>
    </row>
    <row r="207" spans="1:5" x14ac:dyDescent="0.25">
      <c r="A207" s="184" t="s">
        <v>662</v>
      </c>
    </row>
    <row r="208" spans="1:5" x14ac:dyDescent="0.25">
      <c r="A208" s="184" t="s">
        <v>112</v>
      </c>
    </row>
    <row r="209" spans="1:5" x14ac:dyDescent="0.25">
      <c r="A209" s="184">
        <v>1120000</v>
      </c>
      <c r="B209" s="184" t="s">
        <v>112</v>
      </c>
      <c r="C209" s="184">
        <v>-817113.77</v>
      </c>
      <c r="D209" s="184">
        <v>-817113.77</v>
      </c>
      <c r="E209" s="184">
        <v>0</v>
      </c>
    </row>
    <row r="210" spans="1:5" x14ac:dyDescent="0.25">
      <c r="C210" s="184">
        <v>-817113.77</v>
      </c>
      <c r="D210" s="184">
        <v>-817113.77</v>
      </c>
      <c r="E210" s="184">
        <v>0</v>
      </c>
    </row>
    <row r="211" spans="1:5" x14ac:dyDescent="0.25">
      <c r="C211" s="184">
        <v>-817113.77</v>
      </c>
      <c r="D211" s="184">
        <v>-817113.77</v>
      </c>
      <c r="E211" s="184">
        <v>0</v>
      </c>
    </row>
    <row r="212" spans="1:5" x14ac:dyDescent="0.25">
      <c r="A212" s="184" t="s">
        <v>663</v>
      </c>
    </row>
    <row r="213" spans="1:5" x14ac:dyDescent="0.25">
      <c r="A213" s="184" t="s">
        <v>663</v>
      </c>
    </row>
    <row r="214" spans="1:5" x14ac:dyDescent="0.25">
      <c r="A214" s="184">
        <v>1210000</v>
      </c>
      <c r="B214" s="184" t="s">
        <v>664</v>
      </c>
      <c r="C214" s="184">
        <v>-4451643.03</v>
      </c>
      <c r="D214" s="184">
        <v>-4451643.03</v>
      </c>
      <c r="E214" s="184">
        <v>0</v>
      </c>
    </row>
    <row r="215" spans="1:5" x14ac:dyDescent="0.25">
      <c r="C215" s="184">
        <v>-4451643.03</v>
      </c>
      <c r="D215" s="184">
        <v>-4451643.03</v>
      </c>
      <c r="E215" s="184">
        <v>0</v>
      </c>
    </row>
    <row r="216" spans="1:5" x14ac:dyDescent="0.25">
      <c r="C216" s="184">
        <v>-4451643.03</v>
      </c>
      <c r="D216" s="184">
        <v>-4451643.03</v>
      </c>
      <c r="E216" s="184">
        <v>0</v>
      </c>
    </row>
    <row r="217" spans="1:5" x14ac:dyDescent="0.25">
      <c r="A217" s="184" t="s">
        <v>665</v>
      </c>
    </row>
    <row r="218" spans="1:5" x14ac:dyDescent="0.25">
      <c r="A218" s="184" t="s">
        <v>665</v>
      </c>
    </row>
    <row r="219" spans="1:5" x14ac:dyDescent="0.25">
      <c r="A219" s="184">
        <v>1200000</v>
      </c>
      <c r="B219" s="184" t="s">
        <v>666</v>
      </c>
      <c r="C219" s="184">
        <v>-5625665.1699999999</v>
      </c>
      <c r="D219" s="184">
        <v>-5625665.1699999999</v>
      </c>
      <c r="E219" s="184">
        <v>0</v>
      </c>
    </row>
    <row r="220" spans="1:5" x14ac:dyDescent="0.25">
      <c r="C220" s="184">
        <v>-5625665.1699999999</v>
      </c>
      <c r="D220" s="184">
        <v>-5625665.1699999999</v>
      </c>
      <c r="E220" s="184">
        <v>0</v>
      </c>
    </row>
    <row r="221" spans="1:5" x14ac:dyDescent="0.25">
      <c r="C221" s="184">
        <v>-5625665.1699999999</v>
      </c>
      <c r="D221" s="184">
        <v>-5625665.1699999999</v>
      </c>
      <c r="E221" s="184">
        <v>0</v>
      </c>
    </row>
    <row r="222" spans="1:5" x14ac:dyDescent="0.25">
      <c r="C222" s="184">
        <v>-12387316.300000001</v>
      </c>
      <c r="D222" s="184">
        <v>-12387316.300000001</v>
      </c>
      <c r="E222" s="184">
        <v>0</v>
      </c>
    </row>
    <row r="229" spans="1:5" x14ac:dyDescent="0.25">
      <c r="A229" s="184" t="s">
        <v>644</v>
      </c>
      <c r="E229" s="184" t="s">
        <v>645</v>
      </c>
    </row>
    <row r="230" spans="1:5" x14ac:dyDescent="0.25">
      <c r="A230" s="184" t="s">
        <v>646</v>
      </c>
      <c r="E230" s="184" t="s">
        <v>647</v>
      </c>
    </row>
    <row r="232" spans="1:5" x14ac:dyDescent="0.25">
      <c r="A232" s="184" t="s">
        <v>392</v>
      </c>
      <c r="C232" s="184">
        <v>-13878527.210000001</v>
      </c>
      <c r="D232" s="184">
        <v>-13238000.720000001</v>
      </c>
      <c r="E232" s="184">
        <v>-640526.49</v>
      </c>
    </row>
    <row r="242" spans="1:5" x14ac:dyDescent="0.25">
      <c r="A242" s="184" t="s">
        <v>644</v>
      </c>
      <c r="E242" s="184" t="s">
        <v>645</v>
      </c>
    </row>
    <row r="243" spans="1:5" x14ac:dyDescent="0.25">
      <c r="A243" s="184" t="s">
        <v>646</v>
      </c>
      <c r="E243" s="184" t="s">
        <v>647</v>
      </c>
    </row>
    <row r="245" spans="1:5" x14ac:dyDescent="0.25">
      <c r="A245" s="184" t="s">
        <v>667</v>
      </c>
    </row>
    <row r="246" spans="1:5" x14ac:dyDescent="0.25">
      <c r="A246" s="184" t="s">
        <v>668</v>
      </c>
    </row>
    <row r="247" spans="1:5" x14ac:dyDescent="0.25">
      <c r="A247" s="184" t="s">
        <v>808</v>
      </c>
    </row>
    <row r="248" spans="1:5" x14ac:dyDescent="0.25">
      <c r="A248" s="184">
        <v>7000000</v>
      </c>
      <c r="B248" s="184" t="s">
        <v>809</v>
      </c>
      <c r="C248" s="184">
        <v>-838122.76</v>
      </c>
      <c r="D248" s="184">
        <v>-609581</v>
      </c>
      <c r="E248" s="184">
        <v>-228541.76</v>
      </c>
    </row>
    <row r="249" spans="1:5" x14ac:dyDescent="0.25">
      <c r="A249" s="184">
        <v>7004000</v>
      </c>
      <c r="B249" s="184" t="s">
        <v>550</v>
      </c>
      <c r="C249" s="184">
        <v>-8772106.6400000006</v>
      </c>
      <c r="D249" s="184">
        <v>-6216757.29</v>
      </c>
      <c r="E249" s="184">
        <v>-2555349.35</v>
      </c>
    </row>
    <row r="250" spans="1:5" x14ac:dyDescent="0.25">
      <c r="C250" s="184">
        <v>-9610229.4000000004</v>
      </c>
      <c r="D250" s="184">
        <v>-6826338.29</v>
      </c>
      <c r="E250" s="184">
        <v>-2783891.11</v>
      </c>
    </row>
    <row r="251" spans="1:5" x14ac:dyDescent="0.25">
      <c r="A251" s="184" t="s">
        <v>808</v>
      </c>
      <c r="C251" s="184">
        <v>-9610229.4000000004</v>
      </c>
      <c r="D251" s="184">
        <v>-6826338.29</v>
      </c>
      <c r="E251" s="184">
        <v>-2783891.11</v>
      </c>
    </row>
    <row r="253" spans="1:5" x14ac:dyDescent="0.25">
      <c r="A253" s="184" t="s">
        <v>669</v>
      </c>
    </row>
    <row r="254" spans="1:5" x14ac:dyDescent="0.25">
      <c r="A254" s="184">
        <v>7072008</v>
      </c>
      <c r="B254" s="184" t="s">
        <v>670</v>
      </c>
      <c r="C254" s="184">
        <v>-9760</v>
      </c>
      <c r="D254" s="184">
        <v>-6560</v>
      </c>
      <c r="E254" s="184">
        <v>-3200</v>
      </c>
    </row>
    <row r="255" spans="1:5" x14ac:dyDescent="0.25">
      <c r="C255" s="184">
        <v>-9760</v>
      </c>
      <c r="D255" s="184">
        <v>-6560</v>
      </c>
      <c r="E255" s="184">
        <v>-3200</v>
      </c>
    </row>
    <row r="256" spans="1:5" x14ac:dyDescent="0.25">
      <c r="A256" s="184">
        <v>7000020</v>
      </c>
      <c r="B256" s="184" t="s">
        <v>563</v>
      </c>
      <c r="C256" s="184">
        <v>-130169.86</v>
      </c>
      <c r="D256" s="184">
        <v>-130169.86</v>
      </c>
      <c r="E256" s="184">
        <v>0</v>
      </c>
    </row>
    <row r="257" spans="1:5" x14ac:dyDescent="0.25">
      <c r="C257" s="184">
        <v>-130169.86</v>
      </c>
      <c r="D257" s="184">
        <v>-130169.86</v>
      </c>
      <c r="E257" s="184">
        <v>0</v>
      </c>
    </row>
    <row r="258" spans="1:5" x14ac:dyDescent="0.25">
      <c r="A258" s="184" t="s">
        <v>669</v>
      </c>
      <c r="C258" s="184">
        <v>-139929.85999999999</v>
      </c>
      <c r="D258" s="184">
        <v>-136729.85999999999</v>
      </c>
      <c r="E258" s="184">
        <v>-3200</v>
      </c>
    </row>
    <row r="260" spans="1:5" x14ac:dyDescent="0.25">
      <c r="A260" s="184" t="s">
        <v>667</v>
      </c>
      <c r="C260" s="184">
        <v>-9750159.2599999998</v>
      </c>
      <c r="D260" s="184">
        <v>-6963068.1500000004</v>
      </c>
      <c r="E260" s="184">
        <v>-2787091.11</v>
      </c>
    </row>
    <row r="261" spans="1:5" x14ac:dyDescent="0.25">
      <c r="A261" s="184" t="s">
        <v>668</v>
      </c>
    </row>
    <row r="270" spans="1:5" x14ac:dyDescent="0.25">
      <c r="A270" s="184" t="s">
        <v>644</v>
      </c>
      <c r="E270" s="184" t="s">
        <v>645</v>
      </c>
    </row>
    <row r="271" spans="1:5" x14ac:dyDescent="0.25">
      <c r="A271" s="184" t="s">
        <v>646</v>
      </c>
      <c r="E271" s="184" t="s">
        <v>647</v>
      </c>
    </row>
    <row r="273" spans="1:5" x14ac:dyDescent="0.25">
      <c r="A273" s="184" t="s">
        <v>810</v>
      </c>
    </row>
    <row r="274" spans="1:5" x14ac:dyDescent="0.25">
      <c r="A274" s="184" t="s">
        <v>810</v>
      </c>
    </row>
    <row r="275" spans="1:5" x14ac:dyDescent="0.25">
      <c r="A275" s="184">
        <v>6241913</v>
      </c>
      <c r="B275" s="184" t="s">
        <v>811</v>
      </c>
      <c r="C275" s="184">
        <v>99384.36</v>
      </c>
      <c r="D275" s="184">
        <v>91935.66</v>
      </c>
      <c r="E275" s="184">
        <v>7448.7</v>
      </c>
    </row>
    <row r="276" spans="1:5" x14ac:dyDescent="0.25">
      <c r="C276" s="184">
        <v>99384.36</v>
      </c>
      <c r="D276" s="184">
        <v>91935.66</v>
      </c>
      <c r="E276" s="184">
        <v>7448.7</v>
      </c>
    </row>
    <row r="277" spans="1:5" x14ac:dyDescent="0.25">
      <c r="A277" s="184">
        <v>6241912</v>
      </c>
      <c r="B277" s="184" t="s">
        <v>812</v>
      </c>
      <c r="C277" s="184">
        <v>34394.800000000003</v>
      </c>
      <c r="D277" s="184">
        <v>27434.65</v>
      </c>
      <c r="E277" s="184">
        <v>6960.15</v>
      </c>
    </row>
    <row r="278" spans="1:5" x14ac:dyDescent="0.25">
      <c r="C278" s="184">
        <v>34394.800000000003</v>
      </c>
      <c r="D278" s="184">
        <v>27434.65</v>
      </c>
      <c r="E278" s="184">
        <v>6960.15</v>
      </c>
    </row>
    <row r="279" spans="1:5" x14ac:dyDescent="0.25">
      <c r="A279" s="184">
        <v>6241915</v>
      </c>
      <c r="B279" s="184" t="s">
        <v>813</v>
      </c>
      <c r="C279" s="184">
        <v>27005.29</v>
      </c>
      <c r="D279" s="184">
        <v>23605.279999999999</v>
      </c>
      <c r="E279" s="184">
        <v>3400.01</v>
      </c>
    </row>
    <row r="280" spans="1:5" x14ac:dyDescent="0.25">
      <c r="C280" s="184">
        <v>27005.29</v>
      </c>
      <c r="D280" s="184">
        <v>23605.279999999999</v>
      </c>
      <c r="E280" s="184">
        <v>3400.01</v>
      </c>
    </row>
    <row r="281" spans="1:5" x14ac:dyDescent="0.25">
      <c r="A281" s="184">
        <v>6241911</v>
      </c>
      <c r="B281" s="184" t="s">
        <v>814</v>
      </c>
      <c r="C281" s="184">
        <v>420396.61</v>
      </c>
      <c r="D281" s="184">
        <v>236103.58</v>
      </c>
      <c r="E281" s="184">
        <v>184293.03</v>
      </c>
    </row>
    <row r="282" spans="1:5" x14ac:dyDescent="0.25">
      <c r="C282" s="184">
        <v>420396.61</v>
      </c>
      <c r="D282" s="184">
        <v>236103.58</v>
      </c>
      <c r="E282" s="184">
        <v>184293.03</v>
      </c>
    </row>
    <row r="283" spans="1:5" x14ac:dyDescent="0.25">
      <c r="A283" s="184">
        <v>6653000</v>
      </c>
      <c r="B283" s="184" t="s">
        <v>815</v>
      </c>
      <c r="C283" s="184">
        <v>43237.51</v>
      </c>
      <c r="D283" s="184">
        <v>32475.87</v>
      </c>
      <c r="E283" s="184">
        <v>10761.64</v>
      </c>
    </row>
    <row r="284" spans="1:5" x14ac:dyDescent="0.25">
      <c r="C284" s="184">
        <v>43237.51</v>
      </c>
      <c r="D284" s="184">
        <v>32475.87</v>
      </c>
      <c r="E284" s="184">
        <v>10761.64</v>
      </c>
    </row>
    <row r="285" spans="1:5" x14ac:dyDescent="0.25">
      <c r="A285" s="184" t="s">
        <v>810</v>
      </c>
      <c r="C285" s="184">
        <v>624418.56999999995</v>
      </c>
      <c r="D285" s="184">
        <v>411555.04</v>
      </c>
      <c r="E285" s="184">
        <v>212863.53</v>
      </c>
    </row>
    <row r="287" spans="1:5" x14ac:dyDescent="0.25">
      <c r="A287" s="184" t="s">
        <v>810</v>
      </c>
      <c r="C287" s="184">
        <v>624418.56999999995</v>
      </c>
      <c r="D287" s="184">
        <v>411555.04</v>
      </c>
      <c r="E287" s="184">
        <v>212863.53</v>
      </c>
    </row>
    <row r="296" spans="1:5" x14ac:dyDescent="0.25">
      <c r="A296" s="184" t="s">
        <v>644</v>
      </c>
      <c r="E296" s="184" t="s">
        <v>645</v>
      </c>
    </row>
    <row r="297" spans="1:5" x14ac:dyDescent="0.25">
      <c r="A297" s="184" t="s">
        <v>646</v>
      </c>
      <c r="E297" s="184" t="s">
        <v>647</v>
      </c>
    </row>
    <row r="299" spans="1:5" x14ac:dyDescent="0.25">
      <c r="A299" s="184" t="s">
        <v>671</v>
      </c>
    </row>
    <row r="300" spans="1:5" x14ac:dyDescent="0.25">
      <c r="A300" s="184" t="s">
        <v>672</v>
      </c>
    </row>
    <row r="301" spans="1:5" x14ac:dyDescent="0.25">
      <c r="A301" s="184">
        <v>6230000</v>
      </c>
      <c r="B301" s="184" t="s">
        <v>816</v>
      </c>
      <c r="C301" s="184">
        <v>155100.57</v>
      </c>
      <c r="D301" s="184">
        <v>111930.09</v>
      </c>
      <c r="E301" s="184">
        <v>43170.48</v>
      </c>
    </row>
    <row r="302" spans="1:5" x14ac:dyDescent="0.25">
      <c r="C302" s="184">
        <v>155100.57</v>
      </c>
      <c r="D302" s="184">
        <v>111930.09</v>
      </c>
      <c r="E302" s="184">
        <v>43170.48</v>
      </c>
    </row>
    <row r="303" spans="1:5" x14ac:dyDescent="0.25">
      <c r="A303" s="184">
        <v>6240000</v>
      </c>
      <c r="B303" s="184" t="s">
        <v>558</v>
      </c>
      <c r="C303" s="184">
        <v>198354.28</v>
      </c>
      <c r="D303" s="184">
        <v>143649.49</v>
      </c>
      <c r="E303" s="184">
        <v>54704.79</v>
      </c>
    </row>
    <row r="304" spans="1:5" x14ac:dyDescent="0.25">
      <c r="C304" s="184">
        <v>198354.28</v>
      </c>
      <c r="D304" s="184">
        <v>143649.49</v>
      </c>
      <c r="E304" s="184">
        <v>54704.79</v>
      </c>
    </row>
    <row r="305" spans="1:5" x14ac:dyDescent="0.25">
      <c r="A305" s="184">
        <v>6242000</v>
      </c>
      <c r="B305" s="184" t="s">
        <v>673</v>
      </c>
      <c r="C305" s="184">
        <v>444.01</v>
      </c>
      <c r="D305" s="184">
        <v>0</v>
      </c>
      <c r="E305" s="184">
        <v>444.01</v>
      </c>
    </row>
    <row r="306" spans="1:5" x14ac:dyDescent="0.25">
      <c r="C306" s="184">
        <v>444.01</v>
      </c>
      <c r="D306" s="184">
        <v>0</v>
      </c>
      <c r="E306" s="184">
        <v>444.01</v>
      </c>
    </row>
    <row r="307" spans="1:5" x14ac:dyDescent="0.25">
      <c r="A307" s="184">
        <v>6241910</v>
      </c>
      <c r="B307" s="184" t="s">
        <v>674</v>
      </c>
      <c r="C307" s="184">
        <v>111325.9</v>
      </c>
      <c r="D307" s="184">
        <v>75038.59</v>
      </c>
      <c r="E307" s="184">
        <v>36287.31</v>
      </c>
    </row>
    <row r="308" spans="1:5" x14ac:dyDescent="0.25">
      <c r="C308" s="184">
        <v>111325.9</v>
      </c>
      <c r="D308" s="184">
        <v>75038.59</v>
      </c>
      <c r="E308" s="184">
        <v>36287.31</v>
      </c>
    </row>
    <row r="309" spans="1:5" x14ac:dyDescent="0.25">
      <c r="A309" s="184">
        <v>6251901</v>
      </c>
      <c r="B309" s="184" t="s">
        <v>675</v>
      </c>
      <c r="C309" s="184">
        <v>23359.06</v>
      </c>
      <c r="D309" s="184">
        <v>19141.310000000001</v>
      </c>
      <c r="E309" s="184">
        <v>4217.75</v>
      </c>
    </row>
    <row r="310" spans="1:5" x14ac:dyDescent="0.25">
      <c r="A310" s="184">
        <v>6270407</v>
      </c>
      <c r="B310" s="184" t="s">
        <v>817</v>
      </c>
      <c r="C310" s="184">
        <v>2521.77</v>
      </c>
      <c r="D310" s="184">
        <v>2521.77</v>
      </c>
      <c r="E310" s="184">
        <v>0</v>
      </c>
    </row>
    <row r="311" spans="1:5" x14ac:dyDescent="0.25">
      <c r="A311" s="184">
        <v>6297200</v>
      </c>
      <c r="B311" s="184" t="s">
        <v>676</v>
      </c>
      <c r="C311" s="184">
        <v>120537.37</v>
      </c>
      <c r="D311" s="184">
        <v>82451.81</v>
      </c>
      <c r="E311" s="184">
        <v>38085.56</v>
      </c>
    </row>
    <row r="312" spans="1:5" x14ac:dyDescent="0.25">
      <c r="A312" s="184">
        <v>6299611</v>
      </c>
      <c r="B312" s="184" t="s">
        <v>818</v>
      </c>
      <c r="C312" s="184">
        <v>92753.36</v>
      </c>
      <c r="D312" s="184">
        <v>68187.509999999995</v>
      </c>
      <c r="E312" s="184">
        <v>24565.85</v>
      </c>
    </row>
    <row r="313" spans="1:5" x14ac:dyDescent="0.25">
      <c r="A313" s="184">
        <v>6400000</v>
      </c>
      <c r="B313" s="184" t="s">
        <v>677</v>
      </c>
      <c r="C313" s="184">
        <v>592473.43000000005</v>
      </c>
      <c r="D313" s="184">
        <v>498505.46</v>
      </c>
      <c r="E313" s="184">
        <v>93967.97</v>
      </c>
    </row>
    <row r="314" spans="1:5" x14ac:dyDescent="0.25">
      <c r="A314" s="184">
        <v>6400001</v>
      </c>
      <c r="B314" s="184" t="s">
        <v>678</v>
      </c>
      <c r="C314" s="184">
        <v>108756.75</v>
      </c>
      <c r="D314" s="184">
        <v>80505.86</v>
      </c>
      <c r="E314" s="184">
        <v>28250.89</v>
      </c>
    </row>
    <row r="315" spans="1:5" x14ac:dyDescent="0.25">
      <c r="A315" s="184">
        <v>6401001</v>
      </c>
      <c r="B315" s="184" t="s">
        <v>679</v>
      </c>
      <c r="C315" s="184">
        <v>-233019.43</v>
      </c>
      <c r="D315" s="184">
        <v>-219506.2</v>
      </c>
      <c r="E315" s="184">
        <v>-13513.23</v>
      </c>
    </row>
    <row r="316" spans="1:5" x14ac:dyDescent="0.25">
      <c r="A316" s="184">
        <v>6401002</v>
      </c>
      <c r="B316" s="184" t="s">
        <v>680</v>
      </c>
      <c r="C316" s="184">
        <v>95146.45</v>
      </c>
      <c r="D316" s="184">
        <v>75449.88</v>
      </c>
      <c r="E316" s="184">
        <v>19696.57</v>
      </c>
    </row>
    <row r="317" spans="1:5" x14ac:dyDescent="0.25">
      <c r="A317" s="184">
        <v>6410000</v>
      </c>
      <c r="B317" s="184" t="s">
        <v>547</v>
      </c>
      <c r="C317" s="184">
        <v>29523.98</v>
      </c>
      <c r="D317" s="184">
        <v>49890.239999999998</v>
      </c>
      <c r="E317" s="184">
        <v>-20366.259999999998</v>
      </c>
    </row>
    <row r="318" spans="1:5" x14ac:dyDescent="0.25">
      <c r="A318" s="184">
        <v>6420000</v>
      </c>
      <c r="B318" s="184" t="s">
        <v>681</v>
      </c>
      <c r="C318" s="184">
        <v>178799.84</v>
      </c>
      <c r="D318" s="184">
        <v>90817.73</v>
      </c>
      <c r="E318" s="184">
        <v>87982.11</v>
      </c>
    </row>
    <row r="319" spans="1:5" x14ac:dyDescent="0.25">
      <c r="C319" s="184">
        <v>1010852.58</v>
      </c>
      <c r="D319" s="184">
        <v>747965.37</v>
      </c>
      <c r="E319" s="184">
        <v>262887.21000000002</v>
      </c>
    </row>
    <row r="320" spans="1:5" x14ac:dyDescent="0.25">
      <c r="A320" s="184">
        <v>6211200</v>
      </c>
      <c r="B320" s="184" t="s">
        <v>682</v>
      </c>
      <c r="C320" s="184">
        <v>24375.61</v>
      </c>
      <c r="D320" s="184">
        <v>16825.68</v>
      </c>
      <c r="E320" s="184">
        <v>7549.93</v>
      </c>
    </row>
    <row r="321" spans="1:5" x14ac:dyDescent="0.25">
      <c r="A321" s="184">
        <v>6251030</v>
      </c>
      <c r="B321" s="184" t="s">
        <v>683</v>
      </c>
      <c r="C321" s="184">
        <v>1715.32</v>
      </c>
      <c r="D321" s="184">
        <v>1288.03</v>
      </c>
      <c r="E321" s="184">
        <v>427.29</v>
      </c>
    </row>
    <row r="322" spans="1:5" x14ac:dyDescent="0.25">
      <c r="A322" s="184">
        <v>6281100</v>
      </c>
      <c r="B322" s="184" t="s">
        <v>730</v>
      </c>
      <c r="C322" s="184">
        <v>627.01</v>
      </c>
      <c r="D322" s="184">
        <v>495.28</v>
      </c>
      <c r="E322" s="184">
        <v>131.72999999999999</v>
      </c>
    </row>
    <row r="323" spans="1:5" x14ac:dyDescent="0.25">
      <c r="A323" s="184">
        <v>6283100</v>
      </c>
      <c r="B323" s="184" t="s">
        <v>684</v>
      </c>
      <c r="C323" s="184">
        <v>2308.6</v>
      </c>
      <c r="D323" s="184">
        <v>1574.96</v>
      </c>
      <c r="E323" s="184">
        <v>733.64</v>
      </c>
    </row>
    <row r="324" spans="1:5" x14ac:dyDescent="0.25">
      <c r="A324" s="184">
        <v>6290600</v>
      </c>
      <c r="B324" s="184" t="s">
        <v>685</v>
      </c>
      <c r="C324" s="184">
        <v>947.29</v>
      </c>
      <c r="D324" s="184">
        <v>731.93</v>
      </c>
      <c r="E324" s="184">
        <v>215.36</v>
      </c>
    </row>
    <row r="325" spans="1:5" x14ac:dyDescent="0.25">
      <c r="A325" s="184">
        <v>6299900</v>
      </c>
      <c r="B325" s="184" t="s">
        <v>686</v>
      </c>
      <c r="C325" s="184">
        <v>-34088.480000000003</v>
      </c>
      <c r="D325" s="184">
        <v>-53123.56</v>
      </c>
      <c r="E325" s="184">
        <v>19035.080000000002</v>
      </c>
    </row>
    <row r="326" spans="1:5" x14ac:dyDescent="0.25">
      <c r="A326" s="184">
        <v>6492603</v>
      </c>
      <c r="B326" s="184" t="s">
        <v>819</v>
      </c>
      <c r="C326" s="184">
        <v>121.97</v>
      </c>
      <c r="D326" s="184">
        <v>121.97</v>
      </c>
      <c r="E326" s="184">
        <v>0</v>
      </c>
    </row>
    <row r="327" spans="1:5" x14ac:dyDescent="0.25">
      <c r="C327" s="184">
        <v>-3992.68</v>
      </c>
      <c r="D327" s="184">
        <v>-32085.71</v>
      </c>
      <c r="E327" s="184">
        <v>28093.03</v>
      </c>
    </row>
    <row r="328" spans="1:5" x14ac:dyDescent="0.25">
      <c r="A328" s="184" t="s">
        <v>672</v>
      </c>
      <c r="C328" s="184">
        <v>1472084.66</v>
      </c>
      <c r="D328" s="184">
        <v>1046497.83</v>
      </c>
      <c r="E328" s="184">
        <v>425586.83</v>
      </c>
    </row>
    <row r="330" spans="1:5" x14ac:dyDescent="0.25">
      <c r="A330" s="184" t="s">
        <v>687</v>
      </c>
    </row>
    <row r="331" spans="1:5" x14ac:dyDescent="0.25">
      <c r="A331" s="184">
        <v>6000100</v>
      </c>
      <c r="B331" s="184" t="s">
        <v>688</v>
      </c>
      <c r="C331" s="184">
        <v>5144230.18</v>
      </c>
      <c r="D331" s="184">
        <v>3819314.96</v>
      </c>
      <c r="E331" s="184">
        <v>1324915.22</v>
      </c>
    </row>
    <row r="332" spans="1:5" x14ac:dyDescent="0.25">
      <c r="A332" s="184">
        <v>6000150</v>
      </c>
      <c r="B332" s="184" t="s">
        <v>820</v>
      </c>
      <c r="C332" s="184">
        <v>29009.38</v>
      </c>
      <c r="D332" s="184">
        <v>27939.89</v>
      </c>
      <c r="E332" s="184">
        <v>1069.49</v>
      </c>
    </row>
    <row r="333" spans="1:5" x14ac:dyDescent="0.25">
      <c r="A333" s="184">
        <v>6008202</v>
      </c>
      <c r="B333" s="184" t="s">
        <v>690</v>
      </c>
      <c r="C333" s="184">
        <v>3789.71</v>
      </c>
      <c r="D333" s="184">
        <v>3714.71</v>
      </c>
      <c r="E333" s="184">
        <v>75</v>
      </c>
    </row>
    <row r="334" spans="1:5" x14ac:dyDescent="0.25">
      <c r="A334" s="184">
        <v>6008400</v>
      </c>
      <c r="B334" s="184" t="s">
        <v>691</v>
      </c>
      <c r="C334" s="184">
        <v>68506.149999999994</v>
      </c>
      <c r="D334" s="184">
        <v>53277.18</v>
      </c>
      <c r="E334" s="184">
        <v>15228.97</v>
      </c>
    </row>
    <row r="335" spans="1:5" x14ac:dyDescent="0.25">
      <c r="A335" s="184">
        <v>6008900</v>
      </c>
      <c r="B335" s="184" t="s">
        <v>692</v>
      </c>
      <c r="C335" s="184">
        <v>106907.87</v>
      </c>
      <c r="D335" s="184">
        <v>83264.08</v>
      </c>
      <c r="E335" s="184">
        <v>23643.79</v>
      </c>
    </row>
    <row r="336" spans="1:5" x14ac:dyDescent="0.25">
      <c r="A336" s="184">
        <v>6009000</v>
      </c>
      <c r="B336" s="184" t="s">
        <v>693</v>
      </c>
      <c r="C336" s="184">
        <v>350.36</v>
      </c>
      <c r="D336" s="184">
        <v>350.36</v>
      </c>
      <c r="E336" s="184">
        <v>0</v>
      </c>
    </row>
    <row r="337" spans="1:5" x14ac:dyDescent="0.25">
      <c r="A337" s="184">
        <v>6009900</v>
      </c>
      <c r="B337" s="184" t="s">
        <v>821</v>
      </c>
      <c r="C337" s="184">
        <v>1307.69</v>
      </c>
      <c r="D337" s="184">
        <v>1307.69</v>
      </c>
      <c r="E337" s="184">
        <v>0</v>
      </c>
    </row>
    <row r="338" spans="1:5" x14ac:dyDescent="0.25">
      <c r="A338" s="184">
        <v>6030000</v>
      </c>
      <c r="B338" s="184" t="s">
        <v>694</v>
      </c>
      <c r="C338" s="184">
        <v>189693.38</v>
      </c>
      <c r="D338" s="184">
        <v>187968.36</v>
      </c>
      <c r="E338" s="184">
        <v>1725.02</v>
      </c>
    </row>
    <row r="339" spans="1:5" x14ac:dyDescent="0.25">
      <c r="A339" s="184">
        <v>6031000</v>
      </c>
      <c r="B339" s="184" t="s">
        <v>695</v>
      </c>
      <c r="C339" s="184">
        <v>235.73</v>
      </c>
      <c r="D339" s="184">
        <v>235.73</v>
      </c>
      <c r="E339" s="184">
        <v>0</v>
      </c>
    </row>
    <row r="340" spans="1:5" x14ac:dyDescent="0.25">
      <c r="A340" s="184">
        <v>6235000</v>
      </c>
      <c r="B340" s="184" t="s">
        <v>708</v>
      </c>
      <c r="C340" s="184">
        <v>750</v>
      </c>
      <c r="D340" s="184">
        <v>0</v>
      </c>
      <c r="E340" s="184">
        <v>750</v>
      </c>
    </row>
    <row r="341" spans="1:5" x14ac:dyDescent="0.25">
      <c r="A341" s="184">
        <v>6239030</v>
      </c>
      <c r="B341" s="184" t="s">
        <v>822</v>
      </c>
      <c r="C341" s="184">
        <v>128.99</v>
      </c>
      <c r="D341" s="184">
        <v>47.73</v>
      </c>
      <c r="E341" s="184">
        <v>81.260000000000005</v>
      </c>
    </row>
    <row r="342" spans="1:5" x14ac:dyDescent="0.25">
      <c r="A342" s="184">
        <v>6280600</v>
      </c>
      <c r="B342" s="184" t="s">
        <v>711</v>
      </c>
      <c r="C342" s="184">
        <v>11.76</v>
      </c>
      <c r="D342" s="184">
        <v>11.76</v>
      </c>
      <c r="E342" s="184">
        <v>0</v>
      </c>
    </row>
    <row r="343" spans="1:5" x14ac:dyDescent="0.25">
      <c r="A343" s="184">
        <v>6810201</v>
      </c>
      <c r="B343" s="184" t="s">
        <v>562</v>
      </c>
      <c r="C343" s="184">
        <v>-12528.64</v>
      </c>
      <c r="D343" s="184">
        <v>-6615.89</v>
      </c>
      <c r="E343" s="184">
        <v>-5912.75</v>
      </c>
    </row>
    <row r="344" spans="1:5" x14ac:dyDescent="0.25">
      <c r="A344" s="184">
        <v>7100000</v>
      </c>
      <c r="B344" s="184" t="s">
        <v>551</v>
      </c>
      <c r="C344" s="184">
        <v>-1962337.07</v>
      </c>
      <c r="D344" s="184">
        <v>-1698171.91</v>
      </c>
      <c r="E344" s="184">
        <v>-264165.15999999997</v>
      </c>
    </row>
    <row r="345" spans="1:5" x14ac:dyDescent="0.25">
      <c r="C345" s="184">
        <v>3570055.49</v>
      </c>
      <c r="D345" s="184">
        <v>2472644.65</v>
      </c>
      <c r="E345" s="184">
        <v>1097410.8400000001</v>
      </c>
    </row>
    <row r="346" spans="1:5" x14ac:dyDescent="0.25">
      <c r="A346" s="184" t="s">
        <v>687</v>
      </c>
      <c r="C346" s="184">
        <v>3570055.49</v>
      </c>
      <c r="D346" s="184">
        <v>2472644.65</v>
      </c>
      <c r="E346" s="184">
        <v>1097410.8400000001</v>
      </c>
    </row>
    <row r="348" spans="1:5" x14ac:dyDescent="0.25">
      <c r="A348" s="184" t="s">
        <v>671</v>
      </c>
      <c r="C348" s="184">
        <v>5042140.1500000004</v>
      </c>
      <c r="D348" s="184">
        <v>3519142.48</v>
      </c>
      <c r="E348" s="184">
        <v>1522997.67</v>
      </c>
    </row>
    <row r="357" spans="1:5" x14ac:dyDescent="0.25">
      <c r="A357" s="184" t="s">
        <v>644</v>
      </c>
      <c r="E357" s="184" t="s">
        <v>645</v>
      </c>
    </row>
    <row r="358" spans="1:5" x14ac:dyDescent="0.25">
      <c r="A358" s="184" t="s">
        <v>646</v>
      </c>
      <c r="E358" s="184" t="s">
        <v>647</v>
      </c>
    </row>
    <row r="360" spans="1:5" x14ac:dyDescent="0.25">
      <c r="A360" s="184" t="s">
        <v>717</v>
      </c>
    </row>
    <row r="361" spans="1:5" x14ac:dyDescent="0.25">
      <c r="A361" s="184" t="s">
        <v>718</v>
      </c>
    </row>
    <row r="362" spans="1:5" x14ac:dyDescent="0.25">
      <c r="A362" s="184">
        <v>6241901</v>
      </c>
      <c r="B362" s="184" t="s">
        <v>536</v>
      </c>
      <c r="C362" s="184">
        <v>-98179.59</v>
      </c>
      <c r="D362" s="184">
        <v>63357.120000000003</v>
      </c>
      <c r="E362" s="184">
        <v>-161536.71</v>
      </c>
    </row>
    <row r="363" spans="1:5" x14ac:dyDescent="0.25">
      <c r="C363" s="184">
        <v>-98179.59</v>
      </c>
      <c r="D363" s="184">
        <v>63357.120000000003</v>
      </c>
      <c r="E363" s="184">
        <v>-161536.71</v>
      </c>
    </row>
    <row r="364" spans="1:5" x14ac:dyDescent="0.25">
      <c r="A364" s="184">
        <v>6270402</v>
      </c>
      <c r="B364" s="184" t="s">
        <v>823</v>
      </c>
      <c r="C364" s="184">
        <v>73882.460000000006</v>
      </c>
      <c r="D364" s="184">
        <v>22378.68</v>
      </c>
      <c r="E364" s="184">
        <v>51503.78</v>
      </c>
    </row>
    <row r="365" spans="1:5" x14ac:dyDescent="0.25">
      <c r="C365" s="184">
        <v>73882.460000000006</v>
      </c>
      <c r="D365" s="184">
        <v>22378.68</v>
      </c>
      <c r="E365" s="184">
        <v>51503.78</v>
      </c>
    </row>
    <row r="366" spans="1:5" x14ac:dyDescent="0.25">
      <c r="A366" s="184">
        <v>6239001</v>
      </c>
      <c r="B366" s="184" t="s">
        <v>824</v>
      </c>
      <c r="C366" s="184">
        <v>69968.070000000007</v>
      </c>
      <c r="D366" s="184">
        <v>10845.22</v>
      </c>
      <c r="E366" s="184">
        <v>59122.85</v>
      </c>
    </row>
    <row r="367" spans="1:5" x14ac:dyDescent="0.25">
      <c r="C367" s="184">
        <v>69968.070000000007</v>
      </c>
      <c r="D367" s="184">
        <v>10845.22</v>
      </c>
      <c r="E367" s="184">
        <v>59122.85</v>
      </c>
    </row>
    <row r="368" spans="1:5" x14ac:dyDescent="0.25">
      <c r="A368" s="184">
        <v>6270406</v>
      </c>
      <c r="B368" s="184" t="s">
        <v>825</v>
      </c>
      <c r="C368" s="184">
        <v>21081.47</v>
      </c>
      <c r="D368" s="184">
        <v>8356.31</v>
      </c>
      <c r="E368" s="184">
        <v>12725.16</v>
      </c>
    </row>
    <row r="369" spans="1:5" x14ac:dyDescent="0.25">
      <c r="A369" s="184">
        <v>6270411</v>
      </c>
      <c r="B369" s="184" t="s">
        <v>826</v>
      </c>
      <c r="C369" s="184">
        <v>213762.2</v>
      </c>
      <c r="D369" s="184">
        <v>212323.54</v>
      </c>
      <c r="E369" s="184">
        <v>1438.66</v>
      </c>
    </row>
    <row r="370" spans="1:5" x14ac:dyDescent="0.25">
      <c r="A370" s="184">
        <v>6490000</v>
      </c>
      <c r="B370" s="184" t="s">
        <v>719</v>
      </c>
      <c r="C370" s="184">
        <v>36500.769999999997</v>
      </c>
      <c r="D370" s="184">
        <v>31133.4</v>
      </c>
      <c r="E370" s="184">
        <v>5367.37</v>
      </c>
    </row>
    <row r="371" spans="1:5" x14ac:dyDescent="0.25">
      <c r="C371" s="184">
        <v>271344.44</v>
      </c>
      <c r="D371" s="184">
        <v>251813.25</v>
      </c>
      <c r="E371" s="184">
        <v>19531.189999999999</v>
      </c>
    </row>
    <row r="372" spans="1:5" x14ac:dyDescent="0.25">
      <c r="A372" s="184">
        <v>6050010</v>
      </c>
      <c r="B372" s="184" t="s">
        <v>827</v>
      </c>
      <c r="C372" s="184">
        <v>60622</v>
      </c>
      <c r="D372" s="184">
        <v>28194.17</v>
      </c>
      <c r="E372" s="184">
        <v>32427.83</v>
      </c>
    </row>
    <row r="373" spans="1:5" x14ac:dyDescent="0.25">
      <c r="A373" s="184">
        <v>6270404</v>
      </c>
      <c r="B373" s="184" t="s">
        <v>828</v>
      </c>
      <c r="C373" s="184">
        <v>101748.76</v>
      </c>
      <c r="D373" s="184">
        <v>84325.04</v>
      </c>
      <c r="E373" s="184">
        <v>17423.72</v>
      </c>
    </row>
    <row r="374" spans="1:5" x14ac:dyDescent="0.25">
      <c r="C374" s="184">
        <v>162370.76</v>
      </c>
      <c r="D374" s="184">
        <v>112519.21</v>
      </c>
      <c r="E374" s="184">
        <v>49851.55</v>
      </c>
    </row>
    <row r="375" spans="1:5" x14ac:dyDescent="0.25">
      <c r="A375" s="184">
        <v>6270412</v>
      </c>
      <c r="B375" s="184" t="s">
        <v>829</v>
      </c>
      <c r="C375" s="184">
        <v>97315.9</v>
      </c>
      <c r="D375" s="184">
        <v>55663.11</v>
      </c>
      <c r="E375" s="184">
        <v>41652.79</v>
      </c>
    </row>
    <row r="376" spans="1:5" x14ac:dyDescent="0.25">
      <c r="C376" s="184">
        <v>97315.9</v>
      </c>
      <c r="D376" s="184">
        <v>55663.11</v>
      </c>
      <c r="E376" s="184">
        <v>41652.79</v>
      </c>
    </row>
    <row r="377" spans="1:5" x14ac:dyDescent="0.25">
      <c r="A377" s="184">
        <v>6299100</v>
      </c>
      <c r="B377" s="184" t="s">
        <v>830</v>
      </c>
      <c r="C377" s="184">
        <v>77173.649999999994</v>
      </c>
      <c r="D377" s="184">
        <v>59166.01</v>
      </c>
      <c r="E377" s="184">
        <v>18007.64</v>
      </c>
    </row>
    <row r="378" spans="1:5" x14ac:dyDescent="0.25">
      <c r="A378" s="184">
        <v>6299606</v>
      </c>
      <c r="B378" s="184" t="s">
        <v>831</v>
      </c>
      <c r="C378" s="184">
        <v>40627.18</v>
      </c>
      <c r="D378" s="184">
        <v>87704.74</v>
      </c>
      <c r="E378" s="184">
        <v>-47077.56</v>
      </c>
    </row>
    <row r="379" spans="1:5" x14ac:dyDescent="0.25">
      <c r="C379" s="184">
        <v>117800.83</v>
      </c>
      <c r="D379" s="184">
        <v>146870.75</v>
      </c>
      <c r="E379" s="184">
        <v>-29069.919999999998</v>
      </c>
    </row>
    <row r="380" spans="1:5" x14ac:dyDescent="0.25">
      <c r="A380" s="184">
        <v>6270300</v>
      </c>
      <c r="B380" s="184" t="s">
        <v>832</v>
      </c>
      <c r="C380" s="184">
        <v>236001.88</v>
      </c>
      <c r="D380" s="184">
        <v>66605.31</v>
      </c>
      <c r="E380" s="184">
        <v>169396.57</v>
      </c>
    </row>
    <row r="381" spans="1:5" x14ac:dyDescent="0.25">
      <c r="C381" s="184">
        <v>236001.88</v>
      </c>
      <c r="D381" s="184">
        <v>66605.31</v>
      </c>
      <c r="E381" s="184">
        <v>169396.57</v>
      </c>
    </row>
    <row r="382" spans="1:5" x14ac:dyDescent="0.25">
      <c r="A382" s="184" t="s">
        <v>718</v>
      </c>
      <c r="C382" s="184">
        <v>930504.75</v>
      </c>
      <c r="D382" s="184">
        <v>730052.65</v>
      </c>
      <c r="E382" s="184">
        <v>200452.1</v>
      </c>
    </row>
    <row r="384" spans="1:5" x14ac:dyDescent="0.25">
      <c r="A384" s="184" t="s">
        <v>720</v>
      </c>
    </row>
    <row r="385" spans="1:5" x14ac:dyDescent="0.25">
      <c r="A385" s="184">
        <v>6251300</v>
      </c>
      <c r="B385" s="184" t="s">
        <v>833</v>
      </c>
      <c r="C385" s="184">
        <v>21038.46</v>
      </c>
      <c r="D385" s="184">
        <v>9448.51</v>
      </c>
      <c r="E385" s="184">
        <v>11589.95</v>
      </c>
    </row>
    <row r="386" spans="1:5" x14ac:dyDescent="0.25">
      <c r="A386" s="184">
        <v>6299603</v>
      </c>
      <c r="B386" s="184" t="s">
        <v>542</v>
      </c>
      <c r="C386" s="184">
        <v>172634.19</v>
      </c>
      <c r="D386" s="184">
        <v>144781.51</v>
      </c>
      <c r="E386" s="184">
        <v>27852.68</v>
      </c>
    </row>
    <row r="387" spans="1:5" x14ac:dyDescent="0.25">
      <c r="A387" s="184">
        <v>6400011</v>
      </c>
      <c r="B387" s="184" t="s">
        <v>721</v>
      </c>
      <c r="C387" s="184">
        <v>372678.09</v>
      </c>
      <c r="D387" s="184">
        <v>226922.15</v>
      </c>
      <c r="E387" s="184">
        <v>145755.94</v>
      </c>
    </row>
    <row r="388" spans="1:5" x14ac:dyDescent="0.25">
      <c r="C388" s="184">
        <v>566350.74</v>
      </c>
      <c r="D388" s="184">
        <v>381152.17</v>
      </c>
      <c r="E388" s="184">
        <v>185198.57</v>
      </c>
    </row>
    <row r="389" spans="1:5" x14ac:dyDescent="0.25">
      <c r="A389" s="184">
        <v>6295100</v>
      </c>
      <c r="B389" s="184" t="s">
        <v>722</v>
      </c>
      <c r="C389" s="184">
        <v>58563.040000000001</v>
      </c>
      <c r="D389" s="184">
        <v>36631.910000000003</v>
      </c>
      <c r="E389" s="184">
        <v>21931.13</v>
      </c>
    </row>
    <row r="390" spans="1:5" x14ac:dyDescent="0.25">
      <c r="A390" s="184">
        <v>6295101</v>
      </c>
      <c r="B390" s="184" t="s">
        <v>834</v>
      </c>
      <c r="C390" s="184">
        <v>14239.1</v>
      </c>
      <c r="D390" s="184">
        <v>11488.58</v>
      </c>
      <c r="E390" s="184">
        <v>2750.52</v>
      </c>
    </row>
    <row r="391" spans="1:5" x14ac:dyDescent="0.25">
      <c r="C391" s="184">
        <v>72802.14</v>
      </c>
      <c r="D391" s="184">
        <v>48120.49</v>
      </c>
      <c r="E391" s="184">
        <v>24681.65</v>
      </c>
    </row>
    <row r="392" spans="1:5" x14ac:dyDescent="0.25">
      <c r="A392" s="184">
        <v>6296101</v>
      </c>
      <c r="B392" s="184" t="s">
        <v>835</v>
      </c>
      <c r="C392" s="184">
        <v>2686.08</v>
      </c>
      <c r="D392" s="184">
        <v>467.08</v>
      </c>
      <c r="E392" s="184">
        <v>2219</v>
      </c>
    </row>
    <row r="393" spans="1:5" x14ac:dyDescent="0.25">
      <c r="C393" s="184">
        <v>2686.08</v>
      </c>
      <c r="D393" s="184">
        <v>467.08</v>
      </c>
      <c r="E393" s="184">
        <v>2219</v>
      </c>
    </row>
    <row r="394" spans="1:5" x14ac:dyDescent="0.25">
      <c r="A394" s="184">
        <v>6235200</v>
      </c>
      <c r="B394" s="184" t="s">
        <v>723</v>
      </c>
      <c r="C394" s="184">
        <v>218307.32</v>
      </c>
      <c r="D394" s="184">
        <v>176163.69</v>
      </c>
      <c r="E394" s="184">
        <v>42143.63</v>
      </c>
    </row>
    <row r="395" spans="1:5" x14ac:dyDescent="0.25">
      <c r="C395" s="184">
        <v>218307.32</v>
      </c>
      <c r="D395" s="184">
        <v>176163.69</v>
      </c>
      <c r="E395" s="184">
        <v>42143.63</v>
      </c>
    </row>
    <row r="396" spans="1:5" x14ac:dyDescent="0.25">
      <c r="A396" s="184">
        <v>6241900</v>
      </c>
      <c r="B396" s="184" t="s">
        <v>674</v>
      </c>
      <c r="C396" s="184">
        <v>41078.300000000003</v>
      </c>
      <c r="D396" s="184">
        <v>27707.08</v>
      </c>
      <c r="E396" s="184">
        <v>13371.22</v>
      </c>
    </row>
    <row r="397" spans="1:5" x14ac:dyDescent="0.25">
      <c r="C397" s="184">
        <v>41078.300000000003</v>
      </c>
      <c r="D397" s="184">
        <v>27707.08</v>
      </c>
      <c r="E397" s="184">
        <v>13371.22</v>
      </c>
    </row>
    <row r="398" spans="1:5" x14ac:dyDescent="0.25">
      <c r="A398" s="184">
        <v>6221601</v>
      </c>
      <c r="B398" s="184" t="s">
        <v>724</v>
      </c>
      <c r="C398" s="184">
        <v>4451.17</v>
      </c>
      <c r="D398" s="184">
        <v>2938.63</v>
      </c>
      <c r="E398" s="184">
        <v>1512.54</v>
      </c>
    </row>
    <row r="399" spans="1:5" x14ac:dyDescent="0.25">
      <c r="C399" s="184">
        <v>4451.17</v>
      </c>
      <c r="D399" s="184">
        <v>2938.63</v>
      </c>
      <c r="E399" s="184">
        <v>1512.54</v>
      </c>
    </row>
    <row r="400" spans="1:5" x14ac:dyDescent="0.25">
      <c r="A400" s="184" t="s">
        <v>720</v>
      </c>
      <c r="C400" s="184">
        <v>905675.75</v>
      </c>
      <c r="D400" s="184">
        <v>636549.14</v>
      </c>
      <c r="E400" s="184">
        <v>269126.61</v>
      </c>
    </row>
    <row r="402" spans="1:5" x14ac:dyDescent="0.25">
      <c r="A402" s="184" t="s">
        <v>836</v>
      </c>
    </row>
    <row r="403" spans="1:5" x14ac:dyDescent="0.25">
      <c r="A403" s="184">
        <v>6270700</v>
      </c>
      <c r="B403" s="184" t="s">
        <v>837</v>
      </c>
      <c r="C403" s="184">
        <v>24745.97</v>
      </c>
      <c r="D403" s="184">
        <v>17328.72</v>
      </c>
      <c r="E403" s="184">
        <v>7417.25</v>
      </c>
    </row>
    <row r="404" spans="1:5" x14ac:dyDescent="0.25">
      <c r="C404" s="184">
        <v>24745.97</v>
      </c>
      <c r="D404" s="184">
        <v>17328.72</v>
      </c>
      <c r="E404" s="184">
        <v>7417.25</v>
      </c>
    </row>
    <row r="405" spans="1:5" x14ac:dyDescent="0.25">
      <c r="A405" s="184" t="s">
        <v>836</v>
      </c>
      <c r="C405" s="184">
        <v>24745.97</v>
      </c>
      <c r="D405" s="184">
        <v>17328.72</v>
      </c>
      <c r="E405" s="184">
        <v>7417.25</v>
      </c>
    </row>
    <row r="407" spans="1:5" x14ac:dyDescent="0.25">
      <c r="A407" s="184" t="s">
        <v>725</v>
      </c>
    </row>
    <row r="408" spans="1:5" x14ac:dyDescent="0.25">
      <c r="A408" s="184">
        <v>6233103</v>
      </c>
      <c r="B408" s="184" t="s">
        <v>726</v>
      </c>
      <c r="C408" s="184">
        <v>133276.07</v>
      </c>
      <c r="D408" s="184">
        <v>77213.929999999993</v>
      </c>
      <c r="E408" s="184">
        <v>56062.14</v>
      </c>
    </row>
    <row r="409" spans="1:5" x14ac:dyDescent="0.25">
      <c r="C409" s="184">
        <v>133276.07</v>
      </c>
      <c r="D409" s="184">
        <v>77213.929999999993</v>
      </c>
      <c r="E409" s="184">
        <v>56062.14</v>
      </c>
    </row>
    <row r="410" spans="1:5" x14ac:dyDescent="0.25">
      <c r="A410" s="184" t="s">
        <v>725</v>
      </c>
      <c r="C410" s="184">
        <v>133276.07</v>
      </c>
      <c r="D410" s="184">
        <v>77213.929999999993</v>
      </c>
      <c r="E410" s="184">
        <v>56062.14</v>
      </c>
    </row>
    <row r="412" spans="1:5" x14ac:dyDescent="0.25">
      <c r="A412" s="184" t="s">
        <v>727</v>
      </c>
    </row>
    <row r="413" spans="1:5" x14ac:dyDescent="0.25">
      <c r="A413" s="184">
        <v>6234000</v>
      </c>
      <c r="B413" s="184" t="s">
        <v>838</v>
      </c>
      <c r="C413" s="184">
        <v>192</v>
      </c>
      <c r="D413" s="184">
        <v>192</v>
      </c>
      <c r="E413" s="184">
        <v>0</v>
      </c>
    </row>
    <row r="414" spans="1:5" x14ac:dyDescent="0.25">
      <c r="C414" s="184">
        <v>192</v>
      </c>
      <c r="D414" s="184">
        <v>192</v>
      </c>
      <c r="E414" s="184">
        <v>0</v>
      </c>
    </row>
    <row r="415" spans="1:5" x14ac:dyDescent="0.25">
      <c r="A415" s="184">
        <v>6212000</v>
      </c>
      <c r="B415" s="184" t="s">
        <v>839</v>
      </c>
      <c r="C415" s="184">
        <v>3491.38</v>
      </c>
      <c r="D415" s="184">
        <v>2657.74</v>
      </c>
      <c r="E415" s="184">
        <v>833.64</v>
      </c>
    </row>
    <row r="416" spans="1:5" x14ac:dyDescent="0.25">
      <c r="C416" s="184">
        <v>3491.38</v>
      </c>
      <c r="D416" s="184">
        <v>2657.74</v>
      </c>
      <c r="E416" s="184">
        <v>833.64</v>
      </c>
    </row>
    <row r="417" spans="1:5" x14ac:dyDescent="0.25">
      <c r="A417" s="184">
        <v>6221602</v>
      </c>
      <c r="B417" s="184" t="s">
        <v>729</v>
      </c>
      <c r="C417" s="184">
        <v>31641.21</v>
      </c>
      <c r="D417" s="184">
        <v>5802.66</v>
      </c>
      <c r="E417" s="184">
        <v>25838.55</v>
      </c>
    </row>
    <row r="418" spans="1:5" x14ac:dyDescent="0.25">
      <c r="A418" s="184">
        <v>6281600</v>
      </c>
      <c r="B418" s="184" t="s">
        <v>730</v>
      </c>
      <c r="C418" s="184">
        <v>4060.3</v>
      </c>
      <c r="D418" s="184">
        <v>3113.48</v>
      </c>
      <c r="E418" s="184">
        <v>946.82</v>
      </c>
    </row>
    <row r="419" spans="1:5" x14ac:dyDescent="0.25">
      <c r="A419" s="184">
        <v>6283101</v>
      </c>
      <c r="B419" s="184" t="s">
        <v>840</v>
      </c>
      <c r="C419" s="184">
        <v>8184.63</v>
      </c>
      <c r="D419" s="184">
        <v>5863.45</v>
      </c>
      <c r="E419" s="184">
        <v>2321.1799999999998</v>
      </c>
    </row>
    <row r="420" spans="1:5" x14ac:dyDescent="0.25">
      <c r="A420" s="184">
        <v>6283102</v>
      </c>
      <c r="B420" s="184" t="s">
        <v>731</v>
      </c>
      <c r="C420" s="184">
        <v>8230.7000000000007</v>
      </c>
      <c r="D420" s="184">
        <v>5785.64</v>
      </c>
      <c r="E420" s="184">
        <v>2445.06</v>
      </c>
    </row>
    <row r="421" spans="1:5" x14ac:dyDescent="0.25">
      <c r="A421" s="184">
        <v>6291202</v>
      </c>
      <c r="B421" s="184" t="s">
        <v>841</v>
      </c>
      <c r="C421" s="184">
        <v>-8000</v>
      </c>
      <c r="D421" s="184">
        <v>-8000</v>
      </c>
      <c r="E421" s="184">
        <v>0</v>
      </c>
    </row>
    <row r="422" spans="1:5" x14ac:dyDescent="0.25">
      <c r="A422" s="184">
        <v>6292100</v>
      </c>
      <c r="B422" s="184" t="s">
        <v>732</v>
      </c>
      <c r="C422" s="184">
        <v>4864.1499999999996</v>
      </c>
      <c r="D422" s="184">
        <v>3241.45</v>
      </c>
      <c r="E422" s="184">
        <v>1622.7</v>
      </c>
    </row>
    <row r="423" spans="1:5" x14ac:dyDescent="0.25">
      <c r="C423" s="184">
        <v>48980.99</v>
      </c>
      <c r="D423" s="184">
        <v>15806.68</v>
      </c>
      <c r="E423" s="184">
        <v>33174.31</v>
      </c>
    </row>
    <row r="424" spans="1:5" x14ac:dyDescent="0.25">
      <c r="A424" s="184">
        <v>6810101</v>
      </c>
      <c r="B424" s="184" t="s">
        <v>733</v>
      </c>
      <c r="C424" s="184">
        <v>6880.44</v>
      </c>
      <c r="D424" s="184">
        <v>5160.33</v>
      </c>
      <c r="E424" s="184">
        <v>1720.11</v>
      </c>
    </row>
    <row r="425" spans="1:5" x14ac:dyDescent="0.25">
      <c r="A425" s="184">
        <v>6810301</v>
      </c>
      <c r="B425" s="184" t="s">
        <v>842</v>
      </c>
      <c r="C425" s="184">
        <v>5749.99</v>
      </c>
      <c r="D425" s="184">
        <v>4312.5</v>
      </c>
      <c r="E425" s="184">
        <v>1437.49</v>
      </c>
    </row>
    <row r="426" spans="1:5" x14ac:dyDescent="0.25">
      <c r="A426" s="184">
        <v>6810401</v>
      </c>
      <c r="B426" s="184" t="s">
        <v>734</v>
      </c>
      <c r="C426" s="184">
        <v>629.28</v>
      </c>
      <c r="D426" s="184">
        <v>471.94</v>
      </c>
      <c r="E426" s="184">
        <v>157.34</v>
      </c>
    </row>
    <row r="427" spans="1:5" x14ac:dyDescent="0.25">
      <c r="A427" s="184">
        <v>6810701</v>
      </c>
      <c r="B427" s="184" t="s">
        <v>735</v>
      </c>
      <c r="C427" s="184">
        <v>1112.06</v>
      </c>
      <c r="D427" s="184">
        <v>834.66</v>
      </c>
      <c r="E427" s="184">
        <v>277.39999999999998</v>
      </c>
    </row>
    <row r="428" spans="1:5" x14ac:dyDescent="0.25">
      <c r="C428" s="184">
        <v>14371.77</v>
      </c>
      <c r="D428" s="184">
        <v>10779.43</v>
      </c>
      <c r="E428" s="184">
        <v>3592.34</v>
      </c>
    </row>
    <row r="429" spans="1:5" x14ac:dyDescent="0.25">
      <c r="A429" s="184">
        <v>6310004</v>
      </c>
      <c r="B429" s="184" t="s">
        <v>736</v>
      </c>
      <c r="C429" s="184">
        <v>175.68</v>
      </c>
      <c r="D429" s="184">
        <v>134.88999999999999</v>
      </c>
      <c r="E429" s="184">
        <v>40.79</v>
      </c>
    </row>
    <row r="430" spans="1:5" x14ac:dyDescent="0.25">
      <c r="C430" s="184">
        <v>175.68</v>
      </c>
      <c r="D430" s="184">
        <v>134.88999999999999</v>
      </c>
      <c r="E430" s="184">
        <v>40.79</v>
      </c>
    </row>
    <row r="431" spans="1:5" x14ac:dyDescent="0.25">
      <c r="A431" s="184">
        <v>6311100</v>
      </c>
      <c r="B431" s="184" t="s">
        <v>843</v>
      </c>
      <c r="C431" s="184">
        <v>303.37</v>
      </c>
      <c r="D431" s="184">
        <v>0</v>
      </c>
      <c r="E431" s="184">
        <v>303.37</v>
      </c>
    </row>
    <row r="432" spans="1:5" x14ac:dyDescent="0.25">
      <c r="C432" s="184">
        <v>303.37</v>
      </c>
      <c r="D432" s="184">
        <v>0</v>
      </c>
      <c r="E432" s="184">
        <v>303.37</v>
      </c>
    </row>
    <row r="433" spans="1:5" x14ac:dyDescent="0.25">
      <c r="A433" s="184" t="s">
        <v>727</v>
      </c>
      <c r="C433" s="184">
        <v>67515.19</v>
      </c>
      <c r="D433" s="184">
        <v>29570.74</v>
      </c>
      <c r="E433" s="184">
        <v>37944.449999999997</v>
      </c>
    </row>
    <row r="435" spans="1:5" x14ac:dyDescent="0.25">
      <c r="A435" s="184" t="s">
        <v>717</v>
      </c>
      <c r="C435" s="184">
        <v>2061717.73</v>
      </c>
      <c r="D435" s="184">
        <v>1490715.18</v>
      </c>
      <c r="E435" s="184">
        <v>571002.55000000005</v>
      </c>
    </row>
    <row r="444" spans="1:5" x14ac:dyDescent="0.25">
      <c r="A444" s="184" t="s">
        <v>644</v>
      </c>
      <c r="E444" s="184" t="s">
        <v>645</v>
      </c>
    </row>
    <row r="445" spans="1:5" x14ac:dyDescent="0.25">
      <c r="A445" s="184" t="s">
        <v>646</v>
      </c>
      <c r="E445" s="184" t="s">
        <v>647</v>
      </c>
    </row>
    <row r="447" spans="1:5" x14ac:dyDescent="0.25">
      <c r="A447" s="184" t="s">
        <v>740</v>
      </c>
    </row>
    <row r="448" spans="1:5" x14ac:dyDescent="0.25">
      <c r="A448" s="184" t="s">
        <v>741</v>
      </c>
    </row>
    <row r="449" spans="1:5" x14ac:dyDescent="0.25">
      <c r="A449" s="184" t="s">
        <v>742</v>
      </c>
    </row>
    <row r="450" spans="1:5" x14ac:dyDescent="0.25">
      <c r="A450" s="184">
        <v>7639001</v>
      </c>
      <c r="B450" s="184" t="s">
        <v>743</v>
      </c>
      <c r="C450" s="184">
        <v>-1756.95</v>
      </c>
      <c r="D450" s="184">
        <v>-1349</v>
      </c>
      <c r="E450" s="184">
        <v>-407.95</v>
      </c>
    </row>
    <row r="451" spans="1:5" x14ac:dyDescent="0.25">
      <c r="A451" s="184" t="s">
        <v>742</v>
      </c>
      <c r="C451" s="184">
        <v>-1756.95</v>
      </c>
      <c r="D451" s="184">
        <v>-1349</v>
      </c>
      <c r="E451" s="184">
        <v>-407.95</v>
      </c>
    </row>
    <row r="453" spans="1:5" x14ac:dyDescent="0.25">
      <c r="A453" s="184" t="s">
        <v>744</v>
      </c>
    </row>
    <row r="454" spans="1:5" x14ac:dyDescent="0.25">
      <c r="A454" s="184">
        <v>6261000</v>
      </c>
      <c r="B454" s="184" t="s">
        <v>745</v>
      </c>
      <c r="C454" s="184">
        <v>9833.83</v>
      </c>
      <c r="D454" s="184">
        <v>7457.09</v>
      </c>
      <c r="E454" s="184">
        <v>2376.7399999999998</v>
      </c>
    </row>
    <row r="455" spans="1:5" x14ac:dyDescent="0.25">
      <c r="A455" s="184" t="s">
        <v>744</v>
      </c>
      <c r="C455" s="184">
        <v>9833.83</v>
      </c>
      <c r="D455" s="184">
        <v>7457.09</v>
      </c>
      <c r="E455" s="184">
        <v>2376.7399999999998</v>
      </c>
    </row>
    <row r="457" spans="1:5" x14ac:dyDescent="0.25">
      <c r="A457" s="184" t="s">
        <v>741</v>
      </c>
      <c r="C457" s="184">
        <v>8076.88</v>
      </c>
      <c r="D457" s="184">
        <v>6108.09</v>
      </c>
      <c r="E457" s="184">
        <v>1968.79</v>
      </c>
    </row>
    <row r="459" spans="1:5" x14ac:dyDescent="0.25">
      <c r="A459" s="184" t="s">
        <v>746</v>
      </c>
    </row>
    <row r="460" spans="1:5" x14ac:dyDescent="0.25">
      <c r="A460" s="184" t="s">
        <v>746</v>
      </c>
    </row>
    <row r="461" spans="1:5" x14ac:dyDescent="0.25">
      <c r="A461" s="184">
        <v>7590000</v>
      </c>
      <c r="B461" s="184" t="s">
        <v>747</v>
      </c>
      <c r="C461" s="184">
        <v>-306224.88</v>
      </c>
      <c r="D461" s="184">
        <v>-197028.12</v>
      </c>
      <c r="E461" s="184">
        <v>-109196.76</v>
      </c>
    </row>
    <row r="462" spans="1:5" x14ac:dyDescent="0.25">
      <c r="A462" s="184">
        <v>7684000</v>
      </c>
      <c r="B462" s="184" t="s">
        <v>748</v>
      </c>
      <c r="C462" s="184">
        <v>-2032.62</v>
      </c>
      <c r="D462" s="184">
        <v>-3413.34</v>
      </c>
      <c r="E462" s="184">
        <v>1380.72</v>
      </c>
    </row>
    <row r="463" spans="1:5" x14ac:dyDescent="0.25">
      <c r="C463" s="184">
        <v>-308257.5</v>
      </c>
      <c r="D463" s="184">
        <v>-200441.46</v>
      </c>
      <c r="E463" s="184">
        <v>-107816.04</v>
      </c>
    </row>
    <row r="464" spans="1:5" x14ac:dyDescent="0.25">
      <c r="A464" s="184">
        <v>6201698</v>
      </c>
      <c r="B464" s="184" t="s">
        <v>749</v>
      </c>
      <c r="C464" s="184">
        <v>144539.15</v>
      </c>
      <c r="D464" s="184">
        <v>188184.8</v>
      </c>
      <c r="E464" s="184">
        <v>-43645.65</v>
      </c>
    </row>
    <row r="465" spans="1:5" x14ac:dyDescent="0.25">
      <c r="A465" s="184">
        <v>6239610</v>
      </c>
      <c r="B465" s="184" t="s">
        <v>750</v>
      </c>
      <c r="C465" s="184">
        <v>392.95</v>
      </c>
      <c r="D465" s="184">
        <v>206.13</v>
      </c>
      <c r="E465" s="184">
        <v>186.82</v>
      </c>
    </row>
    <row r="466" spans="1:5" x14ac:dyDescent="0.25">
      <c r="A466" s="184">
        <v>6270405</v>
      </c>
      <c r="B466" s="184" t="s">
        <v>844</v>
      </c>
      <c r="C466" s="184">
        <v>76991.16</v>
      </c>
      <c r="D466" s="184">
        <v>73828.14</v>
      </c>
      <c r="E466" s="184">
        <v>3163.02</v>
      </c>
    </row>
    <row r="467" spans="1:5" x14ac:dyDescent="0.25">
      <c r="A467" s="184">
        <v>6299700</v>
      </c>
      <c r="B467" s="184" t="s">
        <v>554</v>
      </c>
      <c r="C467" s="184">
        <v>-5289.52</v>
      </c>
      <c r="D467" s="184">
        <v>-5289.52</v>
      </c>
      <c r="E467" s="184">
        <v>0</v>
      </c>
    </row>
    <row r="468" spans="1:5" x14ac:dyDescent="0.25">
      <c r="A468" s="184">
        <v>6684000</v>
      </c>
      <c r="B468" s="184" t="s">
        <v>753</v>
      </c>
      <c r="C468" s="184">
        <v>32931.43</v>
      </c>
      <c r="D468" s="184">
        <v>30254.93</v>
      </c>
      <c r="E468" s="184">
        <v>2676.5</v>
      </c>
    </row>
    <row r="469" spans="1:5" x14ac:dyDescent="0.25">
      <c r="A469" s="184">
        <v>6684100</v>
      </c>
      <c r="B469" s="184" t="s">
        <v>754</v>
      </c>
      <c r="C469" s="184">
        <v>12423.52</v>
      </c>
      <c r="D469" s="184">
        <v>12423.52</v>
      </c>
      <c r="E469" s="184">
        <v>0</v>
      </c>
    </row>
    <row r="470" spans="1:5" x14ac:dyDescent="0.25">
      <c r="A470" s="184">
        <v>6940000</v>
      </c>
      <c r="B470" s="184" t="s">
        <v>511</v>
      </c>
      <c r="C470" s="184">
        <v>-130406.84</v>
      </c>
      <c r="D470" s="184">
        <v>-100219.57</v>
      </c>
      <c r="E470" s="184">
        <v>-30187.27</v>
      </c>
    </row>
    <row r="471" spans="1:5" x14ac:dyDescent="0.25">
      <c r="C471" s="184">
        <v>131581.85</v>
      </c>
      <c r="D471" s="184">
        <v>199388.43</v>
      </c>
      <c r="E471" s="184">
        <v>-67806.58</v>
      </c>
    </row>
    <row r="472" spans="1:5" x14ac:dyDescent="0.25">
      <c r="A472" s="184" t="s">
        <v>746</v>
      </c>
      <c r="C472" s="184">
        <v>-176675.65</v>
      </c>
      <c r="D472" s="184">
        <v>-1053.03</v>
      </c>
      <c r="E472" s="184">
        <v>-175622.62</v>
      </c>
    </row>
    <row r="474" spans="1:5" x14ac:dyDescent="0.25">
      <c r="A474" s="184" t="s">
        <v>746</v>
      </c>
      <c r="C474" s="184">
        <v>-176675.65</v>
      </c>
      <c r="D474" s="184">
        <v>-1053.03</v>
      </c>
      <c r="E474" s="184">
        <v>-175622.62</v>
      </c>
    </row>
    <row r="476" spans="1:5" x14ac:dyDescent="0.25">
      <c r="A476" s="184" t="s">
        <v>740</v>
      </c>
      <c r="C476" s="184">
        <v>-168598.77</v>
      </c>
      <c r="D476" s="184">
        <v>5055.0600000000004</v>
      </c>
      <c r="E476" s="184">
        <v>-173653.83</v>
      </c>
    </row>
    <row r="485" spans="1:5" x14ac:dyDescent="0.25">
      <c r="A485" s="184" t="s">
        <v>644</v>
      </c>
      <c r="E485" s="184" t="s">
        <v>645</v>
      </c>
    </row>
    <row r="486" spans="1:5" x14ac:dyDescent="0.25">
      <c r="A486" s="184" t="s">
        <v>646</v>
      </c>
      <c r="E486" s="184" t="s">
        <v>647</v>
      </c>
    </row>
    <row r="488" spans="1:5" x14ac:dyDescent="0.25">
      <c r="A488" s="184" t="s">
        <v>755</v>
      </c>
      <c r="C488" s="184">
        <v>14577797.880000001</v>
      </c>
      <c r="D488" s="184">
        <v>13923916.689999999</v>
      </c>
      <c r="E488" s="184">
        <v>653881.18999999994</v>
      </c>
    </row>
    <row r="489" spans="1:5" x14ac:dyDescent="0.25">
      <c r="A489" s="184" t="s">
        <v>643</v>
      </c>
    </row>
    <row r="498" spans="1:5" x14ac:dyDescent="0.25">
      <c r="A498" s="184" t="s">
        <v>644</v>
      </c>
      <c r="E498" s="184" t="s">
        <v>645</v>
      </c>
    </row>
    <row r="499" spans="1:5" x14ac:dyDescent="0.25">
      <c r="A499" s="184" t="s">
        <v>646</v>
      </c>
      <c r="E499" s="184" t="s">
        <v>647</v>
      </c>
    </row>
    <row r="501" spans="1:5" x14ac:dyDescent="0.25">
      <c r="A501" s="184" t="s">
        <v>756</v>
      </c>
    </row>
    <row r="502" spans="1:5" x14ac:dyDescent="0.25">
      <c r="A502" s="184" t="s">
        <v>757</v>
      </c>
    </row>
    <row r="503" spans="1:5" x14ac:dyDescent="0.25">
      <c r="A503" s="184">
        <v>4740001</v>
      </c>
      <c r="B503" s="184" t="s">
        <v>845</v>
      </c>
      <c r="C503" s="315">
        <v>62330.73</v>
      </c>
      <c r="D503" s="184">
        <v>157537.73000000001</v>
      </c>
      <c r="E503" s="184">
        <v>-95207</v>
      </c>
    </row>
    <row r="504" spans="1:5" x14ac:dyDescent="0.25">
      <c r="A504" s="184">
        <v>5550000</v>
      </c>
      <c r="B504" s="184" t="s">
        <v>846</v>
      </c>
      <c r="C504" s="315">
        <v>567906.81999999995</v>
      </c>
      <c r="D504" s="184">
        <v>550223.85</v>
      </c>
      <c r="E504" s="184">
        <v>17682.97</v>
      </c>
    </row>
    <row r="505" spans="1:5" x14ac:dyDescent="0.25">
      <c r="A505" s="184">
        <v>6310003</v>
      </c>
      <c r="B505" s="184" t="s">
        <v>847</v>
      </c>
      <c r="C505" s="315">
        <v>69033.119999999995</v>
      </c>
      <c r="D505" s="184">
        <v>-21845.61</v>
      </c>
      <c r="E505" s="184">
        <v>90878.73</v>
      </c>
    </row>
    <row r="506" spans="1:5" x14ac:dyDescent="0.25">
      <c r="A506" s="184" t="s">
        <v>759</v>
      </c>
      <c r="B506" s="184" t="s">
        <v>760</v>
      </c>
      <c r="C506" s="315">
        <v>-2619526.87</v>
      </c>
      <c r="D506" s="184">
        <v>-2619526.87</v>
      </c>
      <c r="E506" s="184">
        <v>0</v>
      </c>
    </row>
    <row r="507" spans="1:5" x14ac:dyDescent="0.25">
      <c r="A507" s="184" t="s">
        <v>473</v>
      </c>
      <c r="B507" s="184" t="s">
        <v>761</v>
      </c>
      <c r="C507" s="315">
        <v>1006.21</v>
      </c>
      <c r="D507" s="184">
        <v>1006.21</v>
      </c>
      <c r="E507" s="184">
        <v>0</v>
      </c>
    </row>
    <row r="508" spans="1:5" x14ac:dyDescent="0.25">
      <c r="A508" s="184" t="s">
        <v>764</v>
      </c>
      <c r="B508" s="184" t="s">
        <v>765</v>
      </c>
      <c r="C508" s="315">
        <v>43345.9</v>
      </c>
      <c r="D508" s="184">
        <v>41906.730000000003</v>
      </c>
      <c r="E508" s="184">
        <v>1439.17</v>
      </c>
    </row>
    <row r="509" spans="1:5" x14ac:dyDescent="0.25">
      <c r="A509" s="184" t="s">
        <v>766</v>
      </c>
      <c r="B509" s="184" t="s">
        <v>767</v>
      </c>
      <c r="C509" s="315">
        <v>930308.12</v>
      </c>
      <c r="D509" s="184">
        <v>539563.41</v>
      </c>
      <c r="E509" s="184">
        <v>390744.71</v>
      </c>
    </row>
    <row r="510" spans="1:5" x14ac:dyDescent="0.25">
      <c r="A510" s="184" t="s">
        <v>768</v>
      </c>
      <c r="B510" s="184" t="s">
        <v>769</v>
      </c>
      <c r="C510" s="315">
        <v>3345540.74</v>
      </c>
      <c r="D510" s="184">
        <v>2905342.5</v>
      </c>
      <c r="E510" s="184">
        <v>440198.24</v>
      </c>
    </row>
    <row r="511" spans="1:5" x14ac:dyDescent="0.25">
      <c r="A511" s="184" t="s">
        <v>770</v>
      </c>
      <c r="B511" s="184" t="s">
        <v>771</v>
      </c>
      <c r="C511" s="315">
        <v>48512.21</v>
      </c>
      <c r="D511" s="184">
        <v>62301.13</v>
      </c>
      <c r="E511" s="184">
        <v>-13788.92</v>
      </c>
    </row>
    <row r="512" spans="1:5" x14ac:dyDescent="0.25">
      <c r="A512" s="184" t="s">
        <v>774</v>
      </c>
      <c r="B512" s="184" t="s">
        <v>775</v>
      </c>
      <c r="C512" s="315">
        <v>172777.74</v>
      </c>
      <c r="D512" s="184">
        <v>172777.74</v>
      </c>
      <c r="E512" s="184">
        <v>0</v>
      </c>
    </row>
    <row r="513" spans="1:5" x14ac:dyDescent="0.25">
      <c r="A513" s="184" t="s">
        <v>776</v>
      </c>
      <c r="B513" s="184" t="s">
        <v>777</v>
      </c>
      <c r="C513" s="315">
        <v>3815220.96</v>
      </c>
      <c r="D513" s="184">
        <v>2868821.03</v>
      </c>
      <c r="E513" s="184">
        <v>946399.93</v>
      </c>
    </row>
    <row r="514" spans="1:5" x14ac:dyDescent="0.25">
      <c r="A514" s="184" t="s">
        <v>782</v>
      </c>
      <c r="B514" s="184" t="s">
        <v>783</v>
      </c>
      <c r="C514" s="315">
        <v>-180546.08</v>
      </c>
      <c r="D514" s="184">
        <v>-179106.91</v>
      </c>
      <c r="E514" s="184">
        <v>-1439.17</v>
      </c>
    </row>
    <row r="515" spans="1:5" x14ac:dyDescent="0.25">
      <c r="A515" s="184" t="s">
        <v>784</v>
      </c>
      <c r="B515" s="184" t="s">
        <v>785</v>
      </c>
      <c r="C515" s="315">
        <v>-570056.02</v>
      </c>
      <c r="D515" s="184">
        <v>-198071.6</v>
      </c>
      <c r="E515" s="184">
        <v>-371984.42</v>
      </c>
    </row>
    <row r="516" spans="1:5" x14ac:dyDescent="0.25">
      <c r="A516" s="184" t="s">
        <v>786</v>
      </c>
      <c r="B516" s="184" t="s">
        <v>787</v>
      </c>
      <c r="C516" s="315">
        <v>-4877236.54</v>
      </c>
      <c r="D516" s="184">
        <v>-3500161.97</v>
      </c>
      <c r="E516" s="184">
        <v>-1377074.57</v>
      </c>
    </row>
    <row r="517" spans="1:5" x14ac:dyDescent="0.25">
      <c r="A517" s="184" t="s">
        <v>788</v>
      </c>
      <c r="B517" s="184" t="s">
        <v>789</v>
      </c>
      <c r="C517" s="315">
        <v>-109346.37</v>
      </c>
      <c r="D517" s="184">
        <v>-94851.4</v>
      </c>
      <c r="E517" s="184">
        <v>-14494.97</v>
      </c>
    </row>
    <row r="518" spans="1:5" x14ac:dyDescent="0.25">
      <c r="C518" s="315">
        <v>699270.67</v>
      </c>
      <c r="D518" s="184">
        <v>685915.97</v>
      </c>
      <c r="E518" s="184">
        <v>13354.7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rintOptions horizontalCentered="1" verticalCentere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rintOptions horizontalCentered="1" verticalCentere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rintOptions horizontalCentered="1" verticalCentere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6"/>
  <sheetViews>
    <sheetView topLeftCell="B5" zoomScaleNormal="100" workbookViewId="0">
      <pane xSplit="2" ySplit="6" topLeftCell="P11" activePane="bottomRight" state="frozen"/>
      <selection activeCell="B6" sqref="B6:D7"/>
      <selection pane="topRight" activeCell="B6" sqref="B6:D7"/>
      <selection pane="bottomLeft" activeCell="B6" sqref="B6:D7"/>
      <selection pane="bottomRight" activeCell="W6" sqref="W6"/>
    </sheetView>
  </sheetViews>
  <sheetFormatPr baseColWidth="10" defaultRowHeight="15" x14ac:dyDescent="0.25"/>
  <cols>
    <col min="3" max="3" width="44.28515625" bestFit="1" customWidth="1"/>
    <col min="4" max="4" width="3.85546875" customWidth="1"/>
    <col min="5" max="5" width="14.140625" style="21" customWidth="1"/>
    <col min="6" max="6" width="13.140625" customWidth="1"/>
    <col min="7" max="7" width="15.28515625" bestFit="1" customWidth="1"/>
    <col min="8" max="8" width="11.5703125" bestFit="1" customWidth="1"/>
    <col min="9" max="9" width="14.28515625" bestFit="1" customWidth="1"/>
    <col min="10" max="10" width="4.42578125" style="87" customWidth="1"/>
    <col min="11" max="11" width="14.42578125" customWidth="1"/>
    <col min="12" max="12" width="4.7109375" style="87" customWidth="1"/>
    <col min="13" max="13" width="6.140625" style="87" customWidth="1"/>
    <col min="14" max="14" width="15.42578125" customWidth="1"/>
    <col min="15" max="15" width="18.42578125" bestFit="1" customWidth="1"/>
    <col min="16" max="16" width="3.28515625" style="184" customWidth="1"/>
    <col min="17" max="17" width="18.42578125" style="184" customWidth="1"/>
    <col min="18" max="18" width="3.7109375" style="184" customWidth="1"/>
    <col min="19" max="19" width="18.42578125" style="184" customWidth="1"/>
    <col min="20" max="20" width="17.7109375" bestFit="1" customWidth="1"/>
    <col min="21" max="24" width="18.42578125" bestFit="1" customWidth="1"/>
  </cols>
  <sheetData>
    <row r="1" spans="1:22" x14ac:dyDescent="0.25">
      <c r="A1" s="28" t="s">
        <v>141</v>
      </c>
      <c r="B1" s="28"/>
      <c r="C1" s="27"/>
      <c r="D1" s="27"/>
      <c r="E1" s="27"/>
      <c r="F1" s="27"/>
      <c r="G1" s="27"/>
      <c r="H1" s="27"/>
      <c r="I1" s="27"/>
      <c r="J1" s="86"/>
      <c r="K1" s="27"/>
      <c r="L1" s="86"/>
    </row>
    <row r="2" spans="1:22" x14ac:dyDescent="0.25">
      <c r="A2" s="28" t="s">
        <v>142</v>
      </c>
      <c r="B2" s="28"/>
      <c r="C2" s="27"/>
      <c r="D2" s="27"/>
      <c r="E2" s="27"/>
      <c r="F2" s="27"/>
      <c r="G2" s="27"/>
      <c r="H2" s="27"/>
      <c r="I2" s="27"/>
      <c r="J2" s="86"/>
      <c r="K2" s="27"/>
      <c r="L2" s="86"/>
    </row>
    <row r="3" spans="1:22" x14ac:dyDescent="0.25">
      <c r="A3" s="27" t="s">
        <v>143</v>
      </c>
      <c r="B3" s="27"/>
      <c r="C3" s="27"/>
      <c r="D3" s="27"/>
      <c r="E3" s="27"/>
      <c r="F3" s="27"/>
      <c r="G3" s="27"/>
      <c r="H3" s="27"/>
      <c r="I3" s="27"/>
      <c r="J3" s="86"/>
      <c r="K3" s="27"/>
      <c r="L3" s="86"/>
    </row>
    <row r="4" spans="1:22" x14ac:dyDescent="0.25">
      <c r="A4" s="28" t="s">
        <v>144</v>
      </c>
      <c r="B4" s="27"/>
      <c r="C4" s="27"/>
      <c r="D4" s="27"/>
      <c r="E4" s="27"/>
      <c r="F4" s="27"/>
      <c r="G4" s="27"/>
      <c r="H4" s="27"/>
      <c r="I4" s="27"/>
      <c r="J4" s="86" t="s">
        <v>145</v>
      </c>
      <c r="K4" s="27"/>
      <c r="L4" s="86"/>
    </row>
    <row r="5" spans="1:22" x14ac:dyDescent="0.25">
      <c r="A5" s="28" t="s">
        <v>146</v>
      </c>
      <c r="B5" s="27"/>
      <c r="C5" s="368" t="s">
        <v>147</v>
      </c>
      <c r="D5" s="368"/>
      <c r="E5" s="368"/>
      <c r="F5" s="368"/>
      <c r="G5" s="368"/>
      <c r="H5" s="368"/>
      <c r="I5" s="368"/>
      <c r="J5" s="86" t="s">
        <v>377</v>
      </c>
      <c r="K5" s="27"/>
      <c r="L5" s="86"/>
    </row>
    <row r="6" spans="1:22" x14ac:dyDescent="0.25">
      <c r="A6" s="29" t="s">
        <v>379</v>
      </c>
      <c r="B6" s="30"/>
      <c r="C6" s="369" t="s">
        <v>376</v>
      </c>
      <c r="D6" s="369"/>
      <c r="E6" s="369"/>
      <c r="F6" s="369"/>
      <c r="G6" s="369"/>
      <c r="H6" s="369"/>
      <c r="I6" s="369"/>
      <c r="J6" s="86" t="s">
        <v>378</v>
      </c>
      <c r="K6" s="27"/>
      <c r="L6" s="86"/>
    </row>
    <row r="7" spans="1:22" x14ac:dyDescent="0.25">
      <c r="A7" s="29" t="s">
        <v>380</v>
      </c>
      <c r="B7" s="30"/>
      <c r="C7" s="370"/>
      <c r="D7" s="370"/>
      <c r="E7" s="370"/>
      <c r="F7" s="370"/>
      <c r="G7" s="370"/>
      <c r="H7" s="370"/>
      <c r="I7" s="370"/>
      <c r="J7" s="86" t="s">
        <v>150</v>
      </c>
      <c r="K7" s="27"/>
      <c r="L7" s="86"/>
    </row>
    <row r="8" spans="1:22" x14ac:dyDescent="0.25">
      <c r="B8" s="1"/>
      <c r="E8" s="20"/>
      <c r="F8" s="15"/>
      <c r="G8" t="s">
        <v>0</v>
      </c>
      <c r="I8" s="10"/>
      <c r="K8" s="367" t="s">
        <v>136</v>
      </c>
      <c r="L8" s="367"/>
      <c r="M8" s="367"/>
      <c r="N8" s="367"/>
      <c r="O8" s="111" t="s">
        <v>139</v>
      </c>
      <c r="P8" s="182"/>
      <c r="Q8" s="182"/>
      <c r="R8" s="182"/>
      <c r="S8" s="182"/>
      <c r="T8" s="111"/>
      <c r="U8" s="111"/>
    </row>
    <row r="9" spans="1:22" x14ac:dyDescent="0.25">
      <c r="A9" s="14" t="s">
        <v>1</v>
      </c>
      <c r="B9" s="14" t="s">
        <v>2</v>
      </c>
      <c r="C9" s="14" t="s">
        <v>3</v>
      </c>
      <c r="D9" s="14"/>
      <c r="E9" s="14" t="s">
        <v>4</v>
      </c>
      <c r="F9" s="14" t="s">
        <v>5</v>
      </c>
      <c r="G9" s="14" t="s">
        <v>6</v>
      </c>
      <c r="H9" s="14" t="s">
        <v>7</v>
      </c>
      <c r="I9" s="14" t="s">
        <v>8</v>
      </c>
      <c r="J9" s="96"/>
      <c r="K9" s="23" t="s">
        <v>137</v>
      </c>
      <c r="L9" s="88"/>
      <c r="M9" s="88"/>
      <c r="N9" s="23" t="s">
        <v>138</v>
      </c>
      <c r="O9" s="23" t="s">
        <v>140</v>
      </c>
      <c r="P9" s="23"/>
      <c r="Q9" s="23" t="s">
        <v>137</v>
      </c>
      <c r="R9" s="23"/>
      <c r="S9" s="23" t="s">
        <v>138</v>
      </c>
      <c r="T9" s="23" t="s">
        <v>159</v>
      </c>
      <c r="U9" s="23" t="s">
        <v>160</v>
      </c>
    </row>
    <row r="10" spans="1:22" x14ac:dyDescent="0.25">
      <c r="A10" s="4">
        <v>111</v>
      </c>
      <c r="B10" s="5"/>
      <c r="C10" s="5" t="s">
        <v>9</v>
      </c>
      <c r="D10" s="5"/>
      <c r="E10" s="9">
        <f>SUM(E11:E25)</f>
        <v>957990.2699999999</v>
      </c>
      <c r="F10" s="9">
        <f>SUM(F11:F25)</f>
        <v>268241.11000000004</v>
      </c>
      <c r="G10" s="9">
        <f>SUM(G11:G25)</f>
        <v>31118.54</v>
      </c>
      <c r="H10" s="9">
        <f>SUM(H11:H25)</f>
        <v>7454.8299999999981</v>
      </c>
      <c r="I10" s="9">
        <f>SUM(I11:I25)</f>
        <v>1264804.7499999998</v>
      </c>
      <c r="J10" s="89"/>
      <c r="K10" s="9">
        <f>SUM(K11:K25)</f>
        <v>1630.42</v>
      </c>
      <c r="L10" s="89"/>
      <c r="M10" s="89"/>
      <c r="N10" s="9">
        <f>SUM(N11:N25)</f>
        <v>0</v>
      </c>
      <c r="O10" s="9">
        <f>+I10+K10-N10</f>
        <v>1266435.1699999997</v>
      </c>
      <c r="P10" s="9"/>
      <c r="Q10" s="9">
        <f>SUM(Q11:Q25)</f>
        <v>0</v>
      </c>
      <c r="R10" s="9"/>
      <c r="S10" s="9">
        <f>SUM(S11:S25)</f>
        <v>0</v>
      </c>
      <c r="T10" s="9">
        <f>1060301+Q10-S10</f>
        <v>1060301</v>
      </c>
      <c r="U10" s="9">
        <f>O10-T10</f>
        <v>206134.16999999969</v>
      </c>
    </row>
    <row r="11" spans="1:22" x14ac:dyDescent="0.25">
      <c r="A11">
        <v>111</v>
      </c>
      <c r="B11" s="27">
        <v>5730080</v>
      </c>
      <c r="C11" s="27" t="s">
        <v>12</v>
      </c>
      <c r="E11" s="25">
        <v>7199.72</v>
      </c>
      <c r="F11" s="25">
        <v>0</v>
      </c>
      <c r="G11" s="25">
        <v>0</v>
      </c>
      <c r="H11" s="25">
        <v>0</v>
      </c>
      <c r="I11" s="25">
        <f t="shared" ref="I11:I25" si="0">SUM(E11:H11)</f>
        <v>7199.72</v>
      </c>
      <c r="J11" s="92"/>
      <c r="K11" s="22"/>
      <c r="L11" s="92"/>
      <c r="M11" s="92"/>
      <c r="N11" s="22"/>
      <c r="O11" s="25"/>
      <c r="P11" s="197"/>
      <c r="Q11" s="197"/>
      <c r="R11" s="197"/>
      <c r="S11" s="197"/>
      <c r="T11" s="25"/>
    </row>
    <row r="12" spans="1:22" x14ac:dyDescent="0.25">
      <c r="A12">
        <v>111</v>
      </c>
      <c r="B12" s="27">
        <v>5730980</v>
      </c>
      <c r="C12" s="27" t="s">
        <v>19</v>
      </c>
      <c r="E12" s="25">
        <v>19.27</v>
      </c>
      <c r="F12" s="25">
        <v>0</v>
      </c>
      <c r="G12" s="25">
        <v>0</v>
      </c>
      <c r="H12" s="25">
        <v>0</v>
      </c>
      <c r="I12" s="25">
        <f t="shared" si="0"/>
        <v>19.27</v>
      </c>
      <c r="J12" s="92"/>
      <c r="K12" s="15"/>
      <c r="L12" s="92"/>
      <c r="M12" s="92"/>
      <c r="N12" s="22"/>
      <c r="T12" s="25"/>
    </row>
    <row r="13" spans="1:22" x14ac:dyDescent="0.25">
      <c r="A13">
        <v>111</v>
      </c>
      <c r="B13" s="27">
        <v>5730085</v>
      </c>
      <c r="C13" s="27" t="s">
        <v>13</v>
      </c>
      <c r="E13" s="25">
        <v>294258.21000000002</v>
      </c>
      <c r="F13" s="25">
        <v>0</v>
      </c>
      <c r="G13" s="25">
        <v>0</v>
      </c>
      <c r="H13" s="25">
        <v>0</v>
      </c>
      <c r="I13" s="25">
        <f t="shared" si="0"/>
        <v>294258.21000000002</v>
      </c>
      <c r="J13" s="92"/>
      <c r="K13" s="22"/>
      <c r="L13" s="92"/>
      <c r="M13" s="92"/>
      <c r="N13" s="22"/>
      <c r="T13" s="25"/>
    </row>
    <row r="14" spans="1:22" x14ac:dyDescent="0.25">
      <c r="A14">
        <v>111</v>
      </c>
      <c r="B14" s="27">
        <v>5730985</v>
      </c>
      <c r="C14" s="27" t="s">
        <v>20</v>
      </c>
      <c r="E14" s="25">
        <v>-167526.89000000001</v>
      </c>
      <c r="F14" s="25">
        <v>0</v>
      </c>
      <c r="G14" s="25">
        <v>0</v>
      </c>
      <c r="H14" s="25">
        <v>0</v>
      </c>
      <c r="I14" s="25">
        <f t="shared" si="0"/>
        <v>-167526.89000000001</v>
      </c>
      <c r="J14" s="92"/>
      <c r="K14" s="15"/>
      <c r="L14" s="92"/>
      <c r="M14" s="92"/>
      <c r="N14" s="22"/>
      <c r="O14" s="10"/>
      <c r="P14" s="10"/>
      <c r="Q14" s="10"/>
      <c r="R14" s="10"/>
      <c r="S14" s="10"/>
      <c r="T14" s="25"/>
      <c r="U14" s="10"/>
    </row>
    <row r="15" spans="1:22" x14ac:dyDescent="0.25">
      <c r="A15">
        <v>111</v>
      </c>
      <c r="B15" s="27">
        <v>5730090</v>
      </c>
      <c r="C15" s="27" t="s">
        <v>14</v>
      </c>
      <c r="E15" s="25">
        <v>32851.160000000003</v>
      </c>
      <c r="F15" s="25">
        <v>365967.74</v>
      </c>
      <c r="G15" s="25">
        <v>33545.78</v>
      </c>
      <c r="H15" s="25">
        <v>-25655.59</v>
      </c>
      <c r="I15" s="25">
        <f t="shared" si="0"/>
        <v>406709.09</v>
      </c>
      <c r="J15" s="92"/>
      <c r="K15" s="15"/>
      <c r="L15" s="92"/>
      <c r="M15" s="92"/>
      <c r="N15" s="15"/>
      <c r="O15" s="10"/>
      <c r="P15" s="10"/>
      <c r="Q15" s="10"/>
      <c r="R15" s="10"/>
      <c r="S15" s="10"/>
      <c r="T15" s="25"/>
      <c r="U15" s="10"/>
      <c r="V15" s="10"/>
    </row>
    <row r="16" spans="1:22" x14ac:dyDescent="0.25">
      <c r="A16">
        <v>111</v>
      </c>
      <c r="B16" s="27">
        <v>5730990</v>
      </c>
      <c r="C16" s="27" t="s">
        <v>21</v>
      </c>
      <c r="E16" s="25">
        <v>44616.160000000003</v>
      </c>
      <c r="F16" s="25">
        <v>-235155.74</v>
      </c>
      <c r="G16" s="25">
        <v>-3476.73</v>
      </c>
      <c r="H16" s="25">
        <v>33110.42</v>
      </c>
      <c r="I16" s="25">
        <f t="shared" si="0"/>
        <v>-160905.89000000001</v>
      </c>
      <c r="J16" s="92"/>
      <c r="K16" s="15"/>
      <c r="L16" s="92"/>
      <c r="M16" s="92"/>
      <c r="N16" s="15"/>
      <c r="O16" s="17"/>
      <c r="P16" s="17"/>
      <c r="Q16" s="17"/>
      <c r="R16" s="17"/>
      <c r="S16" s="17"/>
      <c r="T16" s="25"/>
      <c r="U16" s="17"/>
    </row>
    <row r="17" spans="1:21" x14ac:dyDescent="0.25">
      <c r="A17">
        <v>111</v>
      </c>
      <c r="B17" s="27">
        <v>5730100</v>
      </c>
      <c r="C17" s="27" t="s">
        <v>16</v>
      </c>
      <c r="E17" s="25">
        <v>214613.6</v>
      </c>
      <c r="F17" s="25">
        <v>49144.35</v>
      </c>
      <c r="G17" s="25">
        <v>0</v>
      </c>
      <c r="H17" s="25">
        <v>0</v>
      </c>
      <c r="I17" s="25">
        <f t="shared" si="0"/>
        <v>263757.95</v>
      </c>
      <c r="J17" s="92"/>
      <c r="K17" s="15"/>
      <c r="L17" s="92"/>
      <c r="M17" s="92"/>
      <c r="N17" s="22"/>
      <c r="T17" s="25"/>
    </row>
    <row r="18" spans="1:21" x14ac:dyDescent="0.25">
      <c r="A18">
        <v>111</v>
      </c>
      <c r="B18" s="27">
        <v>5739100</v>
      </c>
      <c r="C18" s="27" t="s">
        <v>22</v>
      </c>
      <c r="E18" s="25">
        <v>439453.21</v>
      </c>
      <c r="F18" s="25">
        <v>73755.77</v>
      </c>
      <c r="G18" s="25">
        <v>0</v>
      </c>
      <c r="H18" s="25">
        <v>0</v>
      </c>
      <c r="I18" s="25">
        <f t="shared" si="0"/>
        <v>513208.98000000004</v>
      </c>
      <c r="J18" s="92"/>
      <c r="K18" s="15"/>
      <c r="L18" s="92"/>
      <c r="M18" s="92"/>
      <c r="N18" s="22"/>
      <c r="T18" s="25"/>
    </row>
    <row r="19" spans="1:21" x14ac:dyDescent="0.25">
      <c r="A19">
        <v>111</v>
      </c>
      <c r="B19" s="27">
        <v>5730105</v>
      </c>
      <c r="C19" s="27" t="s">
        <v>17</v>
      </c>
      <c r="E19" s="25">
        <v>0</v>
      </c>
      <c r="F19" s="25">
        <v>8559.19</v>
      </c>
      <c r="G19" s="25">
        <v>0</v>
      </c>
      <c r="H19" s="25">
        <v>0</v>
      </c>
      <c r="I19" s="25">
        <f t="shared" si="0"/>
        <v>8559.19</v>
      </c>
      <c r="J19" s="92"/>
      <c r="K19" s="22"/>
      <c r="L19" s="92"/>
      <c r="M19" s="92"/>
      <c r="N19" s="22"/>
      <c r="T19" s="25"/>
    </row>
    <row r="20" spans="1:21" x14ac:dyDescent="0.25">
      <c r="A20">
        <v>111</v>
      </c>
      <c r="B20" s="27">
        <v>5739105</v>
      </c>
      <c r="C20" s="27" t="s">
        <v>23</v>
      </c>
      <c r="E20" s="25">
        <v>0</v>
      </c>
      <c r="F20" s="25">
        <v>3265.9</v>
      </c>
      <c r="G20" s="25">
        <v>0</v>
      </c>
      <c r="H20" s="25">
        <v>0</v>
      </c>
      <c r="I20" s="25">
        <f t="shared" si="0"/>
        <v>3265.9</v>
      </c>
      <c r="J20" s="92"/>
      <c r="K20" s="22"/>
      <c r="L20" s="92"/>
      <c r="M20" s="92"/>
      <c r="N20" s="22"/>
      <c r="T20" s="25"/>
    </row>
    <row r="21" spans="1:21" x14ac:dyDescent="0.25">
      <c r="A21">
        <v>111</v>
      </c>
      <c r="B21" s="27">
        <v>5730110</v>
      </c>
      <c r="C21" s="27" t="s">
        <v>18</v>
      </c>
      <c r="E21" s="25">
        <v>0</v>
      </c>
      <c r="F21" s="25">
        <v>629.15</v>
      </c>
      <c r="G21" s="25">
        <v>0</v>
      </c>
      <c r="H21" s="25">
        <v>0</v>
      </c>
      <c r="I21" s="25">
        <f t="shared" si="0"/>
        <v>629.15</v>
      </c>
      <c r="J21" s="92"/>
      <c r="K21" s="22"/>
      <c r="L21" s="92"/>
      <c r="M21" s="92"/>
      <c r="N21" s="22"/>
      <c r="T21" s="25"/>
    </row>
    <row r="22" spans="1:21" x14ac:dyDescent="0.25">
      <c r="A22">
        <v>111</v>
      </c>
      <c r="B22" s="27">
        <v>5730099</v>
      </c>
      <c r="C22" s="27" t="s">
        <v>15</v>
      </c>
      <c r="E22" s="25">
        <v>2662.9</v>
      </c>
      <c r="F22" s="25">
        <v>-3081.15</v>
      </c>
      <c r="G22" s="25">
        <v>0</v>
      </c>
      <c r="H22" s="25">
        <v>0</v>
      </c>
      <c r="I22" s="25">
        <f t="shared" si="0"/>
        <v>-418.25</v>
      </c>
      <c r="J22" s="92"/>
      <c r="K22" s="22"/>
      <c r="L22" s="92"/>
      <c r="M22" s="92"/>
      <c r="N22" s="22"/>
      <c r="T22" s="25"/>
    </row>
    <row r="23" spans="1:21" x14ac:dyDescent="0.25">
      <c r="A23">
        <v>111</v>
      </c>
      <c r="B23" s="27">
        <v>5714099</v>
      </c>
      <c r="C23" s="27" t="s">
        <v>11</v>
      </c>
      <c r="E23" s="25">
        <v>-5215.42</v>
      </c>
      <c r="F23" s="25">
        <v>-50.41</v>
      </c>
      <c r="G23" s="25">
        <v>0.06</v>
      </c>
      <c r="H23" s="25">
        <v>0</v>
      </c>
      <c r="I23" s="25">
        <f t="shared" si="0"/>
        <v>-5265.7699999999995</v>
      </c>
      <c r="J23" s="92">
        <v>16</v>
      </c>
      <c r="K23" s="153">
        <v>1630.42</v>
      </c>
      <c r="L23" s="86"/>
      <c r="M23" s="92"/>
      <c r="N23" s="22"/>
      <c r="T23" s="25"/>
    </row>
    <row r="24" spans="1:21" x14ac:dyDescent="0.25">
      <c r="A24">
        <v>111</v>
      </c>
      <c r="B24" s="27">
        <v>5714011</v>
      </c>
      <c r="C24" s="27" t="s">
        <v>10</v>
      </c>
      <c r="E24" s="25">
        <v>-45.8</v>
      </c>
      <c r="F24" s="25">
        <v>3179.86</v>
      </c>
      <c r="G24" s="25">
        <v>1052.21</v>
      </c>
      <c r="H24" s="25">
        <v>0</v>
      </c>
      <c r="I24" s="25">
        <f t="shared" si="0"/>
        <v>4186.2700000000004</v>
      </c>
      <c r="J24" s="92"/>
      <c r="K24" s="15"/>
      <c r="L24" s="92"/>
      <c r="M24" s="92"/>
      <c r="N24" s="22"/>
      <c r="T24" s="25"/>
    </row>
    <row r="25" spans="1:21" x14ac:dyDescent="0.25">
      <c r="A25">
        <v>111</v>
      </c>
      <c r="B25" s="27">
        <v>5714001</v>
      </c>
      <c r="C25" s="27" t="s">
        <v>126</v>
      </c>
      <c r="E25" s="25">
        <v>95104.15</v>
      </c>
      <c r="F25" s="25">
        <v>2026.45</v>
      </c>
      <c r="G25" s="25">
        <v>-2.78</v>
      </c>
      <c r="H25" s="25">
        <v>0</v>
      </c>
      <c r="I25" s="25">
        <f t="shared" si="0"/>
        <v>97127.819999999992</v>
      </c>
      <c r="J25" s="92"/>
      <c r="K25" s="15"/>
      <c r="L25" s="92"/>
      <c r="M25" s="92"/>
      <c r="N25" s="22"/>
      <c r="T25" s="25"/>
    </row>
    <row r="26" spans="1:21" x14ac:dyDescent="0.25">
      <c r="A26" s="4">
        <v>112</v>
      </c>
      <c r="B26" s="5"/>
      <c r="C26" s="5" t="s">
        <v>24</v>
      </c>
      <c r="D26" s="5"/>
      <c r="E26" s="9">
        <f>SUM(E27:E32)</f>
        <v>11346476.6</v>
      </c>
      <c r="F26" s="9">
        <f>SUM(F27:F32)</f>
        <v>3006833.29</v>
      </c>
      <c r="G26" s="9">
        <f>SUM(G27:G32)</f>
        <v>1401577</v>
      </c>
      <c r="H26" s="9">
        <f>SUM(H27:H32)</f>
        <v>428833.52</v>
      </c>
      <c r="I26" s="9">
        <f>SUM(I27:I32)</f>
        <v>16183720.41</v>
      </c>
      <c r="J26" s="92"/>
      <c r="K26" s="9">
        <f>SUM(K27:K32)</f>
        <v>18.3</v>
      </c>
      <c r="L26" s="89"/>
      <c r="M26" s="89">
        <v>1</v>
      </c>
      <c r="N26" s="9">
        <f>SUM(N27:N32)</f>
        <v>2801304.24</v>
      </c>
      <c r="O26" s="9">
        <f>+I26+K26-N26</f>
        <v>13382434.470000001</v>
      </c>
      <c r="P26" s="9"/>
      <c r="Q26" s="9">
        <f>SUM(Q27:Q32)</f>
        <v>0</v>
      </c>
      <c r="R26" s="9"/>
      <c r="S26" s="9">
        <f>SUM(S27:S32)</f>
        <v>0</v>
      </c>
      <c r="T26" s="9">
        <f>13382426+Q26-S26</f>
        <v>13382426</v>
      </c>
      <c r="U26" s="9">
        <f>O26-T26</f>
        <v>8.4700000006705523</v>
      </c>
    </row>
    <row r="27" spans="1:21" x14ac:dyDescent="0.25">
      <c r="A27">
        <v>112</v>
      </c>
      <c r="B27" s="27">
        <v>4300000</v>
      </c>
      <c r="C27" s="27" t="s">
        <v>25</v>
      </c>
      <c r="E27" s="25">
        <v>1240035.6100000001</v>
      </c>
      <c r="F27" s="25">
        <v>1707595.71</v>
      </c>
      <c r="G27" s="25">
        <v>1779.7</v>
      </c>
      <c r="H27" s="25">
        <v>0</v>
      </c>
      <c r="I27" s="25">
        <f t="shared" ref="I27:I33" si="1">SUM(E27:H27)</f>
        <v>2949411.0200000005</v>
      </c>
      <c r="J27" s="92"/>
      <c r="K27" s="22"/>
      <c r="L27" s="92"/>
      <c r="M27" s="92">
        <v>1</v>
      </c>
      <c r="N27" s="153">
        <v>1797978.83</v>
      </c>
      <c r="T27" s="25"/>
    </row>
    <row r="28" spans="1:21" x14ac:dyDescent="0.25">
      <c r="A28">
        <v>112</v>
      </c>
      <c r="B28" s="27">
        <v>4304000</v>
      </c>
      <c r="C28" s="27" t="s">
        <v>26</v>
      </c>
      <c r="E28" s="25">
        <v>9564004.2300000004</v>
      </c>
      <c r="F28" s="25">
        <v>839967.52</v>
      </c>
      <c r="G28" s="25">
        <v>29043</v>
      </c>
      <c r="H28" s="25">
        <v>0</v>
      </c>
      <c r="I28" s="25">
        <f t="shared" si="1"/>
        <v>10433014.75</v>
      </c>
      <c r="J28" s="92"/>
      <c r="K28" s="15"/>
      <c r="L28" s="92"/>
      <c r="M28" s="92"/>
      <c r="N28" s="22"/>
      <c r="T28" s="25"/>
    </row>
    <row r="29" spans="1:21" x14ac:dyDescent="0.25">
      <c r="A29">
        <v>112</v>
      </c>
      <c r="B29" s="27">
        <v>4304099</v>
      </c>
      <c r="C29" s="27" t="s">
        <v>132</v>
      </c>
      <c r="E29" s="25"/>
      <c r="F29" s="25">
        <v>8.4700000000000006</v>
      </c>
      <c r="G29" s="25">
        <v>0</v>
      </c>
      <c r="H29" s="25">
        <v>0</v>
      </c>
      <c r="I29" s="25">
        <f t="shared" si="1"/>
        <v>8.4700000000000006</v>
      </c>
      <c r="J29" s="92"/>
      <c r="K29" s="15"/>
      <c r="L29" s="92"/>
      <c r="M29" s="92"/>
      <c r="N29" s="22"/>
      <c r="T29" s="25"/>
    </row>
    <row r="30" spans="1:21" x14ac:dyDescent="0.25">
      <c r="A30">
        <v>112</v>
      </c>
      <c r="B30" s="27">
        <v>4330001</v>
      </c>
      <c r="C30" s="27" t="s">
        <v>27</v>
      </c>
      <c r="E30" s="25">
        <v>0</v>
      </c>
      <c r="F30" s="25">
        <v>0</v>
      </c>
      <c r="G30" s="25">
        <v>1369127.24</v>
      </c>
      <c r="H30" s="25">
        <v>428833.52</v>
      </c>
      <c r="I30" s="25">
        <f t="shared" si="1"/>
        <v>1797960.76</v>
      </c>
      <c r="J30" s="92"/>
      <c r="K30" s="15">
        <v>18.3</v>
      </c>
      <c r="L30" s="92"/>
      <c r="M30" s="92">
        <v>1</v>
      </c>
      <c r="N30" s="153">
        <v>1003325.41</v>
      </c>
      <c r="T30" s="25"/>
    </row>
    <row r="31" spans="1:21" x14ac:dyDescent="0.25">
      <c r="A31">
        <v>112</v>
      </c>
      <c r="B31" s="27">
        <v>4330002</v>
      </c>
      <c r="C31" s="27" t="s">
        <v>28</v>
      </c>
      <c r="E31" s="25">
        <v>542436.76</v>
      </c>
      <c r="F31" s="25">
        <v>459261.59</v>
      </c>
      <c r="G31" s="25">
        <v>1627.06</v>
      </c>
      <c r="H31" s="25">
        <v>0</v>
      </c>
      <c r="I31" s="25">
        <f t="shared" si="1"/>
        <v>1003325.4100000001</v>
      </c>
      <c r="J31" s="92"/>
      <c r="K31" s="15"/>
      <c r="L31" s="92"/>
      <c r="M31" s="92"/>
      <c r="N31" s="22"/>
      <c r="T31" s="25"/>
    </row>
    <row r="32" spans="1:21" x14ac:dyDescent="0.25">
      <c r="A32">
        <v>112</v>
      </c>
      <c r="B32" s="27">
        <v>4404000</v>
      </c>
      <c r="C32" s="27" t="s">
        <v>133</v>
      </c>
      <c r="E32" s="25"/>
      <c r="F32" s="25">
        <v>0</v>
      </c>
      <c r="G32" s="25">
        <v>0</v>
      </c>
      <c r="H32" s="25">
        <v>0</v>
      </c>
      <c r="I32" s="25">
        <f t="shared" si="1"/>
        <v>0</v>
      </c>
      <c r="J32" s="94"/>
      <c r="K32" s="15"/>
      <c r="L32" s="92"/>
      <c r="M32" s="92"/>
      <c r="N32" s="22"/>
      <c r="T32" s="25"/>
    </row>
    <row r="33" spans="1:21" x14ac:dyDescent="0.25">
      <c r="A33" s="8">
        <v>129</v>
      </c>
      <c r="B33" s="8">
        <v>4900000</v>
      </c>
      <c r="C33" s="8" t="s">
        <v>29</v>
      </c>
      <c r="D33" s="13"/>
      <c r="E33" s="13">
        <v>-340394.3</v>
      </c>
      <c r="F33" s="13">
        <v>-87307.31</v>
      </c>
      <c r="G33" s="13">
        <v>-41372.33</v>
      </c>
      <c r="H33" s="13">
        <v>-12717.76</v>
      </c>
      <c r="I33" s="9">
        <f t="shared" si="1"/>
        <v>-481791.7</v>
      </c>
      <c r="J33" s="94">
        <v>4</v>
      </c>
      <c r="K33" s="225">
        <v>80319</v>
      </c>
      <c r="L33" s="89"/>
      <c r="M33" s="89"/>
      <c r="N33" s="9">
        <v>0</v>
      </c>
      <c r="O33" s="9">
        <f>+I33+K33-N33</f>
        <v>-401472.7</v>
      </c>
      <c r="P33" s="9"/>
      <c r="Q33" s="9"/>
      <c r="R33" s="9"/>
      <c r="S33" s="9"/>
      <c r="T33" s="9">
        <v>-401472</v>
      </c>
      <c r="U33" s="9">
        <f>O33-T33</f>
        <v>-0.70000000001164153</v>
      </c>
    </row>
    <row r="34" spans="1:21" x14ac:dyDescent="0.25">
      <c r="A34" s="4">
        <v>113</v>
      </c>
      <c r="B34" s="5"/>
      <c r="C34" s="5" t="s">
        <v>30</v>
      </c>
      <c r="D34" s="5"/>
      <c r="E34" s="9">
        <f>SUM(E35)</f>
        <v>48413.73</v>
      </c>
      <c r="F34" s="9">
        <f>SUM(F35)</f>
        <v>50533.18</v>
      </c>
      <c r="G34" s="9">
        <f>SUM(G35)</f>
        <v>5370.23</v>
      </c>
      <c r="H34" s="9">
        <f>SUM(H35)</f>
        <v>137.5</v>
      </c>
      <c r="I34" s="9">
        <f>SUM(I35)</f>
        <v>104454.64</v>
      </c>
      <c r="J34" s="97"/>
      <c r="K34" s="9">
        <f>K35</f>
        <v>0</v>
      </c>
      <c r="L34" s="89"/>
      <c r="M34" s="89"/>
      <c r="N34" s="9">
        <f>N35</f>
        <v>0</v>
      </c>
      <c r="O34" s="9">
        <f>+I34+K34-N34</f>
        <v>104454.64</v>
      </c>
      <c r="P34" s="9"/>
      <c r="Q34" s="9">
        <f>Q35</f>
        <v>0</v>
      </c>
      <c r="R34" s="9"/>
      <c r="S34" s="9">
        <f>S35</f>
        <v>0</v>
      </c>
      <c r="T34" s="9">
        <f>104455+Q34-S34</f>
        <v>104455</v>
      </c>
      <c r="U34" s="9">
        <f>O34-T34</f>
        <v>-0.36000000000058208</v>
      </c>
    </row>
    <row r="35" spans="1:21" x14ac:dyDescent="0.25">
      <c r="A35" s="22">
        <v>113</v>
      </c>
      <c r="B35" s="27">
        <v>4170004</v>
      </c>
      <c r="C35" s="27" t="s">
        <v>34</v>
      </c>
      <c r="D35" s="22"/>
      <c r="E35" s="25">
        <v>48413.73</v>
      </c>
      <c r="F35" s="25">
        <v>50533.18</v>
      </c>
      <c r="G35" s="25">
        <v>5370.23</v>
      </c>
      <c r="H35" s="25">
        <v>137.5</v>
      </c>
      <c r="I35" s="25">
        <f>SUM(E35:H35)</f>
        <v>104454.64</v>
      </c>
      <c r="J35" s="97"/>
      <c r="K35" s="33"/>
      <c r="L35" s="90"/>
      <c r="M35" s="90"/>
      <c r="N35" s="33"/>
      <c r="O35" s="25"/>
      <c r="P35" s="197"/>
      <c r="Q35" s="197"/>
      <c r="R35" s="197"/>
      <c r="S35" s="197"/>
      <c r="T35" s="25"/>
    </row>
    <row r="36" spans="1:21" x14ac:dyDescent="0.25">
      <c r="A36" s="4"/>
      <c r="B36" s="5"/>
      <c r="C36" s="5" t="s">
        <v>153</v>
      </c>
      <c r="D36" s="5"/>
      <c r="E36" s="9">
        <f>SUM(E37:E51)</f>
        <v>1372516.2000000002</v>
      </c>
      <c r="F36" s="9">
        <f>SUM(F37:F51)</f>
        <v>201643.54</v>
      </c>
      <c r="G36" s="9">
        <f>SUM(G37:G51)</f>
        <v>470914.72000000003</v>
      </c>
      <c r="H36" s="9">
        <f>SUM(H37:H51)</f>
        <v>4757.95</v>
      </c>
      <c r="I36" s="9">
        <f>SUM(I37:I51)</f>
        <v>2049832.4100000001</v>
      </c>
      <c r="J36" s="97"/>
      <c r="K36" s="9">
        <f>SUM(K37:K51)</f>
        <v>0</v>
      </c>
      <c r="L36" s="89"/>
      <c r="M36" s="89">
        <v>2</v>
      </c>
      <c r="N36" s="9">
        <f>SUM(N37:N51)</f>
        <v>360107.85</v>
      </c>
      <c r="O36" s="9">
        <f>+I36+K36-N36</f>
        <v>1689724.56</v>
      </c>
      <c r="P36" s="9"/>
      <c r="Q36" s="9">
        <f>SUM(Q37:Q51)</f>
        <v>0</v>
      </c>
      <c r="R36" s="9"/>
      <c r="S36" s="9">
        <f>SUM(S37:S51)</f>
        <v>0</v>
      </c>
      <c r="T36" s="9">
        <f>1689724+Q36-S36</f>
        <v>1689724</v>
      </c>
      <c r="U36" s="9">
        <f>O36-T36</f>
        <v>0.56000000005587935</v>
      </c>
    </row>
    <row r="37" spans="1:21" x14ac:dyDescent="0.25">
      <c r="A37" s="16"/>
      <c r="B37" s="27">
        <v>2650000</v>
      </c>
      <c r="C37" s="27" t="s">
        <v>76</v>
      </c>
      <c r="E37" s="25">
        <v>14094.88</v>
      </c>
      <c r="F37" s="25">
        <v>0</v>
      </c>
      <c r="G37" s="25">
        <v>2499.98</v>
      </c>
      <c r="H37" s="25">
        <v>0</v>
      </c>
      <c r="I37" s="25">
        <f>SUM(E37:H37)</f>
        <v>16594.86</v>
      </c>
      <c r="J37" s="97"/>
      <c r="K37" s="33"/>
      <c r="L37" s="90"/>
      <c r="M37" s="90"/>
      <c r="N37" s="33"/>
      <c r="O37" s="25"/>
      <c r="P37" s="197"/>
      <c r="Q37" s="197"/>
      <c r="R37" s="197"/>
      <c r="S37" s="197"/>
      <c r="T37" s="25"/>
    </row>
    <row r="38" spans="1:21" x14ac:dyDescent="0.25">
      <c r="A38" s="16"/>
      <c r="B38" s="27">
        <v>2100000</v>
      </c>
      <c r="C38" s="27" t="s">
        <v>77</v>
      </c>
      <c r="E38" s="25">
        <v>0</v>
      </c>
      <c r="F38" s="25">
        <v>0</v>
      </c>
      <c r="G38" s="25">
        <v>8986.66</v>
      </c>
      <c r="H38" s="25">
        <v>0</v>
      </c>
      <c r="I38" s="25">
        <f>SUM(E38:H38)</f>
        <v>8986.66</v>
      </c>
      <c r="J38" s="97"/>
      <c r="K38" s="33"/>
      <c r="L38" s="90"/>
      <c r="M38" s="90"/>
      <c r="N38" s="33"/>
      <c r="O38" s="25"/>
      <c r="P38" s="197"/>
      <c r="Q38" s="197"/>
      <c r="R38" s="197"/>
      <c r="S38" s="197"/>
      <c r="T38" s="25"/>
    </row>
    <row r="39" spans="1:21" x14ac:dyDescent="0.25">
      <c r="A39">
        <v>113</v>
      </c>
      <c r="B39" s="27">
        <v>4070000</v>
      </c>
      <c r="C39" s="27" t="s">
        <v>31</v>
      </c>
      <c r="E39" s="25">
        <v>266818.14</v>
      </c>
      <c r="F39" s="25">
        <v>86800.55</v>
      </c>
      <c r="G39" s="25">
        <v>483921.37</v>
      </c>
      <c r="H39" s="25">
        <v>4757.95</v>
      </c>
      <c r="I39" s="25">
        <f t="shared" ref="I39:I52" si="2">SUM(E39:H39)</f>
        <v>842298.01</v>
      </c>
      <c r="J39" s="94"/>
      <c r="K39" s="10"/>
      <c r="T39" s="25"/>
      <c r="U39" s="34"/>
    </row>
    <row r="40" spans="1:21" x14ac:dyDescent="0.25">
      <c r="A40">
        <v>113</v>
      </c>
      <c r="B40" s="27">
        <v>4070001</v>
      </c>
      <c r="C40" s="27" t="s">
        <v>32</v>
      </c>
      <c r="E40" s="25">
        <v>357237.03</v>
      </c>
      <c r="F40" s="25">
        <v>205.64</v>
      </c>
      <c r="G40" s="25">
        <v>-47888.1</v>
      </c>
      <c r="H40" s="25">
        <v>0</v>
      </c>
      <c r="I40" s="25">
        <f t="shared" si="2"/>
        <v>309554.57000000007</v>
      </c>
      <c r="J40" s="94"/>
      <c r="T40" s="25"/>
    </row>
    <row r="41" spans="1:21" x14ac:dyDescent="0.25">
      <c r="A41">
        <v>113</v>
      </c>
      <c r="B41" s="27">
        <v>4070002</v>
      </c>
      <c r="C41" s="27" t="s">
        <v>33</v>
      </c>
      <c r="E41" s="25">
        <v>0</v>
      </c>
      <c r="F41" s="25">
        <v>0</v>
      </c>
      <c r="G41" s="25">
        <v>0</v>
      </c>
      <c r="H41" s="25">
        <v>0</v>
      </c>
      <c r="I41" s="25">
        <f t="shared" si="2"/>
        <v>0</v>
      </c>
      <c r="J41" s="92"/>
      <c r="T41" s="25"/>
    </row>
    <row r="42" spans="1:21" x14ac:dyDescent="0.25">
      <c r="A42">
        <v>113</v>
      </c>
      <c r="B42" s="27">
        <v>4070091</v>
      </c>
      <c r="C42" s="27" t="s">
        <v>117</v>
      </c>
      <c r="E42" s="25">
        <v>0</v>
      </c>
      <c r="F42" s="25">
        <v>0</v>
      </c>
      <c r="G42" s="25">
        <v>0</v>
      </c>
      <c r="H42" s="25">
        <v>0</v>
      </c>
      <c r="I42" s="25">
        <f t="shared" si="2"/>
        <v>0</v>
      </c>
      <c r="J42" s="92"/>
      <c r="T42" s="25"/>
    </row>
    <row r="43" spans="1:21" x14ac:dyDescent="0.25">
      <c r="A43">
        <v>113</v>
      </c>
      <c r="B43" s="27">
        <v>4070099</v>
      </c>
      <c r="C43" s="27" t="s">
        <v>118</v>
      </c>
      <c r="E43" s="25">
        <v>0</v>
      </c>
      <c r="F43" s="25">
        <v>0</v>
      </c>
      <c r="G43" s="25">
        <v>0</v>
      </c>
      <c r="H43" s="25">
        <v>0</v>
      </c>
      <c r="I43" s="25">
        <f t="shared" si="2"/>
        <v>0</v>
      </c>
      <c r="J43" s="92"/>
      <c r="T43" s="25"/>
    </row>
    <row r="44" spans="1:21" x14ac:dyDescent="0.25">
      <c r="A44">
        <v>113</v>
      </c>
      <c r="B44" s="27">
        <v>4170092</v>
      </c>
      <c r="C44" s="27" t="s">
        <v>119</v>
      </c>
      <c r="E44" s="25">
        <v>0</v>
      </c>
      <c r="F44" s="25">
        <v>0</v>
      </c>
      <c r="G44" s="25">
        <v>0</v>
      </c>
      <c r="H44" s="25">
        <v>0</v>
      </c>
      <c r="I44" s="25">
        <f t="shared" si="2"/>
        <v>0</v>
      </c>
      <c r="J44" s="92"/>
      <c r="T44" s="25"/>
    </row>
    <row r="45" spans="1:21" x14ac:dyDescent="0.25">
      <c r="A45">
        <v>113</v>
      </c>
      <c r="B45" s="27">
        <v>4600014</v>
      </c>
      <c r="C45" s="27" t="s">
        <v>35</v>
      </c>
      <c r="E45" s="25">
        <v>0</v>
      </c>
      <c r="F45" s="25">
        <v>0</v>
      </c>
      <c r="G45" s="25">
        <v>0</v>
      </c>
      <c r="H45" s="25">
        <v>0</v>
      </c>
      <c r="I45" s="25">
        <f t="shared" si="2"/>
        <v>0</v>
      </c>
      <c r="J45" s="92"/>
      <c r="T45" s="25"/>
    </row>
    <row r="46" spans="1:21" x14ac:dyDescent="0.25">
      <c r="A46">
        <v>113</v>
      </c>
      <c r="B46" s="27">
        <v>4000000</v>
      </c>
      <c r="C46" s="27" t="s">
        <v>128</v>
      </c>
      <c r="E46" s="25">
        <v>0.55000000000000004</v>
      </c>
      <c r="F46" s="25">
        <v>0</v>
      </c>
      <c r="G46" s="25">
        <v>0</v>
      </c>
      <c r="H46" s="25">
        <v>0</v>
      </c>
      <c r="I46" s="25">
        <f t="shared" si="2"/>
        <v>0.55000000000000004</v>
      </c>
      <c r="J46" s="92"/>
      <c r="T46" s="25"/>
    </row>
    <row r="47" spans="1:21" x14ac:dyDescent="0.25">
      <c r="A47">
        <v>113</v>
      </c>
      <c r="B47" s="27">
        <v>4600001</v>
      </c>
      <c r="C47" s="27" t="s">
        <v>36</v>
      </c>
      <c r="E47" s="25">
        <v>2000</v>
      </c>
      <c r="F47" s="25">
        <v>0</v>
      </c>
      <c r="G47" s="25">
        <v>0</v>
      </c>
      <c r="H47" s="25">
        <v>0</v>
      </c>
      <c r="I47" s="25">
        <f t="shared" si="2"/>
        <v>2000</v>
      </c>
      <c r="J47" s="92"/>
      <c r="T47" s="25"/>
    </row>
    <row r="48" spans="1:21" x14ac:dyDescent="0.25">
      <c r="A48">
        <v>113</v>
      </c>
      <c r="B48" s="27">
        <v>4600012</v>
      </c>
      <c r="C48" s="27" t="s">
        <v>37</v>
      </c>
      <c r="E48" s="25">
        <v>2198</v>
      </c>
      <c r="F48" s="25">
        <v>0</v>
      </c>
      <c r="G48" s="25">
        <v>0</v>
      </c>
      <c r="H48" s="25">
        <v>0</v>
      </c>
      <c r="I48" s="25">
        <f t="shared" si="2"/>
        <v>2198</v>
      </c>
      <c r="J48" s="92"/>
      <c r="T48" s="25"/>
    </row>
    <row r="49" spans="1:24" x14ac:dyDescent="0.25">
      <c r="A49">
        <v>113</v>
      </c>
      <c r="B49" s="27">
        <v>4600014</v>
      </c>
      <c r="C49" s="27" t="s">
        <v>35</v>
      </c>
      <c r="E49" s="25">
        <v>63.34</v>
      </c>
      <c r="F49" s="25">
        <v>0.42</v>
      </c>
      <c r="G49" s="25">
        <v>0</v>
      </c>
      <c r="H49" s="25">
        <v>0</v>
      </c>
      <c r="I49" s="25">
        <f t="shared" si="2"/>
        <v>63.760000000000005</v>
      </c>
      <c r="J49" s="92"/>
      <c r="T49" s="25"/>
    </row>
    <row r="50" spans="1:24" x14ac:dyDescent="0.25">
      <c r="A50">
        <v>113</v>
      </c>
      <c r="B50" s="27">
        <v>4800000</v>
      </c>
      <c r="C50" s="27" t="s">
        <v>44</v>
      </c>
      <c r="E50" s="25">
        <v>316995.94</v>
      </c>
      <c r="F50" s="25">
        <v>12970.8</v>
      </c>
      <c r="G50" s="25">
        <v>23394.81</v>
      </c>
      <c r="H50" s="25">
        <v>0</v>
      </c>
      <c r="I50" s="25">
        <f t="shared" si="2"/>
        <v>353361.55</v>
      </c>
      <c r="J50" s="92"/>
      <c r="T50" s="25"/>
    </row>
    <row r="51" spans="1:24" x14ac:dyDescent="0.25">
      <c r="A51">
        <v>113</v>
      </c>
      <c r="B51" s="27">
        <v>5430000</v>
      </c>
      <c r="C51" s="27" t="s">
        <v>45</v>
      </c>
      <c r="E51" s="25">
        <v>413108.32</v>
      </c>
      <c r="F51" s="25">
        <v>101666.13</v>
      </c>
      <c r="G51" s="25">
        <v>0</v>
      </c>
      <c r="H51" s="25">
        <v>0</v>
      </c>
      <c r="I51" s="25">
        <f t="shared" si="2"/>
        <v>514774.45</v>
      </c>
      <c r="J51" s="92"/>
      <c r="M51" s="87">
        <v>2</v>
      </c>
      <c r="N51" s="153">
        <v>360107.85</v>
      </c>
      <c r="T51" s="25"/>
    </row>
    <row r="52" spans="1:24" x14ac:dyDescent="0.25">
      <c r="A52" s="31">
        <v>113</v>
      </c>
      <c r="B52" s="32">
        <v>5510000</v>
      </c>
      <c r="C52" s="32" t="s">
        <v>46</v>
      </c>
      <c r="D52" s="31"/>
      <c r="E52" s="26">
        <v>3086978.14</v>
      </c>
      <c r="F52" s="26">
        <v>0</v>
      </c>
      <c r="G52" s="26">
        <v>0</v>
      </c>
      <c r="H52" s="26">
        <v>0</v>
      </c>
      <c r="I52" s="26">
        <f t="shared" si="2"/>
        <v>3086978.14</v>
      </c>
      <c r="J52" s="92"/>
      <c r="K52" s="26">
        <v>0</v>
      </c>
      <c r="L52" s="91"/>
      <c r="M52" s="91">
        <v>2</v>
      </c>
      <c r="N52" s="222">
        <v>3086978.14</v>
      </c>
      <c r="O52" s="26">
        <f>+I52+K52-N52</f>
        <v>0</v>
      </c>
      <c r="P52" s="26"/>
      <c r="Q52" s="26"/>
      <c r="R52" s="26"/>
      <c r="S52" s="26"/>
      <c r="T52" s="26">
        <v>0</v>
      </c>
      <c r="U52" s="26">
        <f>O52-T52</f>
        <v>0</v>
      </c>
    </row>
    <row r="53" spans="1:24" x14ac:dyDescent="0.25">
      <c r="A53" s="4">
        <v>114</v>
      </c>
      <c r="B53" s="5"/>
      <c r="C53" s="5" t="s">
        <v>47</v>
      </c>
      <c r="D53" s="5"/>
      <c r="E53" s="9">
        <f>SUM(E54:E62)</f>
        <v>3189161.1000000006</v>
      </c>
      <c r="F53" s="9">
        <f>SUM(F54:F62)</f>
        <v>1079219.47</v>
      </c>
      <c r="G53" s="9">
        <f>SUM(G54:G62)</f>
        <v>1430774.95</v>
      </c>
      <c r="H53" s="9">
        <f>SUM(H54:H62)</f>
        <v>157455.74</v>
      </c>
      <c r="I53" s="9">
        <f>SUM(I54:I62)</f>
        <v>5856611.2599999998</v>
      </c>
      <c r="J53" s="98"/>
      <c r="K53" s="9">
        <f>SUM(K54:K62)</f>
        <v>0</v>
      </c>
      <c r="L53" s="89"/>
      <c r="M53" s="89"/>
      <c r="N53" s="9">
        <f>SUM(N54:N62)</f>
        <v>986552.89</v>
      </c>
      <c r="O53" s="9">
        <f>+I53+K53-N53</f>
        <v>4870058.37</v>
      </c>
      <c r="P53" s="9"/>
      <c r="Q53" s="9">
        <f>SUM(Q54:Q62)</f>
        <v>458088.39</v>
      </c>
      <c r="R53" s="9"/>
      <c r="S53" s="9">
        <f>SUM(S54:S62)</f>
        <v>458088.39</v>
      </c>
      <c r="T53" s="9">
        <f>4870059+Q53-S53</f>
        <v>4870059</v>
      </c>
      <c r="U53" s="9">
        <f>O53-T53</f>
        <v>-0.62999999988824129</v>
      </c>
      <c r="V53" s="25">
        <f>U53/2</f>
        <v>-0.31499999994412065</v>
      </c>
      <c r="W53" s="25">
        <v>36498</v>
      </c>
      <c r="X53" s="25">
        <f>V53-W53</f>
        <v>-36498.314999999944</v>
      </c>
    </row>
    <row r="54" spans="1:24" x14ac:dyDescent="0.25">
      <c r="A54">
        <v>114</v>
      </c>
      <c r="B54" s="27">
        <v>3100000</v>
      </c>
      <c r="C54" s="27" t="s">
        <v>48</v>
      </c>
      <c r="E54" s="25">
        <v>212488.84</v>
      </c>
      <c r="F54" s="25">
        <v>9675.42</v>
      </c>
      <c r="G54" s="25">
        <v>594835.97</v>
      </c>
      <c r="H54" s="25">
        <v>39599.4</v>
      </c>
      <c r="I54" s="25">
        <f t="shared" ref="I54:I61" si="3">SUM(E54:H54)</f>
        <v>856599.63</v>
      </c>
      <c r="K54" s="22"/>
      <c r="L54" s="92"/>
      <c r="M54" s="92"/>
      <c r="N54" s="197"/>
      <c r="O54" s="22"/>
      <c r="P54" s="22"/>
      <c r="Q54" s="22"/>
      <c r="R54" s="22"/>
      <c r="S54" s="22"/>
      <c r="T54" s="197"/>
      <c r="U54" s="22"/>
      <c r="V54" s="22"/>
      <c r="W54" s="22"/>
    </row>
    <row r="55" spans="1:24" x14ac:dyDescent="0.25">
      <c r="A55">
        <v>114</v>
      </c>
      <c r="B55" s="27">
        <v>3270000</v>
      </c>
      <c r="C55" s="27" t="s">
        <v>49</v>
      </c>
      <c r="E55" s="25">
        <v>26526.03</v>
      </c>
      <c r="F55" s="25">
        <v>23026.04</v>
      </c>
      <c r="G55" s="25">
        <v>355372.99</v>
      </c>
      <c r="H55" s="25">
        <v>10332.09</v>
      </c>
      <c r="I55" s="25">
        <f t="shared" si="3"/>
        <v>415257.15</v>
      </c>
      <c r="K55" s="22"/>
      <c r="L55" s="92"/>
      <c r="M55" s="92"/>
      <c r="N55" s="22"/>
      <c r="O55" s="22"/>
      <c r="P55" s="22"/>
      <c r="Q55" s="22"/>
      <c r="R55" s="22"/>
      <c r="S55" s="22"/>
      <c r="T55" s="197"/>
      <c r="U55" s="22"/>
      <c r="V55" s="22"/>
      <c r="W55" s="22"/>
    </row>
    <row r="56" spans="1:24" x14ac:dyDescent="0.25">
      <c r="A56">
        <v>114</v>
      </c>
      <c r="B56" s="27">
        <v>3500000</v>
      </c>
      <c r="C56" s="27" t="s">
        <v>50</v>
      </c>
      <c r="E56" s="25">
        <v>2341581.2400000002</v>
      </c>
      <c r="F56" s="25">
        <v>348201.09</v>
      </c>
      <c r="G56" s="25">
        <v>59254.96</v>
      </c>
      <c r="H56" s="25">
        <v>0</v>
      </c>
      <c r="I56" s="25">
        <f t="shared" si="3"/>
        <v>2749037.29</v>
      </c>
      <c r="J56" s="87">
        <v>21</v>
      </c>
      <c r="K56" s="197"/>
      <c r="L56" s="92"/>
      <c r="M56" s="92">
        <v>11</v>
      </c>
      <c r="N56" s="153">
        <f>40000+134681+98449</f>
        <v>273130</v>
      </c>
      <c r="O56" s="22"/>
      <c r="P56" s="22"/>
      <c r="Q56" s="197"/>
      <c r="R56" s="197"/>
      <c r="S56" s="197"/>
      <c r="T56" s="197"/>
      <c r="U56" s="22"/>
      <c r="V56" s="22"/>
      <c r="W56" s="22"/>
    </row>
    <row r="57" spans="1:24" x14ac:dyDescent="0.25">
      <c r="A57">
        <v>115</v>
      </c>
      <c r="B57" s="27">
        <v>3700000</v>
      </c>
      <c r="C57" s="27" t="s">
        <v>51</v>
      </c>
      <c r="E57" s="25">
        <v>512783.33</v>
      </c>
      <c r="F57" s="25">
        <v>249372.2</v>
      </c>
      <c r="G57" s="25">
        <v>241693.29</v>
      </c>
      <c r="H57" s="25">
        <v>106352.44</v>
      </c>
      <c r="I57" s="25">
        <f t="shared" si="3"/>
        <v>1110201.26</v>
      </c>
      <c r="K57" s="22"/>
      <c r="L57" s="92"/>
      <c r="M57" s="92"/>
      <c r="N57" s="22"/>
      <c r="O57" s="22"/>
      <c r="P57" s="22"/>
      <c r="Q57" s="22"/>
      <c r="R57" s="22"/>
      <c r="S57" s="22"/>
      <c r="T57" s="197"/>
      <c r="U57" s="22"/>
      <c r="V57" s="22"/>
      <c r="W57" s="22"/>
    </row>
    <row r="58" spans="1:24" x14ac:dyDescent="0.25">
      <c r="A58">
        <v>115</v>
      </c>
      <c r="B58" s="27">
        <v>3700009</v>
      </c>
      <c r="C58" s="27" t="s">
        <v>120</v>
      </c>
      <c r="E58" s="25">
        <v>0</v>
      </c>
      <c r="F58" s="25">
        <v>0</v>
      </c>
      <c r="G58" s="25">
        <v>0</v>
      </c>
      <c r="H58" s="25">
        <v>0</v>
      </c>
      <c r="I58" s="25">
        <f t="shared" si="3"/>
        <v>0</v>
      </c>
      <c r="K58" s="22"/>
      <c r="L58" s="92"/>
      <c r="M58" s="92"/>
      <c r="N58" s="22"/>
      <c r="O58" s="22"/>
      <c r="P58" s="22"/>
      <c r="Q58" s="22"/>
      <c r="R58" s="22"/>
      <c r="S58" s="22"/>
      <c r="T58" s="197"/>
      <c r="U58" s="22"/>
      <c r="V58" s="22"/>
      <c r="W58" s="22"/>
    </row>
    <row r="59" spans="1:24" x14ac:dyDescent="0.25">
      <c r="A59">
        <v>115</v>
      </c>
      <c r="B59" s="27">
        <v>3350000</v>
      </c>
      <c r="C59" s="27" t="s">
        <v>130</v>
      </c>
      <c r="E59" s="25">
        <v>0</v>
      </c>
      <c r="F59" s="25">
        <v>12093.04</v>
      </c>
      <c r="G59" s="25">
        <v>0</v>
      </c>
      <c r="H59" s="25">
        <v>0</v>
      </c>
      <c r="I59" s="25">
        <f t="shared" si="3"/>
        <v>12093.04</v>
      </c>
      <c r="K59" s="22"/>
      <c r="L59" s="92"/>
      <c r="M59" s="92"/>
      <c r="N59" s="22"/>
      <c r="O59" s="22"/>
      <c r="P59" s="22"/>
      <c r="Q59" s="22"/>
      <c r="R59" s="22"/>
      <c r="S59" s="22"/>
      <c r="T59" s="197"/>
      <c r="U59" s="22"/>
      <c r="V59" s="22"/>
      <c r="W59" s="22"/>
    </row>
    <row r="60" spans="1:24" x14ac:dyDescent="0.25">
      <c r="A60">
        <v>117</v>
      </c>
      <c r="B60" s="27">
        <v>3500001</v>
      </c>
      <c r="C60" s="27" t="s">
        <v>52</v>
      </c>
      <c r="E60" s="25">
        <v>95781.66</v>
      </c>
      <c r="F60" s="25">
        <v>306895.46000000002</v>
      </c>
      <c r="G60" s="25">
        <v>42164.3</v>
      </c>
      <c r="H60" s="25">
        <v>1637.34</v>
      </c>
      <c r="I60" s="25">
        <f t="shared" si="3"/>
        <v>446478.76</v>
      </c>
      <c r="K60" s="22"/>
      <c r="L60" s="92"/>
      <c r="M60" s="92">
        <v>14</v>
      </c>
      <c r="N60" s="197">
        <v>446478.76</v>
      </c>
      <c r="O60" s="22"/>
      <c r="P60" s="22"/>
      <c r="Q60" s="22"/>
      <c r="R60" s="22"/>
      <c r="S60" s="22"/>
      <c r="T60" s="197"/>
      <c r="U60" s="22"/>
      <c r="V60" s="22"/>
      <c r="W60" s="22"/>
    </row>
    <row r="61" spans="1:24" x14ac:dyDescent="0.25">
      <c r="A61">
        <v>118</v>
      </c>
      <c r="B61" s="27">
        <v>3900000</v>
      </c>
      <c r="C61" s="27" t="s">
        <v>131</v>
      </c>
      <c r="E61" s="25">
        <v>0</v>
      </c>
      <c r="F61" s="25">
        <v>129956.22</v>
      </c>
      <c r="G61" s="25">
        <v>137453.44</v>
      </c>
      <c r="H61" s="25">
        <v>-465.53</v>
      </c>
      <c r="I61" s="25">
        <f t="shared" si="3"/>
        <v>266944.13</v>
      </c>
      <c r="K61" s="22"/>
      <c r="L61" s="92"/>
      <c r="M61" s="92">
        <v>11</v>
      </c>
      <c r="N61" s="153">
        <v>266944.13</v>
      </c>
      <c r="O61" s="22"/>
      <c r="P61" s="22"/>
      <c r="Q61" s="22"/>
      <c r="R61" s="22"/>
      <c r="S61" s="22"/>
      <c r="T61" s="197"/>
      <c r="U61" s="22"/>
      <c r="V61" s="22">
        <f>40000+134681</f>
        <v>174681</v>
      </c>
      <c r="W61" s="22"/>
    </row>
    <row r="62" spans="1:24" x14ac:dyDescent="0.25">
      <c r="B62" s="27"/>
      <c r="C62" s="27" t="s">
        <v>337</v>
      </c>
      <c r="E62" s="25">
        <v>0</v>
      </c>
      <c r="F62" s="25">
        <v>0</v>
      </c>
      <c r="G62" s="25">
        <v>0</v>
      </c>
      <c r="H62" s="25">
        <v>0</v>
      </c>
      <c r="I62" s="25">
        <v>0</v>
      </c>
      <c r="J62" s="87" t="s">
        <v>345</v>
      </c>
      <c r="K62" s="197"/>
      <c r="L62" s="208" t="s">
        <v>351</v>
      </c>
      <c r="M62" s="92">
        <v>8</v>
      </c>
      <c r="N62" s="197"/>
      <c r="O62" s="22"/>
      <c r="P62" s="22"/>
      <c r="Q62" s="197">
        <f>423772+34316.39</f>
        <v>458088.39</v>
      </c>
      <c r="R62" s="197"/>
      <c r="S62" s="197">
        <f>423772+34316.39</f>
        <v>458088.39</v>
      </c>
      <c r="T62" s="197"/>
      <c r="U62" s="22"/>
      <c r="V62" s="197">
        <f>40000+13311+44759</f>
        <v>98070</v>
      </c>
      <c r="W62" s="197">
        <f>423772+34316.39</f>
        <v>458088.39</v>
      </c>
    </row>
    <row r="63" spans="1:24" x14ac:dyDescent="0.25">
      <c r="A63" s="4">
        <v>119</v>
      </c>
      <c r="B63" s="5"/>
      <c r="C63" s="5" t="s">
        <v>53</v>
      </c>
      <c r="D63" s="5"/>
      <c r="E63" s="9">
        <f>+E64</f>
        <v>142519.17000000001</v>
      </c>
      <c r="F63" s="9">
        <f>+F64</f>
        <v>917.14</v>
      </c>
      <c r="G63" s="9">
        <f>+G64</f>
        <v>6682.02</v>
      </c>
      <c r="H63" s="9">
        <f>+H64</f>
        <v>0</v>
      </c>
      <c r="I63" s="9">
        <f>+I64</f>
        <v>150118.33000000002</v>
      </c>
      <c r="J63" s="98"/>
      <c r="K63" s="9">
        <f>SUM(K64)</f>
        <v>0</v>
      </c>
      <c r="L63" s="89"/>
      <c r="M63" s="89"/>
      <c r="N63" s="9">
        <f>SUM(N64)</f>
        <v>150118.33000000002</v>
      </c>
      <c r="O63" s="9">
        <f>+I63+K63-N63</f>
        <v>0</v>
      </c>
      <c r="P63" s="9"/>
      <c r="Q63" s="9">
        <f>SUM(Q64)</f>
        <v>0</v>
      </c>
      <c r="R63" s="9"/>
      <c r="S63" s="9">
        <f>SUM(S64)</f>
        <v>0</v>
      </c>
      <c r="T63" s="9">
        <f>O63+Q63-S63</f>
        <v>0</v>
      </c>
      <c r="U63" s="9">
        <f>O63-T63</f>
        <v>0</v>
      </c>
      <c r="V63" s="212">
        <f>V61-V62</f>
        <v>76611</v>
      </c>
      <c r="W63" s="197">
        <f>-176228-423772</f>
        <v>-600000</v>
      </c>
    </row>
    <row r="64" spans="1:24" x14ac:dyDescent="0.25">
      <c r="A64">
        <v>113</v>
      </c>
      <c r="B64" s="27">
        <v>1603002</v>
      </c>
      <c r="C64" s="27" t="s">
        <v>54</v>
      </c>
      <c r="E64" s="25">
        <v>142519.17000000001</v>
      </c>
      <c r="F64" s="25">
        <v>917.14</v>
      </c>
      <c r="G64" s="25">
        <v>6682.02</v>
      </c>
      <c r="H64" s="25">
        <v>0</v>
      </c>
      <c r="I64" s="25">
        <f>SUM(E64:H64)</f>
        <v>150118.33000000002</v>
      </c>
      <c r="M64" s="87">
        <v>3</v>
      </c>
      <c r="N64" s="153">
        <v>150118.33000000002</v>
      </c>
      <c r="O64" s="22"/>
      <c r="P64" s="22"/>
      <c r="Q64" s="22"/>
      <c r="R64" s="22"/>
      <c r="S64" s="22"/>
      <c r="T64" s="25"/>
      <c r="U64" s="22"/>
      <c r="W64" s="197">
        <f>-34316.39</f>
        <v>-34316.39</v>
      </c>
    </row>
    <row r="65" spans="1:23" x14ac:dyDescent="0.25">
      <c r="A65" s="4">
        <v>121</v>
      </c>
      <c r="B65" s="5"/>
      <c r="C65" s="5" t="s">
        <v>55</v>
      </c>
      <c r="D65" s="5"/>
      <c r="E65" s="9">
        <f>SUM(E66:E76)</f>
        <v>926559.16999999993</v>
      </c>
      <c r="F65" s="9">
        <f>SUM(F66:F76)</f>
        <v>50472.109999999986</v>
      </c>
      <c r="G65" s="9">
        <f>SUM(G66:G76)</f>
        <v>984054.21</v>
      </c>
      <c r="H65" s="9">
        <f>SUM(H66:H76)</f>
        <v>0</v>
      </c>
      <c r="I65" s="9">
        <f>SUM(I66:I76)</f>
        <v>1961085.4900000007</v>
      </c>
      <c r="J65" s="98"/>
      <c r="K65" s="9">
        <f>SUM(K66:K84)</f>
        <v>849407.4</v>
      </c>
      <c r="L65" s="89"/>
      <c r="M65" s="89"/>
      <c r="N65" s="9">
        <f>SUM(N66:N84)</f>
        <v>0</v>
      </c>
      <c r="O65" s="9">
        <f>+I65+K65-N65</f>
        <v>2810492.8900000006</v>
      </c>
      <c r="P65" s="9"/>
      <c r="Q65" s="9">
        <f>SUM(Q66:Q85)</f>
        <v>0</v>
      </c>
      <c r="R65" s="9"/>
      <c r="S65" s="9">
        <f>SUM(S66:S85)</f>
        <v>0</v>
      </c>
      <c r="T65" s="9">
        <f>2810493+Q65-S65</f>
        <v>2810493</v>
      </c>
      <c r="U65" s="9">
        <f>O65-T65</f>
        <v>-0.10999999940395355</v>
      </c>
      <c r="W65" s="70">
        <f>SUM(W62:W64)</f>
        <v>-176228</v>
      </c>
    </row>
    <row r="66" spans="1:23" x14ac:dyDescent="0.25">
      <c r="A66">
        <v>121</v>
      </c>
      <c r="B66" s="27">
        <v>2160001</v>
      </c>
      <c r="C66" s="27" t="s">
        <v>56</v>
      </c>
      <c r="E66" s="25">
        <v>27383.78</v>
      </c>
      <c r="F66" s="25">
        <v>131459.51</v>
      </c>
      <c r="G66" s="25">
        <v>496563.61</v>
      </c>
      <c r="H66" s="25">
        <v>0</v>
      </c>
      <c r="I66" s="25">
        <f t="shared" ref="I66:I75" si="4">SUM(E66:H66)</f>
        <v>655406.9</v>
      </c>
      <c r="T66" s="25"/>
    </row>
    <row r="67" spans="1:23" x14ac:dyDescent="0.25">
      <c r="A67">
        <v>121</v>
      </c>
      <c r="B67" s="27">
        <v>2170001</v>
      </c>
      <c r="C67" s="27" t="s">
        <v>57</v>
      </c>
      <c r="E67" s="25">
        <v>21966.44</v>
      </c>
      <c r="F67" s="25">
        <v>71900.899999999994</v>
      </c>
      <c r="G67" s="25">
        <v>111000.81</v>
      </c>
      <c r="H67" s="25">
        <v>0</v>
      </c>
      <c r="I67" s="25">
        <f t="shared" si="4"/>
        <v>204868.15</v>
      </c>
      <c r="T67" s="25"/>
    </row>
    <row r="68" spans="1:23" x14ac:dyDescent="0.25">
      <c r="A68">
        <v>122</v>
      </c>
      <c r="B68" s="27">
        <v>2180001</v>
      </c>
      <c r="C68" s="27" t="s">
        <v>58</v>
      </c>
      <c r="E68" s="25">
        <v>87500.01</v>
      </c>
      <c r="F68" s="25">
        <v>35097.71</v>
      </c>
      <c r="G68" s="25">
        <v>811.74</v>
      </c>
      <c r="H68" s="25">
        <v>0</v>
      </c>
      <c r="I68" s="25">
        <f t="shared" si="4"/>
        <v>123409.46</v>
      </c>
      <c r="T68" s="25"/>
    </row>
    <row r="69" spans="1:23" x14ac:dyDescent="0.25">
      <c r="A69">
        <v>123</v>
      </c>
      <c r="B69" s="27">
        <v>2100001</v>
      </c>
      <c r="C69" s="27" t="s">
        <v>59</v>
      </c>
      <c r="E69" s="25">
        <v>186013.07</v>
      </c>
      <c r="F69" s="25">
        <v>0</v>
      </c>
      <c r="G69" s="25">
        <v>0</v>
      </c>
      <c r="H69" s="25">
        <v>0</v>
      </c>
      <c r="I69" s="25">
        <f t="shared" si="4"/>
        <v>186013.07</v>
      </c>
      <c r="T69" s="25"/>
    </row>
    <row r="70" spans="1:23" x14ac:dyDescent="0.25">
      <c r="A70">
        <v>124</v>
      </c>
      <c r="B70" s="27">
        <v>2130001</v>
      </c>
      <c r="C70" s="27" t="s">
        <v>60</v>
      </c>
      <c r="E70" s="25">
        <v>0</v>
      </c>
      <c r="F70" s="25">
        <v>0</v>
      </c>
      <c r="G70" s="25">
        <v>1954068.39</v>
      </c>
      <c r="H70" s="25">
        <v>0</v>
      </c>
      <c r="I70" s="25">
        <f t="shared" si="4"/>
        <v>1954068.39</v>
      </c>
      <c r="T70" s="25"/>
    </row>
    <row r="71" spans="1:23" x14ac:dyDescent="0.25">
      <c r="A71">
        <v>124</v>
      </c>
      <c r="B71" s="27">
        <v>2130002</v>
      </c>
      <c r="C71" s="27" t="s">
        <v>134</v>
      </c>
      <c r="E71" s="25">
        <v>0</v>
      </c>
      <c r="F71" s="25">
        <v>0</v>
      </c>
      <c r="G71" s="25">
        <v>31372.49</v>
      </c>
      <c r="H71" s="25">
        <v>0</v>
      </c>
      <c r="I71" s="25">
        <f t="shared" si="4"/>
        <v>31372.49</v>
      </c>
      <c r="T71" s="25"/>
    </row>
    <row r="72" spans="1:23" x14ac:dyDescent="0.25">
      <c r="A72">
        <v>125</v>
      </c>
      <c r="B72" s="27">
        <v>2110001</v>
      </c>
      <c r="C72" s="27" t="s">
        <v>61</v>
      </c>
      <c r="E72" s="25">
        <v>752053.36</v>
      </c>
      <c r="F72" s="25">
        <v>0</v>
      </c>
      <c r="G72" s="25">
        <v>2101.0300000000002</v>
      </c>
      <c r="H72" s="25">
        <v>0</v>
      </c>
      <c r="I72" s="25">
        <f t="shared" si="4"/>
        <v>754154.39</v>
      </c>
      <c r="T72" s="25"/>
    </row>
    <row r="73" spans="1:23" x14ac:dyDescent="0.25">
      <c r="B73" s="27">
        <v>2310000</v>
      </c>
      <c r="C73" s="27" t="s">
        <v>135</v>
      </c>
      <c r="E73" s="25">
        <v>82910.990000000005</v>
      </c>
      <c r="F73" s="25">
        <v>0</v>
      </c>
      <c r="G73" s="25">
        <v>0</v>
      </c>
      <c r="H73" s="25">
        <v>0</v>
      </c>
      <c r="I73" s="25">
        <f t="shared" si="4"/>
        <v>82910.990000000005</v>
      </c>
      <c r="J73" s="87">
        <v>15</v>
      </c>
      <c r="K73" s="197">
        <f>2316.25+15095.89-91.74</f>
        <v>17320.399999999998</v>
      </c>
      <c r="T73" s="25"/>
    </row>
    <row r="74" spans="1:23" x14ac:dyDescent="0.25">
      <c r="A74">
        <v>127</v>
      </c>
      <c r="B74" s="27">
        <v>2140001</v>
      </c>
      <c r="C74" s="27" t="s">
        <v>62</v>
      </c>
      <c r="E74" s="25">
        <v>0</v>
      </c>
      <c r="F74" s="25">
        <v>0</v>
      </c>
      <c r="G74" s="25">
        <v>12789.52</v>
      </c>
      <c r="H74" s="25">
        <v>0</v>
      </c>
      <c r="I74" s="25">
        <f t="shared" si="4"/>
        <v>12789.52</v>
      </c>
      <c r="T74" s="25"/>
    </row>
    <row r="75" spans="1:23" x14ac:dyDescent="0.25">
      <c r="A75">
        <v>128</v>
      </c>
      <c r="B75" s="27">
        <v>2120001</v>
      </c>
      <c r="C75" s="27" t="s">
        <v>63</v>
      </c>
      <c r="E75" s="25">
        <v>0</v>
      </c>
      <c r="F75" s="25">
        <v>0</v>
      </c>
      <c r="G75" s="25">
        <v>622867.74</v>
      </c>
      <c r="H75" s="25">
        <v>0</v>
      </c>
      <c r="I75" s="25">
        <f t="shared" si="4"/>
        <v>622867.74</v>
      </c>
      <c r="T75" s="25"/>
    </row>
    <row r="76" spans="1:23" x14ac:dyDescent="0.25">
      <c r="A76" s="4">
        <v>129</v>
      </c>
      <c r="B76" s="5"/>
      <c r="C76" s="5" t="s">
        <v>64</v>
      </c>
      <c r="D76" s="5"/>
      <c r="E76" s="9">
        <f>SUM(E77:E84)</f>
        <v>-231268.47999999998</v>
      </c>
      <c r="F76" s="9">
        <f>SUM(F77:F84)</f>
        <v>-187986.01</v>
      </c>
      <c r="G76" s="9">
        <f>SUM(G77:G84)</f>
        <v>-2247521.12</v>
      </c>
      <c r="H76" s="9">
        <f>SUM(H77:H84)</f>
        <v>0</v>
      </c>
      <c r="I76" s="9">
        <f>SUM(I77:I84)</f>
        <v>-2666775.61</v>
      </c>
      <c r="J76" s="98"/>
      <c r="K76" s="9"/>
      <c r="L76" s="89"/>
      <c r="M76" s="89"/>
      <c r="N76" s="9"/>
      <c r="O76" s="9">
        <f>I76+K79</f>
        <v>-1834688.6099999999</v>
      </c>
      <c r="P76" s="9"/>
      <c r="Q76" s="9"/>
      <c r="R76" s="9"/>
      <c r="S76" s="9"/>
      <c r="T76" s="9">
        <v>-1834688</v>
      </c>
      <c r="U76" s="9">
        <f>O76-T76</f>
        <v>-0.60999999986961484</v>
      </c>
    </row>
    <row r="77" spans="1:23" x14ac:dyDescent="0.25">
      <c r="A77">
        <v>129</v>
      </c>
      <c r="B77" s="27">
        <v>2811001</v>
      </c>
      <c r="C77" s="27" t="s">
        <v>65</v>
      </c>
      <c r="E77" s="25">
        <v>-144375</v>
      </c>
      <c r="F77" s="25">
        <v>0</v>
      </c>
      <c r="G77" s="25">
        <v>-99769.03</v>
      </c>
      <c r="H77" s="25">
        <v>0</v>
      </c>
      <c r="I77" s="25">
        <f t="shared" ref="I77:I84" si="5">SUM(E77:H77)</f>
        <v>-244144.03</v>
      </c>
      <c r="T77" s="25"/>
    </row>
    <row r="78" spans="1:23" x14ac:dyDescent="0.25">
      <c r="A78">
        <v>129</v>
      </c>
      <c r="B78" s="27">
        <v>2812001</v>
      </c>
      <c r="C78" s="27" t="s">
        <v>66</v>
      </c>
      <c r="E78" s="25">
        <v>0</v>
      </c>
      <c r="F78" s="25">
        <v>0</v>
      </c>
      <c r="G78" s="25">
        <v>-61373.46</v>
      </c>
      <c r="H78" s="25">
        <v>0</v>
      </c>
      <c r="I78" s="25">
        <f t="shared" si="5"/>
        <v>-61373.46</v>
      </c>
      <c r="T78" s="25"/>
    </row>
    <row r="79" spans="1:23" x14ac:dyDescent="0.25">
      <c r="A79">
        <v>129</v>
      </c>
      <c r="B79" s="27">
        <v>2813001</v>
      </c>
      <c r="C79" s="27" t="s">
        <v>67</v>
      </c>
      <c r="E79" s="25">
        <v>0</v>
      </c>
      <c r="F79" s="25">
        <v>0</v>
      </c>
      <c r="G79" s="25">
        <v>-1730333.17</v>
      </c>
      <c r="H79" s="25">
        <v>0</v>
      </c>
      <c r="I79" s="25">
        <f t="shared" si="5"/>
        <v>-1730333.17</v>
      </c>
      <c r="J79" s="87">
        <v>7</v>
      </c>
      <c r="K79" s="197">
        <v>832087</v>
      </c>
      <c r="T79" s="25"/>
    </row>
    <row r="80" spans="1:23" x14ac:dyDescent="0.25">
      <c r="A80">
        <v>129</v>
      </c>
      <c r="B80" s="27">
        <v>2814001</v>
      </c>
      <c r="C80" s="27" t="s">
        <v>68</v>
      </c>
      <c r="E80" s="25">
        <v>0</v>
      </c>
      <c r="F80" s="25">
        <v>0</v>
      </c>
      <c r="G80" s="25">
        <v>-10869.18</v>
      </c>
      <c r="H80" s="25">
        <v>0</v>
      </c>
      <c r="I80" s="25">
        <f t="shared" si="5"/>
        <v>-10869.18</v>
      </c>
      <c r="T80" s="25"/>
    </row>
    <row r="81" spans="1:22" x14ac:dyDescent="0.25">
      <c r="A81">
        <v>129</v>
      </c>
      <c r="B81" s="27">
        <v>2816001</v>
      </c>
      <c r="C81" s="27" t="s">
        <v>69</v>
      </c>
      <c r="E81" s="25">
        <v>-26224.71</v>
      </c>
      <c r="F81" s="25">
        <v>-126636.28</v>
      </c>
      <c r="G81" s="25">
        <v>-252459.08</v>
      </c>
      <c r="H81" s="25">
        <v>0</v>
      </c>
      <c r="I81" s="25">
        <f t="shared" si="5"/>
        <v>-405320.06999999995</v>
      </c>
      <c r="T81" s="25"/>
    </row>
    <row r="82" spans="1:22" x14ac:dyDescent="0.25">
      <c r="A82">
        <v>129</v>
      </c>
      <c r="B82" s="27">
        <v>2817001</v>
      </c>
      <c r="C82" s="27" t="s">
        <v>70</v>
      </c>
      <c r="E82" s="25">
        <v>-16272.91</v>
      </c>
      <c r="F82" s="25">
        <v>-26863.16</v>
      </c>
      <c r="G82" s="25">
        <v>-91758.78</v>
      </c>
      <c r="H82" s="25">
        <v>0</v>
      </c>
      <c r="I82" s="25">
        <f t="shared" si="5"/>
        <v>-134894.85</v>
      </c>
      <c r="T82" s="25"/>
    </row>
    <row r="83" spans="1:22" x14ac:dyDescent="0.25">
      <c r="A83">
        <v>129</v>
      </c>
      <c r="B83" s="27">
        <v>2818001</v>
      </c>
      <c r="C83" s="27" t="s">
        <v>71</v>
      </c>
      <c r="E83" s="25">
        <v>-44395.86</v>
      </c>
      <c r="F83" s="25">
        <v>-34486.57</v>
      </c>
      <c r="G83" s="25">
        <v>-715.93</v>
      </c>
      <c r="H83" s="25">
        <v>0</v>
      </c>
      <c r="I83" s="25">
        <f t="shared" si="5"/>
        <v>-79598.359999999986</v>
      </c>
      <c r="T83" s="25"/>
    </row>
    <row r="84" spans="1:22" x14ac:dyDescent="0.25">
      <c r="B84" s="27">
        <v>2813002</v>
      </c>
      <c r="C84" s="27" t="s">
        <v>157</v>
      </c>
      <c r="E84" s="25">
        <v>0</v>
      </c>
      <c r="F84" s="25">
        <v>0</v>
      </c>
      <c r="G84" s="25">
        <v>-242.49</v>
      </c>
      <c r="H84" s="25">
        <v>0</v>
      </c>
      <c r="I84" s="25">
        <f t="shared" si="5"/>
        <v>-242.49</v>
      </c>
      <c r="T84" s="25"/>
    </row>
    <row r="85" spans="1:22" x14ac:dyDescent="0.25">
      <c r="A85" s="4">
        <v>131</v>
      </c>
      <c r="B85" s="5"/>
      <c r="C85" s="5" t="s">
        <v>154</v>
      </c>
      <c r="D85" s="5"/>
      <c r="E85" s="9">
        <f>SUM(E86:E93)</f>
        <v>0</v>
      </c>
      <c r="F85" s="9">
        <f>SUM(F86:F93)</f>
        <v>743303.22000000009</v>
      </c>
      <c r="G85" s="9">
        <f>SUM(G86:G93)</f>
        <v>75610.33</v>
      </c>
      <c r="H85" s="9">
        <f>SUM(H86:H93)</f>
        <v>-9249.6099999999988</v>
      </c>
      <c r="I85" s="9">
        <f>SUM(I86:I93)</f>
        <v>809663.94</v>
      </c>
      <c r="J85" s="98">
        <v>10</v>
      </c>
      <c r="K85" s="9">
        <f>SUM(K86:K93)</f>
        <v>1628.89</v>
      </c>
      <c r="L85" s="89"/>
      <c r="M85" s="89"/>
      <c r="N85" s="9">
        <f>SUM(N86:N93)</f>
        <v>0</v>
      </c>
      <c r="O85" s="9">
        <f>+I85+K85-N85</f>
        <v>811292.83</v>
      </c>
      <c r="P85" s="9"/>
      <c r="Q85" s="9">
        <f>SUM(Q86:Q93)</f>
        <v>0</v>
      </c>
      <c r="R85" s="9"/>
      <c r="S85" s="9">
        <f>SUM(S86:S93)</f>
        <v>0</v>
      </c>
      <c r="T85" s="9">
        <f>809663.94+1628.89+Q85-S85</f>
        <v>811292.83</v>
      </c>
      <c r="U85" s="9">
        <f>O85-T85</f>
        <v>0</v>
      </c>
    </row>
    <row r="86" spans="1:22" x14ac:dyDescent="0.25">
      <c r="B86" s="27">
        <v>4700000</v>
      </c>
      <c r="C86" s="27" t="s">
        <v>38</v>
      </c>
      <c r="E86" s="25">
        <v>0</v>
      </c>
      <c r="F86" s="25">
        <v>595478.41</v>
      </c>
      <c r="G86" s="25">
        <v>77107.02</v>
      </c>
      <c r="H86" s="25">
        <v>-9184.64</v>
      </c>
      <c r="I86" s="25">
        <f t="shared" ref="I86:I93" si="6">SUM(E86:H86)</f>
        <v>663400.79</v>
      </c>
      <c r="T86" s="25"/>
    </row>
    <row r="87" spans="1:22" x14ac:dyDescent="0.25">
      <c r="B87" s="27">
        <v>4709030</v>
      </c>
      <c r="C87" s="27" t="s">
        <v>129</v>
      </c>
      <c r="E87" s="25">
        <v>0</v>
      </c>
      <c r="F87" s="25">
        <v>-135.30000000000001</v>
      </c>
      <c r="G87" s="25">
        <v>0</v>
      </c>
      <c r="H87" s="25">
        <v>0</v>
      </c>
      <c r="I87" s="25">
        <f t="shared" si="6"/>
        <v>-135.30000000000001</v>
      </c>
      <c r="T87" s="25"/>
    </row>
    <row r="88" spans="1:22" x14ac:dyDescent="0.25">
      <c r="B88" s="27">
        <v>4709031</v>
      </c>
      <c r="C88" s="27" t="s">
        <v>39</v>
      </c>
      <c r="E88" s="25">
        <v>0</v>
      </c>
      <c r="F88" s="25">
        <v>-20.28</v>
      </c>
      <c r="G88" s="25">
        <v>0</v>
      </c>
      <c r="H88" s="25">
        <v>0</v>
      </c>
      <c r="I88" s="25">
        <f t="shared" si="6"/>
        <v>-20.28</v>
      </c>
      <c r="T88" s="25"/>
      <c r="V88" s="25"/>
    </row>
    <row r="89" spans="1:22" x14ac:dyDescent="0.25">
      <c r="B89" s="27">
        <v>4709032</v>
      </c>
      <c r="C89" s="27" t="s">
        <v>40</v>
      </c>
      <c r="E89" s="25">
        <v>0</v>
      </c>
      <c r="F89" s="25">
        <v>-99.85</v>
      </c>
      <c r="G89" s="25">
        <v>-166.31</v>
      </c>
      <c r="H89" s="25">
        <v>-127.13</v>
      </c>
      <c r="I89" s="25">
        <f t="shared" si="6"/>
        <v>-393.28999999999996</v>
      </c>
      <c r="T89" s="25"/>
      <c r="V89" s="33"/>
    </row>
    <row r="90" spans="1:22" x14ac:dyDescent="0.25">
      <c r="B90" s="27">
        <v>4720000</v>
      </c>
      <c r="C90" s="27" t="s">
        <v>41</v>
      </c>
      <c r="E90" s="25">
        <v>0</v>
      </c>
      <c r="F90" s="25">
        <v>-305.08999999999997</v>
      </c>
      <c r="G90" s="25">
        <v>-1457.32</v>
      </c>
      <c r="H90" s="25">
        <v>2.34</v>
      </c>
      <c r="I90" s="25">
        <f t="shared" si="6"/>
        <v>-1760.07</v>
      </c>
      <c r="T90" s="25"/>
      <c r="V90" s="33"/>
    </row>
    <row r="91" spans="1:22" x14ac:dyDescent="0.25">
      <c r="B91" s="27">
        <v>4731000</v>
      </c>
      <c r="C91" s="27" t="s">
        <v>42</v>
      </c>
      <c r="E91" s="25">
        <v>0</v>
      </c>
      <c r="F91" s="25">
        <v>193.96</v>
      </c>
      <c r="G91" s="25">
        <v>66.66</v>
      </c>
      <c r="H91" s="25">
        <v>0</v>
      </c>
      <c r="I91" s="25">
        <f t="shared" si="6"/>
        <v>260.62</v>
      </c>
      <c r="T91" s="25"/>
      <c r="V91" s="33"/>
    </row>
    <row r="92" spans="1:22" x14ac:dyDescent="0.25">
      <c r="B92" s="27">
        <v>4731023</v>
      </c>
      <c r="C92" s="27" t="s">
        <v>43</v>
      </c>
      <c r="E92" s="25">
        <v>0</v>
      </c>
      <c r="F92" s="25">
        <v>147964.20000000001</v>
      </c>
      <c r="G92" s="25">
        <v>0.04</v>
      </c>
      <c r="H92" s="25">
        <v>0</v>
      </c>
      <c r="I92" s="25">
        <f t="shared" si="6"/>
        <v>147964.24000000002</v>
      </c>
      <c r="J92" s="87">
        <v>10</v>
      </c>
      <c r="K92" s="153">
        <v>1628.89</v>
      </c>
      <c r="L92" s="92"/>
      <c r="M92" s="92">
        <v>10</v>
      </c>
      <c r="N92" s="25"/>
      <c r="O92" s="22"/>
      <c r="P92" s="22"/>
      <c r="Q92" s="22"/>
      <c r="R92" s="22"/>
      <c r="S92" s="22"/>
      <c r="T92" s="25"/>
      <c r="V92" s="33"/>
    </row>
    <row r="93" spans="1:22" x14ac:dyDescent="0.25">
      <c r="B93" s="27">
        <v>4770000</v>
      </c>
      <c r="C93" s="27" t="s">
        <v>105</v>
      </c>
      <c r="E93" s="25">
        <v>0</v>
      </c>
      <c r="F93" s="25">
        <v>227.17</v>
      </c>
      <c r="G93" s="25">
        <v>60.24</v>
      </c>
      <c r="H93" s="25">
        <v>59.82</v>
      </c>
      <c r="I93" s="25">
        <f t="shared" si="6"/>
        <v>347.22999999999996</v>
      </c>
      <c r="T93" s="25"/>
      <c r="V93" s="36"/>
    </row>
    <row r="94" spans="1:22" x14ac:dyDescent="0.25">
      <c r="B94" s="5"/>
      <c r="C94" s="5" t="s">
        <v>155</v>
      </c>
      <c r="D94" s="5"/>
      <c r="E94" s="9">
        <f>SUM(E95:E98)</f>
        <v>288371.90000000002</v>
      </c>
      <c r="F94" s="9">
        <f>SUM(F95:F98)</f>
        <v>517698.04000000004</v>
      </c>
      <c r="G94" s="9">
        <f>SUM(G95:G98)</f>
        <v>160647.67999999999</v>
      </c>
      <c r="H94" s="9">
        <f>SUM(H95:H98)</f>
        <v>22679.329999999998</v>
      </c>
      <c r="I94" s="9">
        <f>SUM(I95:I98)</f>
        <v>989396.95</v>
      </c>
      <c r="J94" s="98"/>
      <c r="K94" s="9">
        <f>SUM(K95:K99)</f>
        <v>428568.41000000003</v>
      </c>
      <c r="L94" s="89"/>
      <c r="M94" s="89"/>
      <c r="N94" s="9">
        <f>SUM(N95:N99)</f>
        <v>277419.40999999997</v>
      </c>
      <c r="O94" s="9">
        <f>+I94+K94-N94</f>
        <v>1140545.95</v>
      </c>
      <c r="P94" s="9"/>
      <c r="Q94" s="9">
        <f>SUM(Q95:Q99)</f>
        <v>0</v>
      </c>
      <c r="R94" s="9"/>
      <c r="S94" s="9">
        <f>SUM(S95:S99)</f>
        <v>0</v>
      </c>
      <c r="T94" s="9">
        <f>989396.95+154410-1630.42-1628.89+Q94-S94</f>
        <v>1140547.6400000001</v>
      </c>
      <c r="U94" s="9">
        <f>O94-T94</f>
        <v>-1.6900000001769513</v>
      </c>
      <c r="V94" s="36"/>
    </row>
    <row r="95" spans="1:22" x14ac:dyDescent="0.25">
      <c r="B95" s="27">
        <v>4732001</v>
      </c>
      <c r="C95" s="27" t="s">
        <v>72</v>
      </c>
      <c r="E95" s="25">
        <v>180137.48</v>
      </c>
      <c r="F95" s="25">
        <v>0</v>
      </c>
      <c r="G95" s="25">
        <v>0</v>
      </c>
      <c r="H95" s="25">
        <v>0</v>
      </c>
      <c r="I95" s="25">
        <f>SUM(E95:H95)</f>
        <v>180137.48</v>
      </c>
      <c r="J95" s="87">
        <v>6</v>
      </c>
      <c r="K95" s="25"/>
      <c r="L95" s="92">
        <v>7</v>
      </c>
      <c r="M95" s="92">
        <v>16</v>
      </c>
      <c r="N95" s="153">
        <v>3259.31</v>
      </c>
      <c r="T95" s="25"/>
      <c r="V95" s="36"/>
    </row>
    <row r="96" spans="1:22" x14ac:dyDescent="0.25">
      <c r="B96" s="27">
        <v>4732002</v>
      </c>
      <c r="C96" s="27" t="s">
        <v>73</v>
      </c>
      <c r="E96" s="25">
        <v>0</v>
      </c>
      <c r="F96" s="25">
        <v>293325.46000000002</v>
      </c>
      <c r="G96" s="25">
        <v>10237.129999999999</v>
      </c>
      <c r="H96" s="25">
        <v>145.09</v>
      </c>
      <c r="I96" s="25">
        <f>SUM(E96:H96)</f>
        <v>303707.68000000005</v>
      </c>
      <c r="N96" s="22"/>
      <c r="T96" s="25"/>
    </row>
    <row r="97" spans="1:21" x14ac:dyDescent="0.25">
      <c r="B97" s="27">
        <v>4732003</v>
      </c>
      <c r="C97" s="27" t="s">
        <v>74</v>
      </c>
      <c r="E97" s="25">
        <v>0</v>
      </c>
      <c r="F97" s="25">
        <v>224329.94</v>
      </c>
      <c r="G97" s="25">
        <v>101425.75</v>
      </c>
      <c r="H97" s="25">
        <v>16481.53</v>
      </c>
      <c r="I97" s="25">
        <f>SUM(E97:H97)</f>
        <v>342237.22</v>
      </c>
      <c r="N97" s="22"/>
      <c r="T97" s="25"/>
    </row>
    <row r="98" spans="1:21" x14ac:dyDescent="0.25">
      <c r="B98" s="27">
        <v>4732004</v>
      </c>
      <c r="C98" s="27" t="s">
        <v>75</v>
      </c>
      <c r="E98" s="25">
        <v>108234.42</v>
      </c>
      <c r="F98" s="25">
        <v>42.64</v>
      </c>
      <c r="G98" s="25">
        <v>48984.800000000003</v>
      </c>
      <c r="H98" s="25">
        <v>6052.71</v>
      </c>
      <c r="I98" s="25">
        <f>SUM(E98:H98)</f>
        <v>163314.56999999998</v>
      </c>
      <c r="N98" s="22"/>
      <c r="T98" s="25"/>
    </row>
    <row r="99" spans="1:21" x14ac:dyDescent="0.25">
      <c r="B99" s="27"/>
      <c r="C99" s="27" t="s">
        <v>338</v>
      </c>
      <c r="E99" s="25">
        <v>0</v>
      </c>
      <c r="F99" s="25">
        <v>0</v>
      </c>
      <c r="G99" s="25">
        <v>0</v>
      </c>
      <c r="H99" s="25">
        <v>0</v>
      </c>
      <c r="I99" s="25">
        <f>SUM(E99:H99)</f>
        <v>0</v>
      </c>
      <c r="J99" s="87" t="s">
        <v>341</v>
      </c>
      <c r="K99" s="197">
        <f>105943+114522.1+87674.28+53693+66736.03</f>
        <v>428568.41000000003</v>
      </c>
      <c r="L99" s="87">
        <v>13</v>
      </c>
      <c r="M99" s="87" t="s">
        <v>344</v>
      </c>
      <c r="N99" s="197">
        <f>105945+53693+114522.1</f>
        <v>274160.09999999998</v>
      </c>
      <c r="Q99" s="197"/>
      <c r="T99" s="25"/>
    </row>
    <row r="100" spans="1:21" ht="15.75" thickBot="1" x14ac:dyDescent="0.3">
      <c r="A100" s="6"/>
      <c r="B100" s="6"/>
      <c r="C100" s="6" t="s">
        <v>78</v>
      </c>
      <c r="D100" s="6" t="s">
        <v>127</v>
      </c>
      <c r="E100" s="11">
        <f>E85+E65+E63+E53+E34+E26+E10+E33+E36+E52+E94</f>
        <v>21018591.979999997</v>
      </c>
      <c r="F100" s="11">
        <f>F85+F65+F63+F53+F34+F26+F10+F33+F36+F52+F94</f>
        <v>5831553.790000001</v>
      </c>
      <c r="G100" s="11">
        <f>G85+G65+G63+G53+G34+G26+G10+G33+G36+G52+G94</f>
        <v>4525377.3499999996</v>
      </c>
      <c r="H100" s="11">
        <f>H85+H65+H63+H53+H34+H26+H10+H33+H36+H52+H94</f>
        <v>599351.49999999988</v>
      </c>
      <c r="I100" s="11">
        <f>I85+I65+I63+I53+I34+I26+I10+I33+I36+I52+I94</f>
        <v>31974874.620000001</v>
      </c>
      <c r="K100" s="11">
        <f>K85+K65+K63+K53+K34+K26+K10+K33+K36+K52+K94</f>
        <v>1361572.4200000002</v>
      </c>
      <c r="L100" s="93"/>
      <c r="M100" s="93"/>
      <c r="N100" s="11">
        <f>N85+N65+N63+N53+N34+N26+N10+N33+N36+N52+N94</f>
        <v>7662480.8599999994</v>
      </c>
      <c r="O100" s="11">
        <f>O85+O65+O63+O53+O34+O26+O10+O33+O36+O52+O94</f>
        <v>25673966.18</v>
      </c>
      <c r="P100" s="11"/>
      <c r="Q100" s="11">
        <f>Q85+Q65+Q63+Q53+Q34+Q26+Q10+Q33+Q36+Q52+Q94</f>
        <v>458088.39</v>
      </c>
      <c r="R100" s="11"/>
      <c r="S100" s="11">
        <f>S85+S65+S63+S53+S34+S26+S10+S33+S36+S52+S94</f>
        <v>458088.39</v>
      </c>
      <c r="T100" s="11">
        <f>T85+T65+T63+T53+T34+T26+T10+T33+T36+T52+T94</f>
        <v>25467826.469999999</v>
      </c>
      <c r="U100" s="11">
        <f>O100-T100</f>
        <v>206139.71000000089</v>
      </c>
    </row>
    <row r="101" spans="1:21" ht="15.75" thickTop="1" x14ac:dyDescent="0.25">
      <c r="A101" s="2">
        <v>2</v>
      </c>
      <c r="B101" s="3"/>
      <c r="C101" s="3" t="s">
        <v>79</v>
      </c>
      <c r="D101" s="3"/>
      <c r="E101" s="12"/>
      <c r="F101" s="12"/>
      <c r="G101" s="12"/>
      <c r="H101" s="12"/>
      <c r="I101" s="12"/>
      <c r="O101" s="25">
        <v>25467826</v>
      </c>
      <c r="P101" s="197"/>
      <c r="Q101" s="197"/>
      <c r="R101" s="197"/>
      <c r="S101" s="197"/>
      <c r="T101" s="25">
        <v>25467826</v>
      </c>
    </row>
    <row r="102" spans="1:21" x14ac:dyDescent="0.25">
      <c r="A102" s="2">
        <v>22</v>
      </c>
      <c r="B102" s="3"/>
      <c r="C102" s="3" t="s">
        <v>80</v>
      </c>
      <c r="D102" s="3"/>
      <c r="E102" s="12"/>
      <c r="F102" s="12"/>
      <c r="G102" s="12"/>
      <c r="H102" s="12"/>
      <c r="I102" s="12"/>
      <c r="O102" s="25">
        <f>O100-O101</f>
        <v>206140.1799999997</v>
      </c>
      <c r="P102" s="197"/>
      <c r="Q102" s="197"/>
      <c r="R102" s="197"/>
      <c r="S102" s="197"/>
      <c r="T102" s="25">
        <f>T100-T101</f>
        <v>0.4699999988079071</v>
      </c>
    </row>
    <row r="103" spans="1:21" x14ac:dyDescent="0.25">
      <c r="A103" s="4">
        <v>223</v>
      </c>
      <c r="B103" s="5"/>
      <c r="C103" s="5" t="s">
        <v>85</v>
      </c>
      <c r="D103" s="5"/>
      <c r="E103" s="9">
        <f>SUM(E104:E109)</f>
        <v>-2217790.48</v>
      </c>
      <c r="F103" s="9">
        <f>SUM(F104:F109)</f>
        <v>-670017.30000000005</v>
      </c>
      <c r="G103" s="9">
        <f>SUM(G104:G109)</f>
        <v>-24281.64</v>
      </c>
      <c r="H103" s="9">
        <f>SUM(H104:H109)</f>
        <v>-4898.5599999999995</v>
      </c>
      <c r="I103" s="9">
        <f>SUM(I104:I109)</f>
        <v>-2916987.9800000004</v>
      </c>
      <c r="K103" s="9">
        <f>SUM(K104:K109)</f>
        <v>360108</v>
      </c>
      <c r="L103" s="89"/>
      <c r="M103" s="89"/>
      <c r="N103" s="9">
        <f>SUM(N104:N109)</f>
        <v>984776</v>
      </c>
      <c r="O103" s="9">
        <f>+I103+K103-N103</f>
        <v>-3541655.9800000004</v>
      </c>
      <c r="P103" s="9"/>
      <c r="Q103" s="9">
        <f>SUM(Q104:Q109)</f>
        <v>0</v>
      </c>
      <c r="R103" s="9"/>
      <c r="S103" s="9">
        <f>SUM(S104:S109)</f>
        <v>0</v>
      </c>
      <c r="T103" s="9">
        <f>-3541656+Q103-S103</f>
        <v>-3541656</v>
      </c>
      <c r="U103" s="9">
        <f>O103-T103</f>
        <v>1.9999999552965164E-2</v>
      </c>
    </row>
    <row r="104" spans="1:21" x14ac:dyDescent="0.25">
      <c r="A104">
        <v>223</v>
      </c>
      <c r="B104" s="27">
        <v>4100000</v>
      </c>
      <c r="C104" s="27" t="s">
        <v>86</v>
      </c>
      <c r="E104" s="25">
        <v>-1264967.81</v>
      </c>
      <c r="F104" s="25">
        <v>-299430.67</v>
      </c>
      <c r="G104" s="25">
        <v>-12205.79</v>
      </c>
      <c r="H104" s="25">
        <v>-2891.6</v>
      </c>
      <c r="I104" s="25">
        <f t="shared" ref="I104:I109" si="7">SUM(E104:H104)</f>
        <v>-1579495.87</v>
      </c>
      <c r="K104" s="22"/>
      <c r="L104" s="92"/>
      <c r="M104" s="92"/>
      <c r="N104" s="22"/>
      <c r="T104" s="25"/>
      <c r="U104" s="25"/>
    </row>
    <row r="105" spans="1:21" x14ac:dyDescent="0.25">
      <c r="A105">
        <v>223</v>
      </c>
      <c r="B105" s="27">
        <v>4104000</v>
      </c>
      <c r="C105" s="27" t="s">
        <v>87</v>
      </c>
      <c r="E105" s="25">
        <v>-845981.75</v>
      </c>
      <c r="F105" s="25">
        <v>-3055</v>
      </c>
      <c r="G105" s="25">
        <v>139.87</v>
      </c>
      <c r="H105" s="25">
        <v>113.34</v>
      </c>
      <c r="I105" s="25">
        <f t="shared" si="7"/>
        <v>-848783.54</v>
      </c>
      <c r="K105" s="197"/>
      <c r="L105" s="92"/>
      <c r="M105" s="92" t="s">
        <v>357</v>
      </c>
      <c r="N105" s="197">
        <f>734776+250000</f>
        <v>984776</v>
      </c>
      <c r="T105" s="25"/>
      <c r="U105" s="25"/>
    </row>
    <row r="106" spans="1:21" x14ac:dyDescent="0.25">
      <c r="A106">
        <v>223</v>
      </c>
      <c r="B106" s="27">
        <v>4104099</v>
      </c>
      <c r="C106" s="27" t="s">
        <v>122</v>
      </c>
      <c r="E106" s="25">
        <v>0</v>
      </c>
      <c r="F106" s="25">
        <v>0</v>
      </c>
      <c r="G106" s="25">
        <v>0</v>
      </c>
      <c r="H106" s="25">
        <v>0</v>
      </c>
      <c r="I106" s="25">
        <f t="shared" si="7"/>
        <v>0</v>
      </c>
      <c r="J106" s="92"/>
      <c r="K106" s="22"/>
      <c r="L106" s="92"/>
      <c r="M106" s="92"/>
      <c r="N106" s="22"/>
      <c r="T106" s="25"/>
      <c r="U106" s="25"/>
    </row>
    <row r="107" spans="1:21" x14ac:dyDescent="0.25">
      <c r="B107" s="27">
        <v>4100003</v>
      </c>
      <c r="C107" s="27" t="s">
        <v>81</v>
      </c>
      <c r="E107" s="25">
        <v>-101535.15</v>
      </c>
      <c r="F107" s="25">
        <v>-360107.85</v>
      </c>
      <c r="G107" s="25">
        <v>0</v>
      </c>
      <c r="H107" s="25">
        <v>0</v>
      </c>
      <c r="I107" s="25">
        <f t="shared" si="7"/>
        <v>-461643</v>
      </c>
      <c r="J107" s="92">
        <v>2</v>
      </c>
      <c r="K107" s="153">
        <v>360108</v>
      </c>
      <c r="L107" s="92"/>
      <c r="M107" s="92"/>
      <c r="N107" s="22"/>
      <c r="T107" s="25"/>
      <c r="U107" s="25"/>
    </row>
    <row r="108" spans="1:21" x14ac:dyDescent="0.25">
      <c r="B108" s="27">
        <v>4100004</v>
      </c>
      <c r="C108" s="27" t="s">
        <v>94</v>
      </c>
      <c r="E108" s="25">
        <v>-7260.17</v>
      </c>
      <c r="F108" s="25">
        <v>-7423.78</v>
      </c>
      <c r="G108" s="25">
        <v>-12215.72</v>
      </c>
      <c r="H108" s="25">
        <v>-2120.3000000000002</v>
      </c>
      <c r="I108" s="25">
        <f t="shared" si="7"/>
        <v>-29019.969999999998</v>
      </c>
      <c r="J108" s="92"/>
      <c r="K108" s="22"/>
      <c r="L108" s="92"/>
      <c r="M108" s="92"/>
      <c r="N108" s="197"/>
      <c r="T108" s="25"/>
      <c r="U108" s="25"/>
    </row>
    <row r="109" spans="1:21" x14ac:dyDescent="0.25">
      <c r="B109" s="27">
        <v>4144000</v>
      </c>
      <c r="C109" s="27" t="s">
        <v>84</v>
      </c>
      <c r="E109" s="25">
        <v>1954.4</v>
      </c>
      <c r="F109" s="25">
        <v>0</v>
      </c>
      <c r="G109" s="25">
        <v>0</v>
      </c>
      <c r="H109" s="25">
        <v>0</v>
      </c>
      <c r="I109" s="25">
        <f t="shared" si="7"/>
        <v>1954.4</v>
      </c>
      <c r="J109" s="92"/>
      <c r="K109" s="22"/>
      <c r="L109" s="92"/>
      <c r="M109" s="92"/>
      <c r="N109" s="22"/>
      <c r="T109" s="25"/>
      <c r="U109" s="25"/>
    </row>
    <row r="110" spans="1:21" x14ac:dyDescent="0.25">
      <c r="A110" s="4">
        <v>224</v>
      </c>
      <c r="B110" s="5"/>
      <c r="C110" s="5" t="s">
        <v>88</v>
      </c>
      <c r="D110" s="5"/>
      <c r="E110" s="9">
        <f>SUM(E111:E120)</f>
        <v>-3463175.91</v>
      </c>
      <c r="F110" s="9">
        <f>SUM(F111:F120)</f>
        <v>-3191742.5000000005</v>
      </c>
      <c r="G110" s="9">
        <f>SUM(G111:G120)</f>
        <v>-908012.05</v>
      </c>
      <c r="H110" s="9">
        <f>SUM(H111:H120)</f>
        <v>-452279.29999999993</v>
      </c>
      <c r="I110" s="9">
        <f>SUM(I111:I120)</f>
        <v>-8015209.7600000007</v>
      </c>
      <c r="J110" s="98">
        <v>1</v>
      </c>
      <c r="K110" s="9">
        <f>SUM(K111:K120)</f>
        <v>2801304.24</v>
      </c>
      <c r="L110" s="89"/>
      <c r="M110" s="89">
        <v>11</v>
      </c>
      <c r="N110" s="9">
        <f>SUM(N111:N120)</f>
        <v>80018</v>
      </c>
      <c r="O110" s="9">
        <f>+I110+K110-N110</f>
        <v>-5293923.5200000005</v>
      </c>
      <c r="P110" s="9"/>
      <c r="Q110" s="9">
        <f>SUM(Q111:Q120)</f>
        <v>0</v>
      </c>
      <c r="R110" s="9"/>
      <c r="S110" s="9">
        <f>SUM(S111:S120)</f>
        <v>0</v>
      </c>
      <c r="T110" s="9">
        <f>-3323940-478830-60563-795498-635075+Q110-S110</f>
        <v>-5293906</v>
      </c>
      <c r="U110" s="9">
        <f>O110-T110</f>
        <v>-17.520000000484288</v>
      </c>
    </row>
    <row r="111" spans="1:21" x14ac:dyDescent="0.25">
      <c r="A111">
        <v>224</v>
      </c>
      <c r="B111" s="27">
        <v>4000000</v>
      </c>
      <c r="C111" s="27" t="s">
        <v>89</v>
      </c>
      <c r="E111" s="25">
        <v>-483069.05</v>
      </c>
      <c r="F111" s="25">
        <v>-197533.4</v>
      </c>
      <c r="G111" s="25">
        <v>-286104.23</v>
      </c>
      <c r="H111" s="25">
        <v>-21197.65</v>
      </c>
      <c r="I111" s="25">
        <f t="shared" ref="I111:I119" si="8">SUM(E111:H111)</f>
        <v>-987904.33</v>
      </c>
      <c r="J111" s="92"/>
      <c r="K111" s="22"/>
      <c r="T111" s="25"/>
    </row>
    <row r="112" spans="1:21" x14ac:dyDescent="0.25">
      <c r="A112">
        <v>224</v>
      </c>
      <c r="B112" s="27">
        <v>4000099</v>
      </c>
      <c r="C112" s="27" t="s">
        <v>123</v>
      </c>
      <c r="E112" s="25">
        <v>0</v>
      </c>
      <c r="F112" s="25">
        <v>0</v>
      </c>
      <c r="G112" s="25">
        <v>0</v>
      </c>
      <c r="H112" s="25">
        <v>0</v>
      </c>
      <c r="I112" s="25">
        <f t="shared" si="8"/>
        <v>0</v>
      </c>
      <c r="J112" s="92"/>
      <c r="K112" s="22"/>
      <c r="L112" s="92"/>
      <c r="M112" s="92"/>
      <c r="N112" s="22"/>
      <c r="T112" s="25"/>
    </row>
    <row r="113" spans="1:21" x14ac:dyDescent="0.25">
      <c r="B113" s="27">
        <v>4030000</v>
      </c>
      <c r="C113" s="27" t="s">
        <v>83</v>
      </c>
      <c r="E113" s="25">
        <v>0</v>
      </c>
      <c r="F113" s="25">
        <v>-1794359.22</v>
      </c>
      <c r="G113" s="25">
        <v>0</v>
      </c>
      <c r="H113" s="25">
        <v>-3619.61</v>
      </c>
      <c r="I113" s="25">
        <f>SUM(E113:H113)</f>
        <v>-1797978.83</v>
      </c>
      <c r="J113" s="92">
        <v>1</v>
      </c>
      <c r="K113" s="197">
        <v>1797978.83</v>
      </c>
      <c r="L113" s="92"/>
      <c r="M113" s="92"/>
      <c r="N113" s="22"/>
      <c r="T113" s="25"/>
    </row>
    <row r="114" spans="1:21" x14ac:dyDescent="0.25">
      <c r="B114" s="27">
        <v>4030001</v>
      </c>
      <c r="C114" s="27" t="s">
        <v>82</v>
      </c>
      <c r="E114" s="25">
        <v>-515166.53</v>
      </c>
      <c r="F114" s="25">
        <v>-542436.76</v>
      </c>
      <c r="G114" s="25">
        <v>-6285.32</v>
      </c>
      <c r="H114" s="25">
        <v>0</v>
      </c>
      <c r="I114" s="25">
        <v>-1063888.6100000001</v>
      </c>
      <c r="J114" s="92">
        <v>1</v>
      </c>
      <c r="K114" s="197">
        <v>1003325.41</v>
      </c>
      <c r="L114" s="92"/>
      <c r="M114" s="92"/>
      <c r="N114" s="15"/>
      <c r="T114" s="25"/>
    </row>
    <row r="115" spans="1:21" x14ac:dyDescent="0.25">
      <c r="A115">
        <v>224</v>
      </c>
      <c r="B115" s="27">
        <v>4004000</v>
      </c>
      <c r="C115" s="27" t="s">
        <v>90</v>
      </c>
      <c r="E115" s="25">
        <v>-2002897.67</v>
      </c>
      <c r="F115" s="25">
        <v>-651203.99</v>
      </c>
      <c r="G115" s="25">
        <v>-539166</v>
      </c>
      <c r="H115" s="25">
        <f>-{389126.98}</f>
        <v>-389126.98</v>
      </c>
      <c r="I115" s="25">
        <f t="shared" si="8"/>
        <v>-3582394.64</v>
      </c>
      <c r="J115" s="92"/>
      <c r="K115" s="22"/>
      <c r="L115" s="92"/>
      <c r="M115" s="92">
        <v>19</v>
      </c>
      <c r="N115" s="15">
        <v>80018</v>
      </c>
      <c r="T115" s="25"/>
    </row>
    <row r="116" spans="1:21" x14ac:dyDescent="0.25">
      <c r="A116">
        <v>224</v>
      </c>
      <c r="B116" s="27">
        <v>4004099</v>
      </c>
      <c r="C116" s="27" t="s">
        <v>124</v>
      </c>
      <c r="E116" s="25">
        <v>0</v>
      </c>
      <c r="F116" s="25">
        <v>0</v>
      </c>
      <c r="G116" s="25">
        <v>0</v>
      </c>
      <c r="H116" s="25">
        <v>0</v>
      </c>
      <c r="I116" s="25">
        <f t="shared" si="8"/>
        <v>0</v>
      </c>
      <c r="J116" s="92"/>
      <c r="K116" s="22"/>
      <c r="L116" s="92"/>
      <c r="M116" s="92"/>
      <c r="N116" s="22"/>
      <c r="T116" s="25"/>
    </row>
    <row r="117" spans="1:21" x14ac:dyDescent="0.25">
      <c r="A117">
        <v>224</v>
      </c>
      <c r="B117" s="27">
        <v>4009000</v>
      </c>
      <c r="C117" s="27" t="s">
        <v>91</v>
      </c>
      <c r="E117" s="25">
        <v>-462131.20000000001</v>
      </c>
      <c r="F117" s="25">
        <v>-3489.24</v>
      </c>
      <c r="G117" s="25">
        <v>-61234.54</v>
      </c>
      <c r="H117" s="25">
        <v>-34514.339999999997</v>
      </c>
      <c r="I117" s="25">
        <f t="shared" si="8"/>
        <v>-561369.31999999995</v>
      </c>
      <c r="J117" s="92"/>
      <c r="K117" s="22"/>
      <c r="L117" s="92"/>
      <c r="M117" s="92"/>
      <c r="N117" s="22"/>
      <c r="T117" s="25"/>
    </row>
    <row r="118" spans="1:21" x14ac:dyDescent="0.25">
      <c r="B118" s="27">
        <v>4009001</v>
      </c>
      <c r="C118" s="27" t="s">
        <v>156</v>
      </c>
      <c r="E118" s="25">
        <v>155.12</v>
      </c>
      <c r="F118" s="25">
        <v>-8.27</v>
      </c>
      <c r="G118" s="25">
        <v>5952.29</v>
      </c>
      <c r="H118" s="25">
        <v>0</v>
      </c>
      <c r="I118" s="25">
        <f t="shared" si="8"/>
        <v>6099.14</v>
      </c>
      <c r="J118" s="92"/>
      <c r="K118" s="22"/>
      <c r="L118" s="92"/>
      <c r="M118" s="92"/>
      <c r="N118" s="22"/>
      <c r="O118" s="35"/>
      <c r="P118" s="35"/>
      <c r="Q118" s="35"/>
      <c r="R118" s="35"/>
      <c r="S118" s="35"/>
      <c r="T118" s="25"/>
    </row>
    <row r="119" spans="1:21" x14ac:dyDescent="0.25">
      <c r="A119">
        <v>224</v>
      </c>
      <c r="B119" s="27">
        <v>4009002</v>
      </c>
      <c r="C119" s="27" t="s">
        <v>92</v>
      </c>
      <c r="E119" s="25">
        <v>-66.58</v>
      </c>
      <c r="F119" s="25">
        <v>-2711.62</v>
      </c>
      <c r="G119" s="25">
        <v>-21174.25</v>
      </c>
      <c r="H119" s="25">
        <v>-3820.72</v>
      </c>
      <c r="I119" s="25">
        <f t="shared" si="8"/>
        <v>-27773.170000000002</v>
      </c>
      <c r="J119" s="92"/>
      <c r="K119" s="22"/>
      <c r="L119" s="92"/>
      <c r="M119" s="92"/>
      <c r="N119" s="22"/>
      <c r="T119" s="25"/>
    </row>
    <row r="120" spans="1:21" x14ac:dyDescent="0.25">
      <c r="B120" s="27">
        <v>4030099</v>
      </c>
      <c r="C120" s="27" t="s">
        <v>125</v>
      </c>
      <c r="E120" s="25">
        <v>0</v>
      </c>
      <c r="F120" s="25">
        <v>0</v>
      </c>
      <c r="G120" s="25">
        <v>0</v>
      </c>
      <c r="H120" s="25">
        <v>0</v>
      </c>
      <c r="I120" s="25">
        <f>SUM(E120:H120)</f>
        <v>0</v>
      </c>
      <c r="J120" s="92"/>
      <c r="K120" s="15"/>
      <c r="L120" s="92"/>
      <c r="M120" s="92"/>
      <c r="N120" s="197"/>
      <c r="T120" s="25"/>
    </row>
    <row r="121" spans="1:21" x14ac:dyDescent="0.25">
      <c r="A121" s="4">
        <v>225</v>
      </c>
      <c r="B121" s="5"/>
      <c r="C121" s="5" t="s">
        <v>93</v>
      </c>
      <c r="D121" s="5"/>
      <c r="E121" s="9">
        <f>SUM(E122:E128)</f>
        <v>-1351218.53</v>
      </c>
      <c r="F121" s="9">
        <f>SUM(F122:F128)</f>
        <v>-181061.21000000002</v>
      </c>
      <c r="G121" s="9">
        <f>SUM(G122:G128)</f>
        <v>-95544.66</v>
      </c>
      <c r="H121" s="9">
        <f>SUM(H122:H128)</f>
        <v>0</v>
      </c>
      <c r="I121" s="9">
        <f>SUM(I122:I128)</f>
        <v>-1627824.4000000001</v>
      </c>
      <c r="J121" s="98"/>
      <c r="K121" s="9">
        <f>SUM(K122:K128)</f>
        <v>0</v>
      </c>
      <c r="L121" s="89"/>
      <c r="M121" s="89">
        <v>12</v>
      </c>
      <c r="N121" s="9">
        <f>SUM(N122:N128)</f>
        <v>250000</v>
      </c>
      <c r="O121" s="9">
        <f>+I121+K121-N121</f>
        <v>-1877824.4000000001</v>
      </c>
      <c r="P121" s="9"/>
      <c r="Q121" s="9">
        <f>SUM(Q122:Q128)</f>
        <v>0</v>
      </c>
      <c r="R121" s="9"/>
      <c r="S121" s="9">
        <f>SUM(S122:S128)</f>
        <v>0</v>
      </c>
      <c r="T121" s="9">
        <f>-1877824+Q121-S121</f>
        <v>-1877824</v>
      </c>
      <c r="U121" s="9">
        <f>O121-T121</f>
        <v>-0.40000000013969839</v>
      </c>
    </row>
    <row r="122" spans="1:21" x14ac:dyDescent="0.25">
      <c r="A122">
        <v>225</v>
      </c>
      <c r="B122" s="27">
        <v>4100099</v>
      </c>
      <c r="C122" s="27" t="s">
        <v>121</v>
      </c>
      <c r="E122" s="25">
        <v>0</v>
      </c>
      <c r="F122" s="25">
        <v>0</v>
      </c>
      <c r="G122" s="25">
        <v>0</v>
      </c>
      <c r="H122" s="25">
        <v>0</v>
      </c>
      <c r="I122" s="25">
        <f t="shared" ref="I122:I128" si="9">SUM(E122:H122)</f>
        <v>0</v>
      </c>
      <c r="J122" s="92"/>
      <c r="T122" s="25"/>
    </row>
    <row r="123" spans="1:21" x14ac:dyDescent="0.25">
      <c r="A123">
        <v>225</v>
      </c>
      <c r="B123" s="27">
        <v>4650000</v>
      </c>
      <c r="C123" s="27" t="s">
        <v>95</v>
      </c>
      <c r="E123" s="25">
        <v>-78575.95</v>
      </c>
      <c r="F123" s="25">
        <v>-469.24</v>
      </c>
      <c r="G123" s="25">
        <v>0</v>
      </c>
      <c r="H123" s="25">
        <v>0</v>
      </c>
      <c r="I123" s="25">
        <f t="shared" si="9"/>
        <v>-79045.19</v>
      </c>
      <c r="J123" s="92"/>
      <c r="T123" s="25"/>
    </row>
    <row r="124" spans="1:21" x14ac:dyDescent="0.25">
      <c r="A124">
        <v>225</v>
      </c>
      <c r="B124" s="27">
        <v>4650001</v>
      </c>
      <c r="C124" s="27" t="s">
        <v>96</v>
      </c>
      <c r="E124" s="25">
        <v>-21624.2</v>
      </c>
      <c r="F124" s="25">
        <v>-35642.51</v>
      </c>
      <c r="G124" s="25">
        <v>0</v>
      </c>
      <c r="H124" s="25">
        <v>0</v>
      </c>
      <c r="I124" s="25">
        <f t="shared" si="9"/>
        <v>-57266.710000000006</v>
      </c>
      <c r="J124" s="92"/>
      <c r="T124" s="25"/>
    </row>
    <row r="125" spans="1:21" x14ac:dyDescent="0.25">
      <c r="A125">
        <v>225</v>
      </c>
      <c r="B125" s="27">
        <v>4650003</v>
      </c>
      <c r="C125" s="27" t="s">
        <v>97</v>
      </c>
      <c r="E125" s="25">
        <v>-259912.47</v>
      </c>
      <c r="F125" s="25">
        <v>-108477.71</v>
      </c>
      <c r="G125" s="25">
        <v>-40489.480000000003</v>
      </c>
      <c r="H125" s="25">
        <v>0</v>
      </c>
      <c r="I125" s="25">
        <f t="shared" si="9"/>
        <v>-408879.66</v>
      </c>
      <c r="J125" s="92"/>
      <c r="N125" s="15"/>
      <c r="T125" s="25"/>
    </row>
    <row r="126" spans="1:21" x14ac:dyDescent="0.25">
      <c r="A126">
        <v>225</v>
      </c>
      <c r="B126" s="27">
        <v>4650009</v>
      </c>
      <c r="C126" s="27" t="s">
        <v>98</v>
      </c>
      <c r="E126" s="25">
        <v>-922115.94</v>
      </c>
      <c r="F126" s="25">
        <v>-16.68</v>
      </c>
      <c r="G126" s="25">
        <v>-37315.019999999997</v>
      </c>
      <c r="H126" s="25">
        <v>0</v>
      </c>
      <c r="I126" s="25">
        <f t="shared" si="9"/>
        <v>-959447.64</v>
      </c>
      <c r="J126" s="92"/>
      <c r="T126" s="25"/>
    </row>
    <row r="127" spans="1:21" x14ac:dyDescent="0.25">
      <c r="A127">
        <v>225</v>
      </c>
      <c r="B127" s="27">
        <v>4650017</v>
      </c>
      <c r="C127" s="27" t="s">
        <v>99</v>
      </c>
      <c r="E127" s="25">
        <v>-68989.97</v>
      </c>
      <c r="F127" s="25">
        <v>-36455.07</v>
      </c>
      <c r="G127" s="25">
        <v>-17740.16</v>
      </c>
      <c r="H127" s="25">
        <v>0</v>
      </c>
      <c r="I127" s="25">
        <f t="shared" si="9"/>
        <v>-123185.20000000001</v>
      </c>
      <c r="J127" s="92"/>
      <c r="T127" s="25"/>
    </row>
    <row r="128" spans="1:21" x14ac:dyDescent="0.25">
      <c r="B128" s="27"/>
      <c r="C128" s="27" t="s">
        <v>342</v>
      </c>
      <c r="E128" s="25">
        <v>0</v>
      </c>
      <c r="F128" s="25">
        <v>0</v>
      </c>
      <c r="G128" s="25">
        <v>0</v>
      </c>
      <c r="H128" s="25">
        <v>0</v>
      </c>
      <c r="I128" s="25">
        <f t="shared" si="9"/>
        <v>0</v>
      </c>
      <c r="J128" s="92"/>
      <c r="M128" s="154">
        <v>22</v>
      </c>
      <c r="N128" s="15">
        <v>250000</v>
      </c>
      <c r="T128" s="25"/>
    </row>
    <row r="129" spans="1:24" x14ac:dyDescent="0.25">
      <c r="A129" s="4">
        <v>226</v>
      </c>
      <c r="B129" s="5"/>
      <c r="C129" s="5" t="s">
        <v>100</v>
      </c>
      <c r="D129" s="5"/>
      <c r="E129" s="9">
        <f>SUM(E130:E130)</f>
        <v>-265972.58</v>
      </c>
      <c r="F129" s="9">
        <f>SUM(F130:F130)</f>
        <v>-8649.57</v>
      </c>
      <c r="G129" s="9">
        <f>SUM(G130:G130)</f>
        <v>-3299.67</v>
      </c>
      <c r="H129" s="9">
        <f>SUM(H130:H130)</f>
        <v>-12.17</v>
      </c>
      <c r="I129" s="9">
        <f>SUM(I130:I130)</f>
        <v>-277933.99</v>
      </c>
      <c r="J129" s="98"/>
      <c r="K129" s="9">
        <f>SUM(K130:K132)</f>
        <v>80596</v>
      </c>
      <c r="L129" s="89"/>
      <c r="M129" s="89"/>
      <c r="N129" s="9">
        <f>SUM(N130:N132)</f>
        <v>469177</v>
      </c>
      <c r="O129" s="9">
        <f>+I129+K129-N129</f>
        <v>-666514.99</v>
      </c>
      <c r="P129" s="9"/>
      <c r="Q129" s="9">
        <f>SUM(Q130:Q132)</f>
        <v>0</v>
      </c>
      <c r="R129" s="9"/>
      <c r="S129" s="9">
        <f>SUM(S130:S132)</f>
        <v>0</v>
      </c>
      <c r="T129" s="9">
        <f>-277934-180559-208022+Q129-S129</f>
        <v>-666515</v>
      </c>
      <c r="U129" s="9">
        <f>O129-T129</f>
        <v>1.0000000009313226E-2</v>
      </c>
    </row>
    <row r="130" spans="1:24" x14ac:dyDescent="0.25">
      <c r="A130" s="16"/>
      <c r="B130" s="27">
        <v>4751007</v>
      </c>
      <c r="C130" s="27" t="s">
        <v>104</v>
      </c>
      <c r="E130" s="25">
        <v>-265972.58</v>
      </c>
      <c r="F130" s="25">
        <v>-8649.57</v>
      </c>
      <c r="G130" s="25">
        <v>-3299.67</v>
      </c>
      <c r="H130" s="25">
        <v>-12.17</v>
      </c>
      <c r="I130" s="25">
        <f>SUM(E130:H130)</f>
        <v>-277933.99</v>
      </c>
      <c r="J130" s="97"/>
      <c r="K130" s="33">
        <v>0</v>
      </c>
      <c r="L130" s="92"/>
      <c r="M130" s="92">
        <v>16</v>
      </c>
      <c r="N130" s="33">
        <f>180559</f>
        <v>180559</v>
      </c>
      <c r="T130" s="25"/>
    </row>
    <row r="131" spans="1:24" x14ac:dyDescent="0.25">
      <c r="A131" s="16"/>
      <c r="B131" s="27"/>
      <c r="C131" s="27" t="s">
        <v>339</v>
      </c>
      <c r="E131" s="25">
        <v>0</v>
      </c>
      <c r="F131" s="25">
        <v>0</v>
      </c>
      <c r="G131" s="25">
        <v>0</v>
      </c>
      <c r="H131" s="25">
        <v>0</v>
      </c>
      <c r="I131" s="25">
        <f>SUM(E131:H131)</f>
        <v>0</v>
      </c>
      <c r="J131" s="97">
        <v>9</v>
      </c>
      <c r="K131" s="33">
        <f>50853</f>
        <v>50853</v>
      </c>
      <c r="L131" s="92"/>
      <c r="M131" s="92" t="s">
        <v>341</v>
      </c>
      <c r="N131" s="33">
        <f>50853</f>
        <v>50853</v>
      </c>
      <c r="T131" s="25"/>
    </row>
    <row r="132" spans="1:24" x14ac:dyDescent="0.25">
      <c r="A132" s="16"/>
      <c r="B132" s="27"/>
      <c r="C132" s="27" t="s">
        <v>340</v>
      </c>
      <c r="E132" s="25">
        <v>0</v>
      </c>
      <c r="F132" s="25">
        <v>0</v>
      </c>
      <c r="G132" s="25">
        <v>0</v>
      </c>
      <c r="H132" s="25">
        <v>0</v>
      </c>
      <c r="I132" s="25">
        <f>SUM(E132:H132)</f>
        <v>0</v>
      </c>
      <c r="J132" s="97">
        <v>5</v>
      </c>
      <c r="K132" s="33">
        <v>29743</v>
      </c>
      <c r="L132" s="92"/>
      <c r="M132" s="92" t="s">
        <v>343</v>
      </c>
      <c r="N132" s="33">
        <f>208022+29743</f>
        <v>237765</v>
      </c>
      <c r="T132" s="25"/>
    </row>
    <row r="133" spans="1:24" x14ac:dyDescent="0.25">
      <c r="A133" s="16"/>
      <c r="B133" s="5"/>
      <c r="C133" s="5" t="s">
        <v>158</v>
      </c>
      <c r="D133" s="5"/>
      <c r="E133" s="9">
        <f>SUM(E134:E136)</f>
        <v>-9444.01</v>
      </c>
      <c r="F133" s="9">
        <f>SUM(F134:F136)</f>
        <v>-33671.449999999997</v>
      </c>
      <c r="G133" s="9">
        <f>SUM(G134:G136)</f>
        <v>-9751.66</v>
      </c>
      <c r="H133" s="9">
        <f>SUM(H134:H136)</f>
        <v>0</v>
      </c>
      <c r="I133" s="9">
        <f>SUM(I134:I136)</f>
        <v>-52867.12</v>
      </c>
      <c r="J133" s="97"/>
      <c r="K133" s="9">
        <f>SUM(K134:K136)</f>
        <v>0</v>
      </c>
      <c r="L133" s="89"/>
      <c r="M133" s="89"/>
      <c r="N133" s="9">
        <f>SUM(N134:N136)</f>
        <v>0</v>
      </c>
      <c r="O133" s="9">
        <f>+I133+K133-N133</f>
        <v>-52867.12</v>
      </c>
      <c r="P133" s="9"/>
      <c r="Q133" s="9">
        <f>SUM(Q134:Q136)</f>
        <v>0</v>
      </c>
      <c r="R133" s="9"/>
      <c r="S133" s="9">
        <f>SUM(S134:S136)</f>
        <v>0</v>
      </c>
      <c r="T133" s="9">
        <f>-52867+Q133-S133</f>
        <v>-52867</v>
      </c>
      <c r="U133" s="9">
        <f>O133-T133</f>
        <v>-0.12000000000261934</v>
      </c>
    </row>
    <row r="134" spans="1:24" x14ac:dyDescent="0.25">
      <c r="A134">
        <v>226</v>
      </c>
      <c r="B134" s="27">
        <v>4760000</v>
      </c>
      <c r="C134" s="27" t="s">
        <v>101</v>
      </c>
      <c r="E134" s="25">
        <v>0</v>
      </c>
      <c r="F134" s="25">
        <v>-21626.48</v>
      </c>
      <c r="G134" s="25">
        <v>-6713.15</v>
      </c>
      <c r="H134" s="25">
        <v>0</v>
      </c>
      <c r="I134" s="25">
        <f>SUM(E134:H134)</f>
        <v>-28339.629999999997</v>
      </c>
      <c r="J134" s="92"/>
      <c r="T134" s="25"/>
    </row>
    <row r="135" spans="1:24" x14ac:dyDescent="0.25">
      <c r="A135">
        <v>226</v>
      </c>
      <c r="B135" s="27">
        <v>4760023</v>
      </c>
      <c r="C135" s="27" t="s">
        <v>102</v>
      </c>
      <c r="E135" s="25">
        <v>-9444.01</v>
      </c>
      <c r="F135" s="25">
        <v>-8230.69</v>
      </c>
      <c r="G135" s="25">
        <v>-2558.39</v>
      </c>
      <c r="H135" s="25">
        <v>0</v>
      </c>
      <c r="I135" s="25">
        <f>SUM(E135:H135)</f>
        <v>-20233.09</v>
      </c>
      <c r="J135" s="92"/>
      <c r="T135" s="25"/>
    </row>
    <row r="136" spans="1:24" x14ac:dyDescent="0.25">
      <c r="A136">
        <v>226</v>
      </c>
      <c r="B136" s="27">
        <v>4760024</v>
      </c>
      <c r="C136" s="27" t="s">
        <v>103</v>
      </c>
      <c r="E136" s="25">
        <v>0</v>
      </c>
      <c r="F136" s="25">
        <v>-3814.28</v>
      </c>
      <c r="G136" s="25">
        <v>-480.12</v>
      </c>
      <c r="H136" s="25">
        <v>0</v>
      </c>
      <c r="I136" s="25">
        <f>SUM(E136:H136)</f>
        <v>-4294.4000000000005</v>
      </c>
      <c r="J136" s="92"/>
      <c r="T136" s="25"/>
    </row>
    <row r="137" spans="1:24" x14ac:dyDescent="0.25">
      <c r="A137" s="5"/>
      <c r="B137" s="5"/>
      <c r="C137" s="5" t="s">
        <v>106</v>
      </c>
      <c r="D137" s="5"/>
      <c r="E137" s="9">
        <f>E138</f>
        <v>0</v>
      </c>
      <c r="F137" s="9">
        <f>F138</f>
        <v>0</v>
      </c>
      <c r="G137" s="9">
        <f>G138</f>
        <v>-3086266.16</v>
      </c>
      <c r="H137" s="9">
        <f>H138</f>
        <v>0</v>
      </c>
      <c r="I137" s="9">
        <f>I138</f>
        <v>-3086266.16</v>
      </c>
      <c r="J137" s="98"/>
      <c r="K137" s="9">
        <f>K138</f>
        <v>3086978.14</v>
      </c>
      <c r="L137" s="89"/>
      <c r="M137" s="89"/>
      <c r="N137" s="9">
        <f>N138</f>
        <v>711.98</v>
      </c>
      <c r="O137" s="9">
        <f>O138</f>
        <v>0</v>
      </c>
      <c r="P137" s="9"/>
      <c r="Q137" s="9"/>
      <c r="R137" s="9"/>
      <c r="S137" s="9"/>
      <c r="T137" s="9">
        <f>Q137-S137</f>
        <v>0</v>
      </c>
      <c r="U137" s="9">
        <f>U138</f>
        <v>0</v>
      </c>
    </row>
    <row r="138" spans="1:24" x14ac:dyDescent="0.25">
      <c r="A138">
        <v>229</v>
      </c>
      <c r="B138" s="27">
        <v>5510000</v>
      </c>
      <c r="C138" s="27" t="s">
        <v>46</v>
      </c>
      <c r="E138" s="25">
        <v>0</v>
      </c>
      <c r="F138" s="25">
        <v>0</v>
      </c>
      <c r="G138" s="25">
        <v>-3086266.16</v>
      </c>
      <c r="H138" s="25">
        <v>0</v>
      </c>
      <c r="I138" s="25">
        <f>SUM(E138:H138)</f>
        <v>-3086266.16</v>
      </c>
      <c r="J138" s="87">
        <v>2</v>
      </c>
      <c r="K138" s="223">
        <v>3086978.14</v>
      </c>
      <c r="L138" s="94"/>
      <c r="M138" s="94">
        <v>2</v>
      </c>
      <c r="N138" s="224">
        <v>711.98</v>
      </c>
      <c r="O138" s="25"/>
      <c r="P138" s="197"/>
      <c r="Q138" s="197"/>
      <c r="R138" s="197"/>
      <c r="S138" s="197"/>
      <c r="T138" s="25"/>
    </row>
    <row r="139" spans="1:24" x14ac:dyDescent="0.25">
      <c r="A139" s="4">
        <v>24</v>
      </c>
      <c r="B139" s="5"/>
      <c r="C139" s="5" t="s">
        <v>107</v>
      </c>
      <c r="D139" s="5"/>
      <c r="E139" s="9">
        <f>+E140</f>
        <v>0</v>
      </c>
      <c r="F139" s="9">
        <f>+F140</f>
        <v>4708.78</v>
      </c>
      <c r="G139" s="9">
        <f>+G140</f>
        <v>0</v>
      </c>
      <c r="H139" s="9">
        <f>+H140</f>
        <v>0</v>
      </c>
      <c r="I139" s="9">
        <f>+I140</f>
        <v>4708.78</v>
      </c>
      <c r="J139" s="98"/>
      <c r="K139" s="9">
        <f>SUM(K140)</f>
        <v>0</v>
      </c>
      <c r="L139" s="89"/>
      <c r="M139" s="89"/>
      <c r="N139" s="9">
        <f>SUM(N140)</f>
        <v>0</v>
      </c>
      <c r="O139" s="9">
        <f>SUM(O140)</f>
        <v>0</v>
      </c>
      <c r="P139" s="9"/>
      <c r="Q139" s="9"/>
      <c r="R139" s="9"/>
      <c r="S139" s="9"/>
      <c r="T139" s="9">
        <f>Q139-S139</f>
        <v>0</v>
      </c>
      <c r="U139" s="9">
        <f>SUM(U140)</f>
        <v>0</v>
      </c>
    </row>
    <row r="140" spans="1:24" x14ac:dyDescent="0.25">
      <c r="A140">
        <v>241</v>
      </c>
      <c r="B140" s="27">
        <v>1420000</v>
      </c>
      <c r="C140" s="27" t="s">
        <v>108</v>
      </c>
      <c r="E140" s="25">
        <v>0</v>
      </c>
      <c r="F140" s="25">
        <v>4708.78</v>
      </c>
      <c r="G140" s="25">
        <v>0</v>
      </c>
      <c r="H140" s="25">
        <v>0</v>
      </c>
      <c r="I140" s="25">
        <f>SUM(E140:H140)</f>
        <v>4708.78</v>
      </c>
      <c r="K140" s="25">
        <v>0</v>
      </c>
      <c r="L140" s="86"/>
      <c r="M140" s="86"/>
      <c r="N140" s="25">
        <v>0</v>
      </c>
      <c r="O140" s="25">
        <v>0</v>
      </c>
      <c r="P140" s="197"/>
      <c r="Q140" s="197"/>
      <c r="R140" s="197"/>
      <c r="S140" s="197"/>
      <c r="T140" s="25">
        <v>0</v>
      </c>
      <c r="U140" s="25">
        <v>0</v>
      </c>
      <c r="V140" s="25"/>
      <c r="W140" s="25"/>
      <c r="X140" s="25"/>
    </row>
    <row r="141" spans="1:24" x14ac:dyDescent="0.25">
      <c r="A141" s="5"/>
      <c r="B141" s="5"/>
      <c r="C141" s="5" t="s">
        <v>109</v>
      </c>
      <c r="D141" s="18" t="s">
        <v>127</v>
      </c>
      <c r="E141" s="9">
        <f>E103+E110+E121+E129+E133+E137+E139</f>
        <v>-7307601.5100000007</v>
      </c>
      <c r="F141" s="9">
        <f>F103+F110+F121+F129+F133+F137+F139</f>
        <v>-4080433.2500000009</v>
      </c>
      <c r="G141" s="9">
        <f>G103+G110+G121+G129+G133+G137+G139</f>
        <v>-4127155.8400000003</v>
      </c>
      <c r="H141" s="9">
        <f>H103+H110+H121+H129+H133+H137+H139</f>
        <v>-457190.02999999991</v>
      </c>
      <c r="I141" s="9">
        <f>I103+I110+I121+I129+I133+I137+I139</f>
        <v>-15972380.630000003</v>
      </c>
      <c r="J141" s="98"/>
      <c r="K141" s="9">
        <f>K103+K110+K121+K129+K133+K137+K139</f>
        <v>6328986.3800000008</v>
      </c>
      <c r="L141" s="89"/>
      <c r="M141" s="89"/>
      <c r="N141" s="9">
        <f>N103+N110+N121+N129+N133+N137+N139</f>
        <v>1784682.98</v>
      </c>
      <c r="O141" s="9">
        <f>O103+O110+O121+O129+O133+O137+O139</f>
        <v>-11432786.01</v>
      </c>
      <c r="P141" s="9"/>
      <c r="Q141" s="9">
        <f>Q103+Q110+Q121+Q129+Q133+Q137+Q139</f>
        <v>0</v>
      </c>
      <c r="R141" s="9"/>
      <c r="S141" s="9">
        <f>S103+S110+S121+S129+S133+S137+S139</f>
        <v>0</v>
      </c>
      <c r="T141" s="9">
        <f>T103+T110+T121+T129+T133+T137+T139</f>
        <v>-11432768</v>
      </c>
      <c r="U141" s="9">
        <f>U103+U110+U121+U129+U133+U137+U139</f>
        <v>-18.010000001064327</v>
      </c>
      <c r="V141" s="25"/>
      <c r="W141" s="25"/>
      <c r="X141" s="25"/>
    </row>
    <row r="142" spans="1:24" x14ac:dyDescent="0.25">
      <c r="A142" s="7">
        <v>31</v>
      </c>
      <c r="B142" s="8"/>
      <c r="C142" s="8" t="s">
        <v>110</v>
      </c>
      <c r="D142" s="8"/>
      <c r="E142" s="13">
        <f>SUM(E143:E147)</f>
        <v>-13504856.300000001</v>
      </c>
      <c r="F142" s="13">
        <f>SUM(F143:F147)</f>
        <v>-1751120.5399999998</v>
      </c>
      <c r="G142" s="13">
        <f>SUM(G143:G147)</f>
        <v>-398221.51</v>
      </c>
      <c r="H142" s="13">
        <f>SUM(H143:H147)</f>
        <v>-142161.47</v>
      </c>
      <c r="I142" s="13">
        <f>SUM(I143:I147)</f>
        <v>-15796359.82</v>
      </c>
      <c r="J142" s="89"/>
      <c r="K142" s="13">
        <f>SUM(K143:K147)</f>
        <v>1974800.9956</v>
      </c>
      <c r="L142" s="95"/>
      <c r="M142" s="95"/>
      <c r="N142" s="13">
        <f>SUM(N143:N147)</f>
        <v>213498.19750000001</v>
      </c>
      <c r="O142" s="13">
        <f>SUM(O143:O147)</f>
        <v>-14035057.021899998</v>
      </c>
      <c r="P142" s="13"/>
      <c r="Q142" s="13">
        <f>SUM(Q143:Q147)</f>
        <v>0</v>
      </c>
      <c r="R142" s="13"/>
      <c r="S142" s="13">
        <f>SUM(S143:S147)</f>
        <v>0</v>
      </c>
      <c r="T142" s="13">
        <f>SUM(T143:T147)</f>
        <v>-14035057</v>
      </c>
      <c r="U142" s="13">
        <f>SUM(U143:U147)</f>
        <v>-2.190000016707927E-2</v>
      </c>
      <c r="V142" s="25"/>
      <c r="W142" s="25"/>
      <c r="X142" s="25"/>
    </row>
    <row r="143" spans="1:24" x14ac:dyDescent="0.25">
      <c r="A143">
        <v>311</v>
      </c>
      <c r="B143" s="27">
        <v>1000000</v>
      </c>
      <c r="C143" s="27" t="s">
        <v>111</v>
      </c>
      <c r="E143" s="25">
        <v>-1500000</v>
      </c>
      <c r="F143" s="25">
        <v>-13102</v>
      </c>
      <c r="G143" s="25">
        <v>-131020</v>
      </c>
      <c r="H143" s="25">
        <v>-13102</v>
      </c>
      <c r="I143" s="25">
        <f>SUM(E143:H143)</f>
        <v>-1657224</v>
      </c>
      <c r="J143" s="99">
        <v>3</v>
      </c>
      <c r="K143" s="223">
        <v>157224</v>
      </c>
      <c r="L143" s="94"/>
      <c r="M143" s="94"/>
      <c r="N143" s="69"/>
      <c r="O143" s="25">
        <f>+I143+K143-N143</f>
        <v>-1500000</v>
      </c>
      <c r="P143" s="197"/>
      <c r="Q143" s="197"/>
      <c r="R143" s="197"/>
      <c r="S143" s="197"/>
      <c r="T143" s="25">
        <v>-1500000</v>
      </c>
      <c r="U143" s="37">
        <f>O143-T143</f>
        <v>0</v>
      </c>
      <c r="V143" s="25"/>
      <c r="W143" s="25"/>
      <c r="X143" s="25"/>
    </row>
    <row r="144" spans="1:24" x14ac:dyDescent="0.25">
      <c r="A144">
        <v>321</v>
      </c>
      <c r="B144" s="27">
        <v>1120000</v>
      </c>
      <c r="C144" s="27" t="s">
        <v>112</v>
      </c>
      <c r="E144" s="25">
        <v>-817113.77</v>
      </c>
      <c r="F144" s="25">
        <v>-87141.71</v>
      </c>
      <c r="G144" s="25">
        <v>-22174.92</v>
      </c>
      <c r="H144" s="25">
        <v>-4663.05</v>
      </c>
      <c r="I144" s="25">
        <f>SUM(E144:H144)</f>
        <v>-931093.45000000007</v>
      </c>
      <c r="J144" s="87">
        <v>24</v>
      </c>
      <c r="K144" s="197">
        <v>3827</v>
      </c>
      <c r="L144" s="92"/>
      <c r="M144" s="92"/>
      <c r="N144" s="22"/>
      <c r="O144" s="25">
        <f>+I144+K144-N144</f>
        <v>-927266.45000000007</v>
      </c>
      <c r="P144" s="197"/>
      <c r="Q144" s="197"/>
      <c r="R144" s="197"/>
      <c r="S144" s="197"/>
      <c r="T144" s="25">
        <v>-927266</v>
      </c>
      <c r="U144" s="37">
        <f>O144-T144</f>
        <v>-0.45000000006984919</v>
      </c>
      <c r="V144" s="25"/>
      <c r="W144" s="25"/>
      <c r="X144" s="25"/>
    </row>
    <row r="145" spans="1:24" x14ac:dyDescent="0.25">
      <c r="A145">
        <v>331</v>
      </c>
      <c r="B145" s="27">
        <v>1210000</v>
      </c>
      <c r="C145" s="27" t="s">
        <v>113</v>
      </c>
      <c r="E145" s="25">
        <v>-5607411.1900000004</v>
      </c>
      <c r="F145" s="25">
        <v>-1365107.56</v>
      </c>
      <c r="G145" s="25">
        <v>-355100.53</v>
      </c>
      <c r="H145" s="25">
        <v>-79695.289999999994</v>
      </c>
      <c r="I145" s="25">
        <f>SUM(E145:H145)</f>
        <v>-7407314.5700000003</v>
      </c>
      <c r="J145" s="87">
        <v>18</v>
      </c>
      <c r="K145" s="155">
        <v>8194</v>
      </c>
      <c r="L145" s="92"/>
      <c r="M145" s="92"/>
      <c r="N145" s="178">
        <f>313488+1024675+93914</f>
        <v>1432077</v>
      </c>
      <c r="O145" s="25">
        <f>+I145+K145-N145</f>
        <v>-8831197.5700000003</v>
      </c>
      <c r="P145" s="197"/>
      <c r="Q145" s="197"/>
      <c r="R145" s="197"/>
      <c r="S145" s="197"/>
      <c r="T145" s="25">
        <v>-8831198</v>
      </c>
      <c r="U145" s="37">
        <f>O145-T145+Q145-S145</f>
        <v>0.42999999970197678</v>
      </c>
      <c r="V145" s="153">
        <v>8716719</v>
      </c>
      <c r="W145" s="25">
        <f>T145+V145</f>
        <v>-114479</v>
      </c>
      <c r="X145" s="25"/>
    </row>
    <row r="146" spans="1:24" x14ac:dyDescent="0.25">
      <c r="A146">
        <v>351</v>
      </c>
      <c r="B146" s="27">
        <v>1200000</v>
      </c>
      <c r="C146" s="27" t="s">
        <v>114</v>
      </c>
      <c r="E146" s="25">
        <v>-1703189.34</v>
      </c>
      <c r="F146" s="25">
        <v>-238233.86</v>
      </c>
      <c r="G146" s="25">
        <v>450060.91</v>
      </c>
      <c r="H146" s="25">
        <v>30582.71</v>
      </c>
      <c r="I146" s="25">
        <f>SUM(E146:H146)</f>
        <v>-1460779.5800000003</v>
      </c>
      <c r="K146" s="25">
        <v>1460779.58</v>
      </c>
      <c r="L146" s="92"/>
      <c r="M146" s="92"/>
      <c r="N146" s="70"/>
      <c r="O146" s="25">
        <f>+I146+K146-N146</f>
        <v>-2.3283064365386963E-10</v>
      </c>
      <c r="P146" s="197"/>
      <c r="Q146" s="197"/>
      <c r="R146" s="197"/>
      <c r="S146" s="197"/>
      <c r="T146" s="25">
        <v>0</v>
      </c>
      <c r="U146" s="37">
        <f>O146-T146+Q146-S146</f>
        <v>-2.3283064365386963E-10</v>
      </c>
      <c r="V146" s="25">
        <v>8737284</v>
      </c>
      <c r="W146" s="25">
        <f>O145+V146</f>
        <v>-93913.570000000298</v>
      </c>
      <c r="X146" s="25"/>
    </row>
    <row r="147" spans="1:24" x14ac:dyDescent="0.25">
      <c r="A147">
        <v>351</v>
      </c>
      <c r="B147" s="27"/>
      <c r="C147" s="27" t="s">
        <v>115</v>
      </c>
      <c r="E147" s="25">
        <v>-3877142</v>
      </c>
      <c r="F147" s="25">
        <v>-47535.41</v>
      </c>
      <c r="G147" s="25">
        <v>-339986.97</v>
      </c>
      <c r="H147" s="25">
        <v>-75283.839999999997</v>
      </c>
      <c r="I147" s="25">
        <f>SUM(E147:H147)</f>
        <v>-4339948.22</v>
      </c>
      <c r="K147" s="172">
        <f>'PARTIDAS KPMG'!F198</f>
        <v>344776.41560000001</v>
      </c>
      <c r="L147" s="92"/>
      <c r="M147" s="92"/>
      <c r="N147" s="174">
        <v>-1218578.8025</v>
      </c>
      <c r="O147" s="25">
        <f>+I147+K147-N147</f>
        <v>-2776593.0018999996</v>
      </c>
      <c r="P147" s="197"/>
      <c r="Q147" s="197"/>
      <c r="R147" s="197"/>
      <c r="S147" s="197"/>
      <c r="T147" s="25">
        <v>-2776593</v>
      </c>
      <c r="U147" s="37">
        <f>O147-T147+Q147-S147</f>
        <v>-1.8999995663762093E-3</v>
      </c>
      <c r="V147" s="25">
        <f>T145+V146</f>
        <v>-93914</v>
      </c>
      <c r="W147" s="25">
        <f>W145-W146</f>
        <v>-20565.429999999702</v>
      </c>
      <c r="X147" s="25" t="s">
        <v>365</v>
      </c>
    </row>
    <row r="148" spans="1:24" ht="15.75" thickBot="1" x14ac:dyDescent="0.3">
      <c r="A148" s="6"/>
      <c r="B148" s="6"/>
      <c r="C148" s="6" t="s">
        <v>116</v>
      </c>
      <c r="D148" s="6" t="s">
        <v>127</v>
      </c>
      <c r="E148" s="11">
        <f>+E142+E141</f>
        <v>-20812457.810000002</v>
      </c>
      <c r="F148" s="11">
        <f>+F142+F141</f>
        <v>-5831553.790000001</v>
      </c>
      <c r="G148" s="11">
        <f>+G142+G141</f>
        <v>-4525377.3500000006</v>
      </c>
      <c r="H148" s="11">
        <f>+H142+H141</f>
        <v>-599351.49999999988</v>
      </c>
      <c r="I148" s="11">
        <f>+I142+I141</f>
        <v>-31768740.450000003</v>
      </c>
      <c r="J148" s="93"/>
      <c r="K148" s="11">
        <f>+K142+K141</f>
        <v>8303787.3756000008</v>
      </c>
      <c r="L148" s="93"/>
      <c r="M148" s="93"/>
      <c r="N148" s="11">
        <f>+N142+N141</f>
        <v>1998181.1775</v>
      </c>
      <c r="O148" s="11">
        <f>+O142+O141</f>
        <v>-25467843.031899996</v>
      </c>
      <c r="P148" s="11"/>
      <c r="Q148" s="11">
        <f>+Q142+Q141</f>
        <v>0</v>
      </c>
      <c r="R148" s="11"/>
      <c r="S148" s="11">
        <f>+S142+S141</f>
        <v>0</v>
      </c>
      <c r="T148" s="11">
        <f>+T142+T141</f>
        <v>-25467825</v>
      </c>
      <c r="U148" s="11">
        <f>+U142+U141</f>
        <v>-18.031900001231406</v>
      </c>
      <c r="V148" s="25"/>
      <c r="W148" s="25"/>
      <c r="X148" s="25"/>
    </row>
    <row r="149" spans="1:24" ht="15.75" thickTop="1" x14ac:dyDescent="0.25">
      <c r="C149" s="104"/>
      <c r="D149" s="69"/>
      <c r="E149" s="19"/>
      <c r="F149" s="19"/>
      <c r="G149" s="19"/>
      <c r="H149" s="19"/>
      <c r="I149" s="105"/>
      <c r="J149" s="94"/>
      <c r="K149" s="105"/>
      <c r="L149" s="94"/>
      <c r="M149" s="94"/>
      <c r="N149" s="105"/>
      <c r="O149" s="105"/>
      <c r="P149" s="105"/>
      <c r="Q149" s="105"/>
      <c r="R149" s="105"/>
      <c r="S149" s="105"/>
      <c r="T149" s="105"/>
      <c r="U149" s="106"/>
      <c r="V149" s="197"/>
      <c r="W149" s="197"/>
      <c r="X149" s="197"/>
    </row>
    <row r="150" spans="1:24" x14ac:dyDescent="0.25">
      <c r="A150" s="22"/>
      <c r="B150" s="22"/>
      <c r="C150" s="107"/>
      <c r="D150" s="69"/>
      <c r="E150" s="105"/>
      <c r="F150" s="33"/>
      <c r="G150" s="33"/>
      <c r="H150" s="33"/>
      <c r="I150" s="69"/>
      <c r="J150" s="94"/>
      <c r="K150" s="33"/>
      <c r="L150" s="94"/>
      <c r="M150" s="94"/>
      <c r="N150" s="197"/>
      <c r="O150" s="69"/>
      <c r="P150" s="69"/>
      <c r="Q150" s="69"/>
      <c r="R150" s="69"/>
      <c r="S150" s="69"/>
      <c r="T150" s="33"/>
      <c r="U150" s="69"/>
      <c r="V150" s="108"/>
      <c r="W150" s="22"/>
      <c r="X150" s="22"/>
    </row>
    <row r="151" spans="1:24" x14ac:dyDescent="0.25">
      <c r="A151" s="22"/>
      <c r="B151" s="22"/>
      <c r="C151" s="107"/>
      <c r="D151" s="69"/>
      <c r="E151" s="105"/>
      <c r="F151" s="105"/>
      <c r="G151" s="105"/>
      <c r="H151" s="187"/>
      <c r="I151" s="69"/>
      <c r="J151" s="94"/>
      <c r="K151" s="108"/>
      <c r="L151" s="94"/>
      <c r="M151" s="94"/>
      <c r="N151" s="69"/>
      <c r="O151" s="105"/>
      <c r="P151" s="69"/>
      <c r="Q151" s="69"/>
      <c r="R151" s="69"/>
      <c r="S151" s="69"/>
      <c r="T151" s="33"/>
      <c r="U151" s="69"/>
      <c r="V151" s="69"/>
      <c r="W151" s="22"/>
      <c r="X151" s="22"/>
    </row>
    <row r="152" spans="1:24" x14ac:dyDescent="0.25">
      <c r="A152" s="22"/>
      <c r="B152" s="22"/>
      <c r="C152" s="69"/>
      <c r="D152" s="69"/>
      <c r="E152" s="105"/>
      <c r="F152" s="69"/>
      <c r="G152" s="69"/>
      <c r="H152" s="187"/>
      <c r="I152" s="69"/>
      <c r="J152" s="94"/>
      <c r="K152" s="33"/>
      <c r="L152" s="94"/>
      <c r="M152" s="94"/>
      <c r="N152" s="33"/>
      <c r="O152" s="69"/>
      <c r="P152" s="69"/>
      <c r="Q152" s="197"/>
      <c r="R152" s="69"/>
      <c r="S152" s="69"/>
      <c r="T152" s="33"/>
      <c r="U152" s="69"/>
      <c r="V152" s="69"/>
      <c r="W152" s="22"/>
      <c r="X152" s="22"/>
    </row>
    <row r="153" spans="1:24" x14ac:dyDescent="0.25">
      <c r="A153" s="22"/>
      <c r="B153" s="22"/>
      <c r="C153" s="69"/>
      <c r="D153" s="69"/>
      <c r="E153" s="105"/>
      <c r="F153" s="69"/>
      <c r="G153" s="69"/>
      <c r="H153" s="187"/>
      <c r="I153" s="69"/>
      <c r="J153" s="94"/>
      <c r="K153" s="33"/>
      <c r="L153" s="94"/>
      <c r="M153" s="94"/>
      <c r="N153" s="33"/>
      <c r="O153" s="69"/>
      <c r="P153" s="69"/>
      <c r="Q153" s="197"/>
      <c r="R153" s="69"/>
      <c r="S153" s="69"/>
      <c r="T153" s="33"/>
      <c r="U153" s="69"/>
      <c r="V153" s="69"/>
      <c r="W153" s="22"/>
      <c r="X153" s="22"/>
    </row>
    <row r="154" spans="1:24" x14ac:dyDescent="0.25">
      <c r="A154" s="22"/>
      <c r="B154" s="22"/>
      <c r="C154" s="69"/>
      <c r="D154" s="69"/>
      <c r="E154" s="105"/>
      <c r="F154" s="69"/>
      <c r="G154" s="69"/>
      <c r="H154" s="69"/>
      <c r="I154" s="69"/>
      <c r="J154" s="94"/>
      <c r="K154" s="106"/>
      <c r="L154" s="94"/>
      <c r="M154" s="94"/>
      <c r="N154" s="108"/>
      <c r="O154" s="108"/>
      <c r="P154" s="108"/>
      <c r="Q154" s="197"/>
      <c r="R154" s="108"/>
      <c r="S154" s="108"/>
      <c r="T154" s="33"/>
      <c r="U154" s="69"/>
      <c r="V154" s="69"/>
      <c r="W154" s="22"/>
      <c r="X154" s="22"/>
    </row>
    <row r="155" spans="1:24" x14ac:dyDescent="0.25">
      <c r="A155" s="22"/>
      <c r="B155" s="22"/>
      <c r="C155" s="69"/>
      <c r="D155" s="69"/>
      <c r="E155" s="105"/>
      <c r="F155" s="69"/>
      <c r="G155" s="69"/>
      <c r="H155" s="69"/>
      <c r="I155" s="69"/>
      <c r="J155" s="94"/>
      <c r="K155" s="69"/>
      <c r="L155" s="94"/>
      <c r="M155" s="94"/>
      <c r="N155" s="108"/>
      <c r="O155" s="69"/>
      <c r="P155" s="69"/>
      <c r="Q155" s="69"/>
      <c r="R155" s="69"/>
      <c r="S155" s="69"/>
      <c r="T155" s="33"/>
      <c r="U155" s="69"/>
      <c r="V155" s="69"/>
      <c r="W155" s="22"/>
      <c r="X155" s="22"/>
    </row>
    <row r="156" spans="1:24" x14ac:dyDescent="0.25">
      <c r="A156" s="22"/>
      <c r="B156" s="22"/>
      <c r="C156" s="69"/>
      <c r="D156" s="69"/>
      <c r="E156" s="105"/>
      <c r="F156" s="69"/>
      <c r="G156" s="69"/>
      <c r="H156" s="69"/>
      <c r="I156" s="69"/>
      <c r="J156" s="94"/>
      <c r="K156" s="69"/>
      <c r="L156" s="94"/>
      <c r="M156" s="94"/>
      <c r="N156" s="69"/>
      <c r="O156" s="69"/>
      <c r="P156" s="69"/>
      <c r="Q156" s="69"/>
      <c r="R156" s="69"/>
      <c r="S156" s="69"/>
      <c r="T156" s="33"/>
      <c r="U156" s="69"/>
      <c r="V156" s="69"/>
      <c r="W156" s="22"/>
      <c r="X156" s="22"/>
    </row>
    <row r="157" spans="1:24" x14ac:dyDescent="0.25">
      <c r="A157" s="22"/>
      <c r="B157" s="22"/>
      <c r="C157" s="69"/>
      <c r="D157" s="69"/>
      <c r="E157" s="105"/>
      <c r="F157" s="69"/>
      <c r="G157" s="69"/>
      <c r="H157" s="69"/>
      <c r="I157" s="69"/>
      <c r="J157" s="94"/>
      <c r="K157" s="69"/>
      <c r="L157" s="94"/>
      <c r="M157" s="94"/>
      <c r="N157" s="69"/>
      <c r="O157" s="69"/>
      <c r="P157" s="69"/>
      <c r="Q157" s="69"/>
      <c r="R157" s="69"/>
      <c r="S157" s="69"/>
      <c r="T157" s="33"/>
      <c r="U157" s="69"/>
      <c r="V157" s="69"/>
      <c r="W157" s="22"/>
      <c r="X157" s="22"/>
    </row>
    <row r="158" spans="1:24" x14ac:dyDescent="0.25">
      <c r="A158" s="22"/>
      <c r="B158" s="22"/>
      <c r="C158" s="69"/>
      <c r="D158" s="69"/>
      <c r="E158" s="105"/>
      <c r="F158" s="69"/>
      <c r="G158" s="69"/>
      <c r="H158" s="69"/>
      <c r="I158" s="69"/>
      <c r="J158" s="94"/>
      <c r="K158" s="69"/>
      <c r="L158" s="94"/>
      <c r="M158" s="94"/>
      <c r="N158" s="69"/>
      <c r="O158" s="69"/>
      <c r="P158" s="69"/>
      <c r="Q158" s="69"/>
      <c r="R158" s="69"/>
      <c r="S158" s="69"/>
      <c r="T158" s="33"/>
      <c r="U158" s="69"/>
      <c r="V158" s="69"/>
    </row>
    <row r="159" spans="1:24" x14ac:dyDescent="0.25">
      <c r="A159" s="22"/>
      <c r="B159" s="22"/>
      <c r="C159" s="69"/>
      <c r="D159" s="69"/>
      <c r="E159" s="105"/>
      <c r="F159" s="69"/>
      <c r="G159" s="69"/>
      <c r="H159" s="33"/>
      <c r="I159" s="33"/>
      <c r="J159" s="94"/>
      <c r="K159" s="108"/>
      <c r="L159" s="94"/>
      <c r="M159" s="94"/>
      <c r="N159" s="69"/>
      <c r="O159" s="69"/>
      <c r="P159" s="69"/>
      <c r="Q159" s="69"/>
      <c r="R159" s="69"/>
      <c r="S159" s="69"/>
      <c r="T159" s="33"/>
      <c r="U159" s="69"/>
      <c r="V159" s="69"/>
    </row>
    <row r="160" spans="1:24" x14ac:dyDescent="0.25">
      <c r="A160" s="22"/>
      <c r="B160" s="22"/>
      <c r="C160" s="69"/>
      <c r="D160" s="69"/>
      <c r="E160" s="69"/>
      <c r="F160" s="69"/>
      <c r="G160" s="69"/>
      <c r="H160" s="33"/>
      <c r="I160" s="33"/>
      <c r="J160" s="94"/>
      <c r="K160" s="108"/>
      <c r="L160" s="94"/>
      <c r="M160" s="94"/>
      <c r="N160" s="69"/>
      <c r="O160" s="69"/>
      <c r="P160" s="69"/>
      <c r="Q160" s="69"/>
      <c r="R160" s="69"/>
      <c r="S160" s="69"/>
      <c r="T160" s="33"/>
      <c r="U160" s="69"/>
      <c r="V160" s="69"/>
    </row>
    <row r="161" spans="1:22" x14ac:dyDescent="0.25">
      <c r="A161" s="22"/>
      <c r="B161" s="22"/>
      <c r="C161" s="69"/>
      <c r="D161" s="69"/>
      <c r="E161" s="69"/>
      <c r="F161" s="69"/>
      <c r="G161" s="69"/>
      <c r="H161" s="33"/>
      <c r="I161" s="69"/>
      <c r="J161" s="94"/>
      <c r="K161" s="108"/>
      <c r="L161" s="94"/>
      <c r="M161" s="94"/>
      <c r="N161" s="69"/>
      <c r="O161" s="69"/>
      <c r="P161" s="69"/>
      <c r="Q161" s="69"/>
      <c r="R161" s="69"/>
      <c r="S161" s="69"/>
      <c r="T161" s="33"/>
      <c r="U161" s="69"/>
      <c r="V161" s="69"/>
    </row>
    <row r="162" spans="1:22" x14ac:dyDescent="0.25">
      <c r="A162" s="22"/>
      <c r="B162" s="22"/>
      <c r="C162" s="69"/>
      <c r="D162" s="69"/>
      <c r="E162" s="69"/>
      <c r="F162" s="69"/>
      <c r="G162" s="69"/>
      <c r="H162" s="109"/>
      <c r="I162" s="69"/>
      <c r="J162" s="94"/>
      <c r="K162" s="69"/>
      <c r="L162" s="94"/>
      <c r="M162" s="94"/>
      <c r="N162" s="69"/>
      <c r="O162" s="69"/>
      <c r="P162" s="69"/>
      <c r="Q162" s="69"/>
      <c r="R162" s="69"/>
      <c r="S162" s="69"/>
      <c r="T162" s="33"/>
      <c r="U162" s="69"/>
      <c r="V162" s="69"/>
    </row>
    <row r="163" spans="1:22" x14ac:dyDescent="0.25">
      <c r="A163" s="22"/>
      <c r="B163" s="22"/>
      <c r="C163" s="69"/>
      <c r="D163" s="69"/>
      <c r="E163" s="69"/>
      <c r="F163" s="69"/>
      <c r="G163" s="69"/>
      <c r="H163" s="69"/>
      <c r="I163" s="69"/>
      <c r="J163" s="94"/>
      <c r="K163" s="69"/>
      <c r="L163" s="94"/>
      <c r="M163" s="94"/>
      <c r="N163" s="69"/>
      <c r="O163" s="69"/>
      <c r="P163" s="69"/>
      <c r="Q163" s="69"/>
      <c r="R163" s="69"/>
      <c r="S163" s="69"/>
      <c r="T163" s="33"/>
      <c r="U163" s="69"/>
      <c r="V163" s="69"/>
    </row>
    <row r="164" spans="1:22" x14ac:dyDescent="0.25">
      <c r="A164" s="22"/>
      <c r="B164" s="22"/>
      <c r="C164" s="69"/>
      <c r="D164" s="69"/>
      <c r="E164" s="69"/>
      <c r="F164" s="69"/>
      <c r="G164" s="69"/>
      <c r="H164" s="69"/>
      <c r="I164" s="69"/>
      <c r="J164" s="94"/>
      <c r="K164" s="69"/>
      <c r="L164" s="94"/>
      <c r="M164" s="94"/>
      <c r="N164" s="69"/>
      <c r="O164" s="69"/>
      <c r="P164" s="69"/>
      <c r="Q164" s="69"/>
      <c r="R164" s="69"/>
      <c r="S164" s="69"/>
      <c r="T164" s="33"/>
      <c r="U164" s="69"/>
      <c r="V164" s="69"/>
    </row>
    <row r="165" spans="1:22" x14ac:dyDescent="0.25">
      <c r="A165" s="22"/>
      <c r="B165" s="22"/>
      <c r="C165" s="69"/>
      <c r="D165" s="69"/>
      <c r="E165" s="69"/>
      <c r="F165" s="69"/>
      <c r="G165" s="69"/>
      <c r="H165" s="69"/>
      <c r="I165" s="69"/>
      <c r="J165" s="94"/>
      <c r="K165" s="69"/>
      <c r="L165" s="94"/>
      <c r="M165" s="94"/>
      <c r="N165" s="69"/>
      <c r="O165" s="69"/>
      <c r="P165" s="69"/>
      <c r="Q165" s="69"/>
      <c r="R165" s="69"/>
      <c r="S165" s="69"/>
      <c r="T165" s="33"/>
      <c r="U165" s="69"/>
      <c r="V165" s="69"/>
    </row>
    <row r="166" spans="1:22" x14ac:dyDescent="0.25">
      <c r="A166" s="22"/>
      <c r="B166" s="22"/>
      <c r="C166" s="69"/>
      <c r="D166" s="69"/>
      <c r="E166" s="69"/>
      <c r="F166" s="69"/>
      <c r="G166" s="69"/>
      <c r="H166" s="69"/>
      <c r="I166" s="69"/>
      <c r="J166" s="94"/>
      <c r="K166" s="69"/>
      <c r="L166" s="94"/>
      <c r="M166" s="94"/>
      <c r="N166" s="69"/>
      <c r="O166" s="69"/>
      <c r="P166" s="69"/>
      <c r="Q166" s="69"/>
      <c r="R166" s="69"/>
      <c r="S166" s="69"/>
      <c r="T166" s="33"/>
      <c r="U166" s="69"/>
      <c r="V166" s="69"/>
    </row>
    <row r="167" spans="1:22" x14ac:dyDescent="0.25">
      <c r="A167" s="22"/>
      <c r="B167" s="22"/>
      <c r="C167" s="69"/>
      <c r="D167" s="69"/>
      <c r="E167" s="69"/>
      <c r="F167" s="69"/>
      <c r="G167" s="69"/>
      <c r="H167" s="69"/>
      <c r="I167" s="69"/>
      <c r="J167" s="94"/>
      <c r="K167" s="69"/>
      <c r="L167" s="94"/>
      <c r="M167" s="94"/>
      <c r="N167" s="69"/>
      <c r="O167" s="69"/>
      <c r="P167" s="69"/>
      <c r="Q167" s="69"/>
      <c r="R167" s="69"/>
      <c r="S167" s="69"/>
      <c r="T167" s="33"/>
      <c r="U167" s="69"/>
      <c r="V167" s="69"/>
    </row>
    <row r="168" spans="1:22" x14ac:dyDescent="0.25">
      <c r="A168" s="22"/>
      <c r="B168" s="22"/>
      <c r="C168" s="69"/>
      <c r="D168" s="69"/>
      <c r="E168" s="69"/>
      <c r="F168" s="69"/>
      <c r="G168" s="69"/>
      <c r="H168" s="69"/>
      <c r="I168" s="69"/>
      <c r="J168" s="94"/>
      <c r="K168" s="69"/>
      <c r="L168" s="94"/>
      <c r="M168" s="94"/>
      <c r="N168" s="69"/>
      <c r="O168" s="69"/>
      <c r="P168" s="69"/>
      <c r="Q168" s="69"/>
      <c r="R168" s="69"/>
      <c r="S168" s="69"/>
      <c r="T168" s="33"/>
      <c r="U168" s="69"/>
      <c r="V168" s="69"/>
    </row>
    <row r="169" spans="1:22" x14ac:dyDescent="0.25">
      <c r="A169" s="22"/>
      <c r="B169" s="22"/>
      <c r="C169" s="69"/>
      <c r="D169" s="69"/>
      <c r="E169" s="69"/>
      <c r="F169" s="69"/>
      <c r="G169" s="69"/>
      <c r="H169" s="69"/>
      <c r="I169" s="69"/>
      <c r="J169" s="94"/>
      <c r="K169" s="69"/>
      <c r="L169" s="94"/>
      <c r="M169" s="94"/>
      <c r="N169" s="69"/>
      <c r="O169" s="69"/>
      <c r="P169" s="69"/>
      <c r="Q169" s="69"/>
      <c r="R169" s="69"/>
      <c r="S169" s="69"/>
      <c r="T169" s="33"/>
      <c r="U169" s="69"/>
      <c r="V169" s="69"/>
    </row>
    <row r="170" spans="1:22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92"/>
      <c r="K170" s="22"/>
      <c r="L170" s="92"/>
      <c r="M170" s="92"/>
      <c r="T170" s="25"/>
    </row>
    <row r="171" spans="1:22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92"/>
      <c r="K171" s="22"/>
      <c r="L171" s="92"/>
      <c r="M171" s="92"/>
      <c r="T171" s="25"/>
    </row>
    <row r="172" spans="1:22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92"/>
      <c r="K172" s="22"/>
      <c r="L172" s="92"/>
      <c r="M172" s="92"/>
      <c r="T172" s="25"/>
    </row>
    <row r="173" spans="1:22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92"/>
      <c r="K173" s="22"/>
      <c r="L173" s="92"/>
      <c r="M173" s="92"/>
      <c r="T173" s="25"/>
    </row>
    <row r="174" spans="1:22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92"/>
      <c r="K174" s="22"/>
      <c r="L174" s="92"/>
      <c r="M174" s="92"/>
      <c r="T174" s="25"/>
    </row>
    <row r="175" spans="1:22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92"/>
      <c r="K175" s="22"/>
      <c r="L175" s="92"/>
      <c r="M175" s="92"/>
      <c r="T175" s="25"/>
    </row>
    <row r="176" spans="1:22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92"/>
      <c r="K176" s="22"/>
      <c r="L176" s="92"/>
      <c r="M176" s="92"/>
      <c r="T176" s="25"/>
    </row>
    <row r="177" spans="1:20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92"/>
      <c r="K177" s="22"/>
      <c r="L177" s="92"/>
      <c r="M177" s="92"/>
      <c r="T177" s="25"/>
    </row>
    <row r="178" spans="1:20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92"/>
      <c r="K178" s="22"/>
      <c r="L178" s="92"/>
      <c r="M178" s="92"/>
      <c r="T178" s="25"/>
    </row>
    <row r="179" spans="1:20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92"/>
      <c r="K179" s="22"/>
      <c r="L179" s="92"/>
      <c r="M179" s="92"/>
      <c r="T179" s="25"/>
    </row>
    <row r="180" spans="1:20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92"/>
      <c r="K180" s="22"/>
      <c r="L180" s="92"/>
      <c r="M180" s="92"/>
      <c r="T180" s="25"/>
    </row>
    <row r="181" spans="1:20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92"/>
      <c r="K181" s="22"/>
      <c r="L181" s="92"/>
      <c r="M181" s="92"/>
      <c r="T181" s="25"/>
    </row>
    <row r="182" spans="1:20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92"/>
      <c r="K182" s="22"/>
      <c r="L182" s="92"/>
      <c r="M182" s="92"/>
      <c r="T182" s="25"/>
    </row>
    <row r="183" spans="1:20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92"/>
      <c r="K183" s="22"/>
      <c r="L183" s="92"/>
      <c r="M183" s="92"/>
      <c r="T183" s="25"/>
    </row>
    <row r="184" spans="1:20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92"/>
      <c r="K184" s="22"/>
      <c r="L184" s="92"/>
      <c r="M184" s="92"/>
      <c r="T184" s="25"/>
    </row>
    <row r="185" spans="1:20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92"/>
      <c r="K185" s="22"/>
      <c r="L185" s="92"/>
      <c r="M185" s="92"/>
      <c r="T185" s="25"/>
    </row>
    <row r="186" spans="1:20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92"/>
      <c r="K186" s="22"/>
      <c r="L186" s="92"/>
      <c r="M186" s="92"/>
      <c r="T186" s="25"/>
    </row>
    <row r="187" spans="1:20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92"/>
      <c r="K187" s="22"/>
      <c r="L187" s="92"/>
      <c r="M187" s="92"/>
      <c r="T187" s="25"/>
    </row>
    <row r="188" spans="1:20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92"/>
      <c r="K188" s="22"/>
      <c r="L188" s="92"/>
      <c r="M188" s="92"/>
      <c r="T188" s="25"/>
    </row>
    <row r="189" spans="1:20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92"/>
      <c r="K189" s="22"/>
      <c r="L189" s="92"/>
      <c r="M189" s="92"/>
      <c r="T189" s="25"/>
    </row>
    <row r="190" spans="1:20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92"/>
      <c r="K190" s="22"/>
      <c r="L190" s="92"/>
      <c r="M190" s="92"/>
      <c r="T190" s="25"/>
    </row>
    <row r="191" spans="1:20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92"/>
      <c r="K191" s="22"/>
      <c r="L191" s="92"/>
      <c r="M191" s="92"/>
      <c r="T191" s="25"/>
    </row>
    <row r="192" spans="1:20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92"/>
      <c r="K192" s="22"/>
      <c r="L192" s="92"/>
      <c r="M192" s="92"/>
      <c r="T192" s="25"/>
    </row>
    <row r="193" spans="1:20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92"/>
      <c r="K193" s="22"/>
      <c r="L193" s="92"/>
      <c r="M193" s="92"/>
      <c r="T193" s="25"/>
    </row>
    <row r="194" spans="1:20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92"/>
      <c r="K194" s="22"/>
      <c r="L194" s="92"/>
      <c r="M194" s="92"/>
      <c r="T194" s="25"/>
    </row>
    <row r="195" spans="1:20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92"/>
      <c r="K195" s="22"/>
      <c r="L195" s="92"/>
      <c r="M195" s="92"/>
      <c r="T195" s="25"/>
    </row>
    <row r="196" spans="1:20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92"/>
      <c r="K196" s="22"/>
      <c r="L196" s="92"/>
      <c r="M196" s="92"/>
      <c r="T196" s="25"/>
    </row>
    <row r="197" spans="1:20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92"/>
      <c r="K197" s="22"/>
      <c r="L197" s="92"/>
      <c r="M197" s="92"/>
      <c r="T197" s="25"/>
    </row>
    <row r="198" spans="1:20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92"/>
      <c r="K198" s="22"/>
      <c r="L198" s="92"/>
      <c r="M198" s="92"/>
      <c r="T198" s="25"/>
    </row>
    <row r="199" spans="1:20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92"/>
      <c r="K199" s="22"/>
      <c r="L199" s="92"/>
      <c r="M199" s="92"/>
      <c r="T199" s="25"/>
    </row>
    <row r="200" spans="1:20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92"/>
      <c r="K200" s="22"/>
      <c r="L200" s="92"/>
      <c r="M200" s="92"/>
      <c r="T200" s="25"/>
    </row>
    <row r="201" spans="1:20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92"/>
      <c r="K201" s="22"/>
      <c r="L201" s="92"/>
      <c r="M201" s="92"/>
      <c r="T201" s="25"/>
    </row>
    <row r="202" spans="1:20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92"/>
      <c r="K202" s="22"/>
      <c r="L202" s="92"/>
      <c r="M202" s="92"/>
      <c r="T202" s="25"/>
    </row>
    <row r="203" spans="1:20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92"/>
      <c r="K203" s="22"/>
      <c r="L203" s="92"/>
      <c r="M203" s="92"/>
      <c r="T203" s="25"/>
    </row>
    <row r="204" spans="1:20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92"/>
      <c r="K204" s="22"/>
      <c r="L204" s="92"/>
      <c r="M204" s="92"/>
      <c r="T204" s="25"/>
    </row>
    <row r="205" spans="1:20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92"/>
      <c r="K205" s="22"/>
      <c r="L205" s="92"/>
      <c r="M205" s="92"/>
      <c r="T205" s="25"/>
    </row>
    <row r="206" spans="1:20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92"/>
      <c r="K206" s="22"/>
      <c r="L206" s="92"/>
      <c r="M206" s="92"/>
      <c r="T206" s="25"/>
    </row>
    <row r="207" spans="1:20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92"/>
      <c r="K207" s="22"/>
      <c r="L207" s="92"/>
      <c r="M207" s="92"/>
      <c r="T207" s="25"/>
    </row>
    <row r="208" spans="1:20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92"/>
      <c r="K208" s="22"/>
      <c r="L208" s="92"/>
      <c r="M208" s="92"/>
      <c r="T208" s="25"/>
    </row>
    <row r="209" spans="1:20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92"/>
      <c r="K209" s="22"/>
      <c r="L209" s="92"/>
      <c r="M209" s="92"/>
      <c r="T209" s="25"/>
    </row>
    <row r="210" spans="1:20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92"/>
      <c r="K210" s="22"/>
      <c r="L210" s="92"/>
      <c r="M210" s="92"/>
      <c r="T210" s="25"/>
    </row>
    <row r="211" spans="1:20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92"/>
      <c r="K211" s="22"/>
      <c r="L211" s="92"/>
      <c r="M211" s="92"/>
      <c r="T211" s="25"/>
    </row>
    <row r="212" spans="1:20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92"/>
      <c r="K212" s="22"/>
      <c r="L212" s="92"/>
      <c r="M212" s="92"/>
      <c r="T212" s="25"/>
    </row>
    <row r="213" spans="1:20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92"/>
      <c r="K213" s="22"/>
      <c r="L213" s="92"/>
      <c r="M213" s="92"/>
      <c r="T213" s="25"/>
    </row>
    <row r="214" spans="1:20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92"/>
      <c r="K214" s="22"/>
      <c r="L214" s="92"/>
      <c r="M214" s="92"/>
      <c r="T214" s="25"/>
    </row>
    <row r="215" spans="1:20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92"/>
      <c r="K215" s="22"/>
      <c r="L215" s="92"/>
      <c r="M215" s="92"/>
      <c r="T215" s="25"/>
    </row>
    <row r="216" spans="1:20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92"/>
      <c r="K216" s="22"/>
      <c r="L216" s="92"/>
      <c r="M216" s="92"/>
      <c r="T216" s="25"/>
    </row>
    <row r="217" spans="1:20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92"/>
      <c r="K217" s="22"/>
      <c r="L217" s="92"/>
      <c r="M217" s="92"/>
      <c r="T217" s="25"/>
    </row>
    <row r="218" spans="1:20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92"/>
      <c r="K218" s="22"/>
      <c r="L218" s="92"/>
      <c r="M218" s="92"/>
      <c r="T218" s="25"/>
    </row>
    <row r="219" spans="1:20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92"/>
      <c r="K219" s="22"/>
      <c r="L219" s="92"/>
      <c r="M219" s="92"/>
      <c r="T219" s="25"/>
    </row>
    <row r="220" spans="1:20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92"/>
      <c r="K220" s="22"/>
      <c r="L220" s="92"/>
      <c r="M220" s="92"/>
      <c r="T220" s="25"/>
    </row>
    <row r="221" spans="1:20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92"/>
      <c r="K221" s="22"/>
      <c r="L221" s="92"/>
      <c r="M221" s="92"/>
      <c r="T221" s="25"/>
    </row>
    <row r="222" spans="1:20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92"/>
      <c r="K222" s="22"/>
      <c r="L222" s="92"/>
      <c r="M222" s="92"/>
      <c r="T222" s="25"/>
    </row>
    <row r="223" spans="1:20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92"/>
      <c r="K223" s="22"/>
      <c r="L223" s="92"/>
      <c r="M223" s="92"/>
    </row>
    <row r="224" spans="1:20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92"/>
      <c r="K224" s="22"/>
      <c r="L224" s="92"/>
      <c r="M224" s="92"/>
    </row>
    <row r="225" spans="1:13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92"/>
      <c r="K225" s="22"/>
      <c r="L225" s="92"/>
      <c r="M225" s="92"/>
    </row>
    <row r="226" spans="1:13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92"/>
      <c r="K226" s="22"/>
      <c r="L226" s="92"/>
      <c r="M226" s="92"/>
    </row>
    <row r="227" spans="1:13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92"/>
      <c r="K227" s="22"/>
      <c r="L227" s="92"/>
      <c r="M227" s="92"/>
    </row>
    <row r="228" spans="1:13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92"/>
      <c r="K228" s="22"/>
      <c r="L228" s="92"/>
      <c r="M228" s="92"/>
    </row>
    <row r="229" spans="1:13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92"/>
      <c r="K229" s="22"/>
      <c r="L229" s="92"/>
      <c r="M229" s="92"/>
    </row>
    <row r="230" spans="1:13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92"/>
      <c r="K230" s="22"/>
      <c r="L230" s="92"/>
      <c r="M230" s="92"/>
    </row>
    <row r="231" spans="1:13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92"/>
      <c r="K231" s="22"/>
      <c r="L231" s="92"/>
      <c r="M231" s="92"/>
    </row>
    <row r="232" spans="1:13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92"/>
      <c r="K232" s="22"/>
      <c r="L232" s="92"/>
      <c r="M232" s="92"/>
    </row>
    <row r="233" spans="1:13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92"/>
      <c r="K233" s="22"/>
      <c r="L233" s="92"/>
      <c r="M233" s="92"/>
    </row>
    <row r="234" spans="1:13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92"/>
      <c r="K234" s="22"/>
      <c r="L234" s="92"/>
      <c r="M234" s="92"/>
    </row>
    <row r="235" spans="1:13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92"/>
      <c r="K235" s="22"/>
      <c r="L235" s="92"/>
      <c r="M235" s="92"/>
    </row>
    <row r="236" spans="1:13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92"/>
      <c r="K236" s="22"/>
      <c r="L236" s="92"/>
      <c r="M236" s="92"/>
    </row>
    <row r="237" spans="1:13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92"/>
      <c r="K237" s="22"/>
      <c r="L237" s="92"/>
      <c r="M237" s="92"/>
    </row>
    <row r="238" spans="1:13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92"/>
      <c r="K238" s="22"/>
      <c r="L238" s="92"/>
      <c r="M238" s="92"/>
    </row>
    <row r="239" spans="1:13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92"/>
      <c r="K239" s="22"/>
      <c r="L239" s="92"/>
      <c r="M239" s="92"/>
    </row>
    <row r="240" spans="1:13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92"/>
      <c r="K240" s="22"/>
      <c r="L240" s="92"/>
      <c r="M240" s="92"/>
    </row>
    <row r="241" spans="1:13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92"/>
      <c r="K241" s="22"/>
      <c r="L241" s="92"/>
      <c r="M241" s="92"/>
    </row>
    <row r="242" spans="1:13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92"/>
      <c r="K242" s="22"/>
      <c r="L242" s="92"/>
      <c r="M242" s="92"/>
    </row>
    <row r="243" spans="1:13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92"/>
      <c r="K243" s="22"/>
      <c r="L243" s="92"/>
      <c r="M243" s="92"/>
    </row>
    <row r="244" spans="1:13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92"/>
      <c r="K244" s="22"/>
      <c r="L244" s="92"/>
      <c r="M244" s="92"/>
    </row>
    <row r="245" spans="1:13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92"/>
      <c r="K245" s="22"/>
      <c r="L245" s="92"/>
      <c r="M245" s="92"/>
    </row>
    <row r="246" spans="1:13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92"/>
      <c r="K246" s="22"/>
      <c r="L246" s="92"/>
      <c r="M246" s="92"/>
    </row>
    <row r="247" spans="1:13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92"/>
      <c r="K247" s="22"/>
      <c r="L247" s="92"/>
      <c r="M247" s="92"/>
    </row>
    <row r="248" spans="1:13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92"/>
      <c r="K248" s="22"/>
      <c r="L248" s="92"/>
      <c r="M248" s="92"/>
    </row>
    <row r="249" spans="1:13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92"/>
      <c r="K249" s="22"/>
      <c r="L249" s="92"/>
      <c r="M249" s="92"/>
    </row>
    <row r="250" spans="1:13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92"/>
      <c r="K250" s="22"/>
      <c r="L250" s="92"/>
      <c r="M250" s="92"/>
    </row>
    <row r="251" spans="1:13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92"/>
      <c r="K251" s="22"/>
      <c r="L251" s="92"/>
      <c r="M251" s="92"/>
    </row>
    <row r="252" spans="1:13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92"/>
      <c r="K252" s="22"/>
      <c r="L252" s="92"/>
      <c r="M252" s="92"/>
    </row>
    <row r="253" spans="1:13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92"/>
      <c r="K253" s="22"/>
      <c r="L253" s="92"/>
      <c r="M253" s="92"/>
    </row>
    <row r="254" spans="1:13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92"/>
      <c r="K254" s="22"/>
      <c r="L254" s="92"/>
      <c r="M254" s="92"/>
    </row>
    <row r="255" spans="1:13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92"/>
      <c r="K255" s="22"/>
      <c r="L255" s="92"/>
      <c r="M255" s="92"/>
    </row>
    <row r="256" spans="1:13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92"/>
      <c r="K256" s="22"/>
      <c r="L256" s="92"/>
      <c r="M256" s="92"/>
    </row>
    <row r="257" spans="1:13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92"/>
      <c r="K257" s="22"/>
      <c r="L257" s="92"/>
      <c r="M257" s="92"/>
    </row>
    <row r="258" spans="1:13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92"/>
      <c r="K258" s="22"/>
      <c r="L258" s="92"/>
      <c r="M258" s="92"/>
    </row>
    <row r="259" spans="1:13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92"/>
      <c r="K259" s="22"/>
      <c r="L259" s="92"/>
      <c r="M259" s="92"/>
    </row>
    <row r="260" spans="1:13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92"/>
      <c r="K260" s="22"/>
      <c r="L260" s="92"/>
      <c r="M260" s="92"/>
    </row>
    <row r="261" spans="1:13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92"/>
      <c r="K261" s="22"/>
      <c r="L261" s="92"/>
      <c r="M261" s="92"/>
    </row>
    <row r="262" spans="1:13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92"/>
      <c r="K262" s="22"/>
      <c r="L262" s="92"/>
      <c r="M262" s="92"/>
    </row>
    <row r="263" spans="1:13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92"/>
      <c r="K263" s="22"/>
      <c r="L263" s="92"/>
      <c r="M263" s="92"/>
    </row>
    <row r="264" spans="1:13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92"/>
      <c r="K264" s="22"/>
      <c r="L264" s="92"/>
      <c r="M264" s="92"/>
    </row>
    <row r="265" spans="1:13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92"/>
      <c r="K265" s="22"/>
      <c r="L265" s="92"/>
      <c r="M265" s="92"/>
    </row>
    <row r="266" spans="1:13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92"/>
      <c r="K266" s="22"/>
      <c r="L266" s="92"/>
      <c r="M266" s="92"/>
    </row>
    <row r="267" spans="1:13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92"/>
      <c r="K267" s="22"/>
      <c r="L267" s="92"/>
      <c r="M267" s="92"/>
    </row>
    <row r="268" spans="1:13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92"/>
      <c r="K268" s="22"/>
      <c r="L268" s="92"/>
      <c r="M268" s="92"/>
    </row>
    <row r="269" spans="1:13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92"/>
      <c r="K269" s="22"/>
      <c r="L269" s="92"/>
      <c r="M269" s="92"/>
    </row>
    <row r="270" spans="1:13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92"/>
      <c r="K270" s="22"/>
      <c r="L270" s="92"/>
      <c r="M270" s="92"/>
    </row>
    <row r="271" spans="1:13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92"/>
      <c r="K271" s="22"/>
      <c r="L271" s="92"/>
      <c r="M271" s="92"/>
    </row>
    <row r="272" spans="1:13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92"/>
      <c r="K272" s="22"/>
      <c r="L272" s="92"/>
      <c r="M272" s="92"/>
    </row>
    <row r="273" spans="1:13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92"/>
      <c r="K273" s="22"/>
      <c r="L273" s="92"/>
      <c r="M273" s="92"/>
    </row>
    <row r="274" spans="1:13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92"/>
      <c r="K274" s="22"/>
      <c r="L274" s="92"/>
      <c r="M274" s="92"/>
    </row>
    <row r="275" spans="1:13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92"/>
      <c r="K275" s="22"/>
      <c r="L275" s="92"/>
      <c r="M275" s="92"/>
    </row>
    <row r="276" spans="1:13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92"/>
      <c r="K276" s="22"/>
      <c r="L276" s="92"/>
      <c r="M276" s="92"/>
    </row>
    <row r="277" spans="1:13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92"/>
      <c r="K277" s="22"/>
      <c r="L277" s="92"/>
      <c r="M277" s="92"/>
    </row>
    <row r="278" spans="1:13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92"/>
      <c r="K278" s="22"/>
      <c r="L278" s="92"/>
      <c r="M278" s="92"/>
    </row>
    <row r="279" spans="1:13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92"/>
      <c r="K279" s="22"/>
      <c r="L279" s="92"/>
      <c r="M279" s="92"/>
    </row>
    <row r="280" spans="1:13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92"/>
      <c r="K280" s="22"/>
      <c r="L280" s="92"/>
      <c r="M280" s="92"/>
    </row>
    <row r="281" spans="1:13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92"/>
      <c r="K281" s="22"/>
      <c r="L281" s="92"/>
      <c r="M281" s="92"/>
    </row>
    <row r="282" spans="1:13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92"/>
      <c r="K282" s="22"/>
      <c r="L282" s="92"/>
      <c r="M282" s="92"/>
    </row>
    <row r="283" spans="1:13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92"/>
      <c r="K283" s="22"/>
      <c r="L283" s="92"/>
      <c r="M283" s="92"/>
    </row>
    <row r="284" spans="1:13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92"/>
      <c r="K284" s="22"/>
      <c r="L284" s="92"/>
      <c r="M284" s="92"/>
    </row>
    <row r="285" spans="1:13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92"/>
      <c r="K285" s="22"/>
      <c r="L285" s="92"/>
      <c r="M285" s="92"/>
    </row>
    <row r="286" spans="1:13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92"/>
      <c r="K286" s="22"/>
      <c r="L286" s="92"/>
      <c r="M286" s="92"/>
    </row>
    <row r="287" spans="1:13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92"/>
      <c r="K287" s="22"/>
      <c r="L287" s="92"/>
      <c r="M287" s="92"/>
    </row>
    <row r="288" spans="1:13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92"/>
      <c r="K288" s="22"/>
      <c r="L288" s="92"/>
      <c r="M288" s="92"/>
    </row>
    <row r="289" spans="1:13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92"/>
      <c r="K289" s="22"/>
      <c r="L289" s="92"/>
      <c r="M289" s="92"/>
    </row>
    <row r="290" spans="1:13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92"/>
      <c r="K290" s="22"/>
      <c r="L290" s="92"/>
      <c r="M290" s="92"/>
    </row>
    <row r="291" spans="1:13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92"/>
      <c r="K291" s="22"/>
      <c r="L291" s="92"/>
      <c r="M291" s="92"/>
    </row>
    <row r="292" spans="1:13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92"/>
      <c r="K292" s="22"/>
      <c r="L292" s="92"/>
      <c r="M292" s="92"/>
    </row>
    <row r="293" spans="1:13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92"/>
      <c r="K293" s="22"/>
      <c r="L293" s="92"/>
      <c r="M293" s="92"/>
    </row>
    <row r="294" spans="1:13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92"/>
      <c r="K294" s="22"/>
      <c r="L294" s="92"/>
      <c r="M294" s="92"/>
    </row>
    <row r="295" spans="1:13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92"/>
      <c r="K295" s="22"/>
      <c r="L295" s="92"/>
      <c r="M295" s="92"/>
    </row>
    <row r="296" spans="1:13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92"/>
      <c r="K296" s="22"/>
      <c r="L296" s="92"/>
      <c r="M296" s="92"/>
    </row>
    <row r="297" spans="1:13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92"/>
      <c r="K297" s="22"/>
      <c r="L297" s="92"/>
      <c r="M297" s="92"/>
    </row>
    <row r="298" spans="1:13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92"/>
      <c r="K298" s="22"/>
      <c r="L298" s="92"/>
      <c r="M298" s="92"/>
    </row>
    <row r="299" spans="1:13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92"/>
      <c r="K299" s="22"/>
      <c r="L299" s="92"/>
      <c r="M299" s="92"/>
    </row>
    <row r="300" spans="1:13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92"/>
      <c r="K300" s="22"/>
      <c r="L300" s="92"/>
      <c r="M300" s="92"/>
    </row>
    <row r="301" spans="1:13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92"/>
      <c r="K301" s="22"/>
      <c r="L301" s="92"/>
      <c r="M301" s="92"/>
    </row>
    <row r="302" spans="1:13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92"/>
      <c r="K302" s="22"/>
      <c r="L302" s="92"/>
      <c r="M302" s="92"/>
    </row>
    <row r="303" spans="1:13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92"/>
      <c r="K303" s="22"/>
      <c r="L303" s="92"/>
      <c r="M303" s="92"/>
    </row>
    <row r="304" spans="1:13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92"/>
      <c r="K304" s="22"/>
      <c r="L304" s="92"/>
      <c r="M304" s="92"/>
    </row>
    <row r="305" spans="1:13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92"/>
      <c r="K305" s="22"/>
      <c r="L305" s="92"/>
      <c r="M305" s="92"/>
    </row>
    <row r="306" spans="1:13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92"/>
      <c r="K306" s="22"/>
      <c r="L306" s="92"/>
      <c r="M306" s="92"/>
    </row>
  </sheetData>
  <mergeCells count="4">
    <mergeCell ref="C5:I5"/>
    <mergeCell ref="C6:I6"/>
    <mergeCell ref="C7:I7"/>
    <mergeCell ref="K8:N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36" orientation="portrait" r:id="rId1"/>
  <rowBreaks count="1" manualBreakCount="1">
    <brk id="100" max="16383" man="1"/>
  </rowBreaks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0"/>
  <sheetViews>
    <sheetView topLeftCell="B205" zoomScaleNormal="100" workbookViewId="0">
      <selection activeCell="B6" sqref="B6:D7"/>
    </sheetView>
  </sheetViews>
  <sheetFormatPr baseColWidth="10" defaultColWidth="11.42578125" defaultRowHeight="12.75" x14ac:dyDescent="0.2"/>
  <cols>
    <col min="1" max="1" width="2.85546875" style="39" customWidth="1"/>
    <col min="2" max="2" width="9.85546875" style="39" customWidth="1"/>
    <col min="3" max="3" width="3.140625" style="39" customWidth="1"/>
    <col min="4" max="4" width="45" style="39" customWidth="1"/>
    <col min="5" max="5" width="4.7109375" style="39" customWidth="1"/>
    <col min="6" max="6" width="12.42578125" style="40" customWidth="1"/>
    <col min="7" max="7" width="1.5703125" style="39" customWidth="1"/>
    <col min="8" max="8" width="5.28515625" style="39" customWidth="1"/>
    <col min="9" max="9" width="15.5703125" style="40" customWidth="1"/>
    <col min="10" max="10" width="2.42578125" style="38" customWidth="1"/>
    <col min="11" max="11" width="32.7109375" style="38" customWidth="1"/>
    <col min="12" max="12" width="21.42578125" style="38" customWidth="1"/>
    <col min="13" max="13" width="10.28515625" style="38" customWidth="1"/>
    <col min="14" max="14" width="37.85546875" style="38" customWidth="1"/>
    <col min="15" max="17" width="11.42578125" style="38"/>
    <col min="18" max="18" width="11.42578125" style="38" customWidth="1"/>
    <col min="19" max="19" width="11.42578125" style="38"/>
    <col min="20" max="21" width="11.42578125" style="38" customWidth="1"/>
    <col min="22" max="16384" width="11.42578125" style="38"/>
  </cols>
  <sheetData>
    <row r="1" spans="1:15" ht="9.9499999999999993" customHeight="1" x14ac:dyDescent="0.2">
      <c r="A1" s="38"/>
      <c r="B1" s="39" t="s">
        <v>141</v>
      </c>
    </row>
    <row r="2" spans="1:15" ht="9.9499999999999993" customHeight="1" x14ac:dyDescent="0.2">
      <c r="A2" s="38"/>
      <c r="B2" s="39" t="s">
        <v>142</v>
      </c>
    </row>
    <row r="3" spans="1:15" ht="9.9499999999999993" customHeight="1" x14ac:dyDescent="0.2">
      <c r="A3" s="38"/>
      <c r="B3" s="39" t="s">
        <v>143</v>
      </c>
    </row>
    <row r="4" spans="1:15" ht="9.9499999999999993" customHeight="1" x14ac:dyDescent="0.2">
      <c r="A4" s="38"/>
      <c r="B4" s="39" t="s">
        <v>144</v>
      </c>
      <c r="I4" s="27" t="s">
        <v>145</v>
      </c>
      <c r="J4" s="27"/>
    </row>
    <row r="5" spans="1:15" ht="9.9499999999999993" customHeight="1" x14ac:dyDescent="0.2">
      <c r="A5" s="38"/>
      <c r="B5" s="39" t="s">
        <v>146</v>
      </c>
      <c r="F5" s="41"/>
      <c r="G5" s="38"/>
      <c r="H5" s="38"/>
      <c r="I5" s="27" t="s">
        <v>148</v>
      </c>
      <c r="J5" s="27"/>
    </row>
    <row r="6" spans="1:15" ht="9.9499999999999993" customHeight="1" x14ac:dyDescent="0.2">
      <c r="A6" s="38"/>
      <c r="B6" s="42" t="s">
        <v>151</v>
      </c>
      <c r="C6" s="43"/>
      <c r="F6" s="41"/>
      <c r="G6" s="38"/>
      <c r="H6" s="38"/>
      <c r="I6" s="27" t="s">
        <v>149</v>
      </c>
      <c r="J6" s="27"/>
    </row>
    <row r="7" spans="1:15" x14ac:dyDescent="0.2">
      <c r="A7" s="38"/>
      <c r="B7" s="42" t="s">
        <v>152</v>
      </c>
      <c r="C7" s="43"/>
      <c r="F7" s="41"/>
      <c r="G7" s="38"/>
      <c r="H7" s="38"/>
      <c r="I7" s="40" t="s">
        <v>150</v>
      </c>
    </row>
    <row r="8" spans="1:15" ht="14.25" customHeight="1" x14ac:dyDescent="0.2">
      <c r="A8" s="38"/>
      <c r="B8" s="112"/>
      <c r="C8" s="112"/>
      <c r="D8" s="371"/>
      <c r="E8" s="371"/>
      <c r="F8" s="371" t="s">
        <v>136</v>
      </c>
      <c r="G8" s="371"/>
      <c r="H8" s="371"/>
      <c r="I8" s="371"/>
    </row>
    <row r="9" spans="1:15" ht="11.1" customHeight="1" x14ac:dyDescent="0.2">
      <c r="A9" s="38"/>
      <c r="B9" s="113" t="s">
        <v>161</v>
      </c>
      <c r="C9" s="113"/>
      <c r="D9" s="372" t="s">
        <v>162</v>
      </c>
      <c r="E9" s="372"/>
      <c r="F9" s="44" t="s">
        <v>137</v>
      </c>
      <c r="G9" s="113"/>
      <c r="H9" s="113"/>
      <c r="I9" s="44" t="s">
        <v>138</v>
      </c>
    </row>
    <row r="10" spans="1:15" ht="22.5" customHeight="1" x14ac:dyDescent="0.25">
      <c r="A10" s="38"/>
      <c r="B10" s="45" t="s">
        <v>163</v>
      </c>
      <c r="C10" s="46"/>
      <c r="D10" s="47"/>
      <c r="E10" s="46"/>
      <c r="F10" s="48"/>
      <c r="G10" s="46"/>
      <c r="H10" s="46"/>
      <c r="I10" s="48"/>
    </row>
    <row r="11" spans="1:15" s="39" customFormat="1" ht="18" customHeight="1" x14ac:dyDescent="0.25">
      <c r="B11" s="45" t="s">
        <v>164</v>
      </c>
      <c r="E11" s="49"/>
      <c r="F11" s="48"/>
      <c r="G11" s="46"/>
      <c r="H11" s="46"/>
      <c r="I11" s="50"/>
    </row>
    <row r="12" spans="1:15" s="39" customFormat="1" ht="18" customHeight="1" x14ac:dyDescent="0.25">
      <c r="B12" s="45"/>
      <c r="E12" s="49"/>
      <c r="F12" s="48"/>
      <c r="G12" s="46"/>
      <c r="H12" s="46"/>
      <c r="I12" s="50"/>
    </row>
    <row r="13" spans="1:15" s="39" customFormat="1" ht="18" customHeight="1" x14ac:dyDescent="0.25">
      <c r="B13" s="129" t="s">
        <v>242</v>
      </c>
      <c r="C13" s="163"/>
      <c r="D13" s="168" t="s">
        <v>243</v>
      </c>
      <c r="E13" s="130"/>
      <c r="F13" s="186"/>
      <c r="G13" s="189"/>
      <c r="H13" s="189"/>
      <c r="I13" s="187"/>
      <c r="J13" s="163"/>
      <c r="K13" s="163"/>
      <c r="L13" s="163"/>
    </row>
    <row r="14" spans="1:15" s="39" customFormat="1" ht="11.1" customHeight="1" x14ac:dyDescent="0.2">
      <c r="B14" s="131"/>
      <c r="C14" s="163"/>
      <c r="D14" s="163" t="s">
        <v>165</v>
      </c>
      <c r="E14" s="188"/>
      <c r="F14" s="186">
        <v>0</v>
      </c>
      <c r="G14" s="53"/>
      <c r="H14" s="54"/>
      <c r="I14" s="186"/>
      <c r="J14" s="163"/>
      <c r="K14" s="163" t="s">
        <v>166</v>
      </c>
      <c r="L14" s="163"/>
      <c r="N14" s="39" t="s">
        <v>167</v>
      </c>
    </row>
    <row r="15" spans="1:15" s="39" customFormat="1" ht="11.1" customHeight="1" x14ac:dyDescent="0.2">
      <c r="B15" s="131">
        <v>8182</v>
      </c>
      <c r="C15" s="163"/>
      <c r="D15" s="163" t="s">
        <v>165</v>
      </c>
      <c r="E15" s="188"/>
      <c r="F15" s="186">
        <v>1365481.31</v>
      </c>
      <c r="G15" s="53"/>
      <c r="H15" s="54"/>
      <c r="I15" s="186"/>
      <c r="J15" s="186"/>
      <c r="K15" s="163" t="s">
        <v>168</v>
      </c>
      <c r="L15" s="163"/>
      <c r="N15" s="39" t="s">
        <v>169</v>
      </c>
    </row>
    <row r="16" spans="1:15" s="39" customFormat="1" ht="11.1" customHeight="1" x14ac:dyDescent="0.2">
      <c r="B16" s="131">
        <v>6349</v>
      </c>
      <c r="C16" s="163"/>
      <c r="D16" s="163" t="s">
        <v>165</v>
      </c>
      <c r="E16" s="188"/>
      <c r="F16" s="186">
        <v>428877.91</v>
      </c>
      <c r="G16" s="53"/>
      <c r="H16" s="54"/>
      <c r="I16" s="186"/>
      <c r="J16" s="186"/>
      <c r="K16" s="163" t="s">
        <v>170</v>
      </c>
      <c r="L16" s="163"/>
      <c r="N16" s="39" t="s">
        <v>171</v>
      </c>
      <c r="O16" s="55"/>
    </row>
    <row r="17" spans="2:16" s="39" customFormat="1" ht="11.1" customHeight="1" x14ac:dyDescent="0.2">
      <c r="B17" s="131">
        <v>10490</v>
      </c>
      <c r="C17" s="163"/>
      <c r="D17" s="163" t="s">
        <v>172</v>
      </c>
      <c r="E17" s="188"/>
      <c r="F17" s="186">
        <v>542436.76</v>
      </c>
      <c r="G17" s="53"/>
      <c r="H17" s="54"/>
      <c r="I17" s="186"/>
      <c r="J17" s="186"/>
      <c r="K17" s="163" t="s">
        <v>173</v>
      </c>
      <c r="L17" s="163"/>
      <c r="N17" s="39" t="s">
        <v>174</v>
      </c>
    </row>
    <row r="18" spans="2:16" s="39" customFormat="1" ht="11.1" customHeight="1" x14ac:dyDescent="0.2">
      <c r="B18" s="131">
        <v>11414</v>
      </c>
      <c r="C18" s="163"/>
      <c r="D18" s="163" t="s">
        <v>172</v>
      </c>
      <c r="E18" s="188"/>
      <c r="F18" s="186">
        <v>459261.59</v>
      </c>
      <c r="G18" s="53"/>
      <c r="H18" s="54"/>
      <c r="I18" s="186"/>
      <c r="J18" s="186"/>
      <c r="K18" s="163" t="s">
        <v>175</v>
      </c>
      <c r="L18" s="163"/>
    </row>
    <row r="19" spans="2:16" s="39" customFormat="1" ht="11.1" customHeight="1" x14ac:dyDescent="0.2">
      <c r="B19" s="131">
        <v>8182</v>
      </c>
      <c r="C19" s="163"/>
      <c r="D19" s="163" t="s">
        <v>172</v>
      </c>
      <c r="E19" s="188"/>
      <c r="F19" s="186">
        <v>1627.06</v>
      </c>
      <c r="G19" s="53"/>
      <c r="H19" s="54"/>
      <c r="I19" s="186"/>
      <c r="J19" s="186"/>
      <c r="K19" s="163" t="s">
        <v>176</v>
      </c>
      <c r="L19" s="163"/>
    </row>
    <row r="20" spans="2:16" s="39" customFormat="1" ht="11.1" customHeight="1" x14ac:dyDescent="0.2">
      <c r="B20" s="131">
        <v>6349</v>
      </c>
      <c r="C20" s="163"/>
      <c r="D20" s="163" t="s">
        <v>165</v>
      </c>
      <c r="E20" s="188"/>
      <c r="F20" s="186">
        <v>3619.61</v>
      </c>
      <c r="G20" s="53"/>
      <c r="H20" s="54"/>
      <c r="I20" s="186"/>
      <c r="J20" s="186"/>
      <c r="K20" s="163" t="s">
        <v>177</v>
      </c>
      <c r="L20" s="163"/>
    </row>
    <row r="21" spans="2:16" s="39" customFormat="1" ht="11.1" customHeight="1" x14ac:dyDescent="0.2">
      <c r="B21" s="131">
        <v>3671</v>
      </c>
      <c r="C21" s="131"/>
      <c r="D21" s="163" t="s">
        <v>178</v>
      </c>
      <c r="E21" s="188"/>
      <c r="F21" s="186"/>
      <c r="G21" s="189"/>
      <c r="H21" s="188"/>
      <c r="I21" s="186">
        <v>0</v>
      </c>
      <c r="J21" s="186"/>
      <c r="K21" s="163" t="s">
        <v>166</v>
      </c>
      <c r="L21" s="163"/>
    </row>
    <row r="22" spans="2:16" s="39" customFormat="1" ht="11.1" customHeight="1" x14ac:dyDescent="0.2">
      <c r="B22" s="131">
        <v>4069</v>
      </c>
      <c r="C22" s="131"/>
      <c r="D22" s="163" t="s">
        <v>178</v>
      </c>
      <c r="E22" s="188"/>
      <c r="F22" s="186"/>
      <c r="G22" s="189"/>
      <c r="H22" s="188"/>
      <c r="I22" s="186">
        <v>1365481.31</v>
      </c>
      <c r="J22" s="186"/>
      <c r="K22" s="163" t="s">
        <v>168</v>
      </c>
      <c r="L22" s="163"/>
      <c r="M22" s="48">
        <f>I22*0.03</f>
        <v>40964.439299999998</v>
      </c>
    </row>
    <row r="23" spans="2:16" s="39" customFormat="1" ht="11.1" customHeight="1" x14ac:dyDescent="0.2">
      <c r="B23" s="131">
        <v>4069</v>
      </c>
      <c r="C23" s="131"/>
      <c r="D23" s="163" t="s">
        <v>178</v>
      </c>
      <c r="E23" s="188"/>
      <c r="F23" s="186"/>
      <c r="G23" s="189"/>
      <c r="H23" s="188"/>
      <c r="I23" s="186">
        <v>428877.91</v>
      </c>
      <c r="J23" s="186"/>
      <c r="K23" s="163" t="s">
        <v>170</v>
      </c>
      <c r="L23" s="163"/>
      <c r="M23" s="48">
        <f>I23*0.03</f>
        <v>12866.337299999999</v>
      </c>
      <c r="P23" s="57"/>
    </row>
    <row r="24" spans="2:16" s="39" customFormat="1" ht="11.1" customHeight="1" x14ac:dyDescent="0.2">
      <c r="B24" s="131">
        <v>4069</v>
      </c>
      <c r="C24" s="131"/>
      <c r="D24" s="163" t="s">
        <v>179</v>
      </c>
      <c r="E24" s="188"/>
      <c r="F24" s="186"/>
      <c r="G24" s="189"/>
      <c r="H24" s="188"/>
      <c r="I24" s="186">
        <v>542436.76</v>
      </c>
      <c r="J24" s="186"/>
      <c r="K24" s="163" t="s">
        <v>173</v>
      </c>
      <c r="L24" s="163"/>
      <c r="M24" s="48">
        <f>I24*0.03</f>
        <v>16273.102800000001</v>
      </c>
    </row>
    <row r="25" spans="2:16" s="39" customFormat="1" ht="11.1" customHeight="1" x14ac:dyDescent="0.2">
      <c r="B25" s="131">
        <v>5389</v>
      </c>
      <c r="C25" s="131"/>
      <c r="D25" s="163" t="s">
        <v>179</v>
      </c>
      <c r="E25" s="188"/>
      <c r="F25" s="186"/>
      <c r="G25" s="189"/>
      <c r="H25" s="188"/>
      <c r="I25" s="186">
        <v>459261.59</v>
      </c>
      <c r="J25" s="186"/>
      <c r="K25" s="163" t="s">
        <v>175</v>
      </c>
      <c r="L25" s="163"/>
      <c r="M25" s="48">
        <f>I25*0.03</f>
        <v>13777.8477</v>
      </c>
      <c r="P25" s="57"/>
    </row>
    <row r="26" spans="2:16" s="39" customFormat="1" ht="11.1" customHeight="1" x14ac:dyDescent="0.2">
      <c r="B26" s="131">
        <v>5389</v>
      </c>
      <c r="C26" s="131"/>
      <c r="D26" s="163" t="s">
        <v>179</v>
      </c>
      <c r="E26" s="188"/>
      <c r="F26" s="186"/>
      <c r="G26" s="189"/>
      <c r="H26" s="188"/>
      <c r="I26" s="186">
        <v>1627.06</v>
      </c>
      <c r="J26" s="186"/>
      <c r="K26" s="163" t="s">
        <v>176</v>
      </c>
      <c r="L26" s="163"/>
      <c r="M26" s="48">
        <f>I26*0.03</f>
        <v>48.811799999999998</v>
      </c>
    </row>
    <row r="27" spans="2:16" s="39" customFormat="1" ht="11.1" customHeight="1" x14ac:dyDescent="0.2">
      <c r="B27" s="131">
        <v>3681</v>
      </c>
      <c r="C27" s="131"/>
      <c r="D27" s="163" t="s">
        <v>178</v>
      </c>
      <c r="E27" s="188"/>
      <c r="F27" s="186"/>
      <c r="G27" s="189"/>
      <c r="H27" s="188"/>
      <c r="I27" s="186">
        <v>3619.61</v>
      </c>
      <c r="J27" s="186"/>
      <c r="K27" s="163" t="s">
        <v>177</v>
      </c>
      <c r="L27" s="163"/>
      <c r="M27" s="47">
        <f>SUM(M22:M26)</f>
        <v>83930.5389</v>
      </c>
    </row>
    <row r="28" spans="2:16" s="39" customFormat="1" ht="11.1" customHeight="1" thickBot="1" x14ac:dyDescent="0.25">
      <c r="B28" s="183" t="s">
        <v>180</v>
      </c>
      <c r="C28" s="131"/>
      <c r="D28" s="163"/>
      <c r="E28" s="190"/>
      <c r="F28" s="191">
        <f>SUM(F14:F26)</f>
        <v>2801304.2399999998</v>
      </c>
      <c r="G28" s="192"/>
      <c r="H28" s="190"/>
      <c r="I28" s="191">
        <f>SUM(I14:I27)</f>
        <v>2801304.2399999998</v>
      </c>
      <c r="J28" s="186">
        <f>+F28-I28</f>
        <v>0</v>
      </c>
      <c r="K28" s="163"/>
      <c r="L28" s="163"/>
      <c r="M28" s="47">
        <v>80319</v>
      </c>
    </row>
    <row r="29" spans="2:16" s="39" customFormat="1" ht="11.1" customHeight="1" thickTop="1" x14ac:dyDescent="0.2">
      <c r="B29" s="131"/>
      <c r="C29" s="131"/>
      <c r="D29" s="163"/>
      <c r="E29" s="188"/>
      <c r="F29" s="186">
        <f>F28-2801304.24</f>
        <v>0</v>
      </c>
      <c r="G29" s="189"/>
      <c r="H29" s="188"/>
      <c r="I29" s="186"/>
      <c r="J29" s="163"/>
      <c r="K29" s="163"/>
      <c r="L29" s="163"/>
      <c r="M29" s="47">
        <f>M27-M28</f>
        <v>3611.5388999999996</v>
      </c>
    </row>
    <row r="30" spans="2:16" s="55" customFormat="1" ht="15" customHeight="1" x14ac:dyDescent="0.25">
      <c r="B30" s="129" t="s">
        <v>244</v>
      </c>
      <c r="C30" s="54"/>
      <c r="D30" s="168" t="s">
        <v>243</v>
      </c>
      <c r="E30" s="193"/>
      <c r="F30" s="187"/>
      <c r="G30" s="54"/>
      <c r="H30" s="193"/>
      <c r="I30" s="187"/>
      <c r="J30" s="168"/>
      <c r="K30" s="168"/>
      <c r="L30" s="168"/>
      <c r="M30" s="47">
        <f>M29/0.03</f>
        <v>120384.62999999999</v>
      </c>
      <c r="N30" s="39"/>
      <c r="O30" s="39"/>
    </row>
    <row r="31" spans="2:16" s="39" customFormat="1" ht="11.1" customHeight="1" x14ac:dyDescent="0.2">
      <c r="B31" s="131"/>
      <c r="C31" s="131"/>
      <c r="D31" s="65" t="s">
        <v>181</v>
      </c>
      <c r="E31" s="188"/>
      <c r="F31" s="186">
        <v>360107.85</v>
      </c>
      <c r="G31" s="53"/>
      <c r="H31" s="188"/>
      <c r="I31" s="186"/>
      <c r="J31" s="163"/>
      <c r="K31" s="163" t="s">
        <v>173</v>
      </c>
      <c r="L31" s="163"/>
      <c r="M31" s="47"/>
    </row>
    <row r="32" spans="2:16" s="39" customFormat="1" ht="11.1" customHeight="1" x14ac:dyDescent="0.2">
      <c r="B32" s="131"/>
      <c r="C32" s="131"/>
      <c r="D32" s="65" t="s">
        <v>181</v>
      </c>
      <c r="E32" s="188"/>
      <c r="F32" s="186">
        <v>0</v>
      </c>
      <c r="G32" s="53"/>
      <c r="H32" s="188"/>
      <c r="I32" s="186"/>
      <c r="J32" s="163"/>
      <c r="K32" s="163" t="s">
        <v>176</v>
      </c>
      <c r="L32" s="163"/>
      <c r="M32" s="47"/>
    </row>
    <row r="33" spans="2:28" s="39" customFormat="1" ht="9.75" customHeight="1" x14ac:dyDescent="0.2">
      <c r="B33" s="131"/>
      <c r="C33" s="131"/>
      <c r="D33" s="163" t="s">
        <v>182</v>
      </c>
      <c r="E33" s="188"/>
      <c r="F33" s="186"/>
      <c r="G33" s="189"/>
      <c r="H33" s="188"/>
      <c r="I33" s="186">
        <v>0</v>
      </c>
      <c r="J33" s="186"/>
      <c r="K33" s="163" t="s">
        <v>176</v>
      </c>
      <c r="L33" s="163"/>
      <c r="M33" s="47"/>
    </row>
    <row r="34" spans="2:28" s="39" customFormat="1" ht="9.75" customHeight="1" x14ac:dyDescent="0.2">
      <c r="B34" s="131"/>
      <c r="C34" s="131"/>
      <c r="D34" s="163" t="s">
        <v>182</v>
      </c>
      <c r="E34" s="188"/>
      <c r="F34" s="186"/>
      <c r="G34" s="189"/>
      <c r="H34" s="188"/>
      <c r="I34" s="186">
        <v>360107.85</v>
      </c>
      <c r="J34" s="186"/>
      <c r="K34" s="163" t="s">
        <v>173</v>
      </c>
      <c r="L34" s="163"/>
    </row>
    <row r="35" spans="2:28" s="39" customFormat="1" ht="9.75" customHeight="1" x14ac:dyDescent="0.2">
      <c r="B35" s="131"/>
      <c r="C35" s="131"/>
      <c r="D35" s="163" t="s">
        <v>183</v>
      </c>
      <c r="E35" s="188"/>
      <c r="F35" s="186">
        <v>3086266.16</v>
      </c>
      <c r="G35" s="189"/>
      <c r="H35" s="188"/>
      <c r="I35" s="186"/>
      <c r="J35" s="186"/>
      <c r="K35" s="163" t="s">
        <v>46</v>
      </c>
      <c r="L35" s="163"/>
    </row>
    <row r="36" spans="2:28" s="39" customFormat="1" ht="11.1" customHeight="1" x14ac:dyDescent="0.2">
      <c r="B36" s="131"/>
      <c r="C36" s="163"/>
      <c r="D36" s="194" t="s">
        <v>184</v>
      </c>
      <c r="E36" s="195"/>
      <c r="F36" s="196">
        <v>711.98</v>
      </c>
      <c r="G36" s="53"/>
      <c r="H36" s="188"/>
      <c r="I36" s="186"/>
      <c r="J36" s="163"/>
      <c r="K36" s="163" t="s">
        <v>46</v>
      </c>
      <c r="L36" s="163"/>
    </row>
    <row r="37" spans="2:28" s="39" customFormat="1" ht="11.1" customHeight="1" x14ac:dyDescent="0.2">
      <c r="B37" s="131"/>
      <c r="C37" s="163"/>
      <c r="D37" s="163" t="s">
        <v>183</v>
      </c>
      <c r="E37" s="188"/>
      <c r="F37" s="186"/>
      <c r="G37" s="53"/>
      <c r="H37" s="188"/>
      <c r="I37" s="186">
        <v>3086978.14</v>
      </c>
      <c r="J37" s="163"/>
      <c r="K37" s="163" t="s">
        <v>46</v>
      </c>
      <c r="L37" s="163"/>
    </row>
    <row r="38" spans="2:28" s="39" customFormat="1" ht="11.1" hidden="1" customHeight="1" x14ac:dyDescent="0.2">
      <c r="B38" s="131"/>
      <c r="C38" s="131"/>
      <c r="D38" s="163" t="s">
        <v>183</v>
      </c>
      <c r="E38" s="189"/>
      <c r="F38" s="186"/>
      <c r="G38" s="189"/>
      <c r="H38" s="188"/>
      <c r="I38" s="163"/>
      <c r="J38" s="163"/>
      <c r="K38" s="163" t="s">
        <v>46</v>
      </c>
      <c r="L38" s="163"/>
    </row>
    <row r="39" spans="2:28" s="39" customFormat="1" ht="11.1" customHeight="1" thickBot="1" x14ac:dyDescent="0.25">
      <c r="B39" s="183" t="s">
        <v>185</v>
      </c>
      <c r="C39" s="163"/>
      <c r="D39" s="163"/>
      <c r="E39" s="190"/>
      <c r="F39" s="191">
        <f>SUM(F31:F38)</f>
        <v>3447085.99</v>
      </c>
      <c r="G39" s="192"/>
      <c r="H39" s="190"/>
      <c r="I39" s="191">
        <f>SUM(I31:I38)</f>
        <v>3447085.99</v>
      </c>
      <c r="J39" s="163"/>
      <c r="K39" s="163"/>
      <c r="L39" s="163"/>
    </row>
    <row r="40" spans="2:28" s="39" customFormat="1" ht="6.75" customHeight="1" thickTop="1" x14ac:dyDescent="0.2">
      <c r="B40" s="183"/>
      <c r="C40" s="163"/>
      <c r="D40" s="163"/>
      <c r="E40" s="193"/>
      <c r="F40" s="78"/>
      <c r="G40" s="79"/>
      <c r="H40" s="193"/>
      <c r="I40" s="78"/>
      <c r="J40" s="163"/>
      <c r="K40" s="163"/>
      <c r="L40" s="163"/>
    </row>
    <row r="41" spans="2:28" s="39" customFormat="1" ht="18" customHeight="1" x14ac:dyDescent="0.25">
      <c r="B41" s="129" t="s">
        <v>245</v>
      </c>
      <c r="C41" s="54"/>
      <c r="D41" s="168" t="s">
        <v>243</v>
      </c>
      <c r="E41" s="188"/>
      <c r="F41" s="187"/>
      <c r="G41" s="54"/>
      <c r="H41" s="188"/>
      <c r="I41" s="187"/>
      <c r="J41" s="163"/>
      <c r="K41" s="197">
        <v>-13102</v>
      </c>
      <c r="L41" s="197">
        <v>-131020</v>
      </c>
      <c r="M41" s="197">
        <v>-13102</v>
      </c>
    </row>
    <row r="42" spans="2:28" s="39" customFormat="1" ht="11.1" customHeight="1" x14ac:dyDescent="0.2">
      <c r="B42" s="131"/>
      <c r="C42" s="163"/>
      <c r="D42" s="163" t="s">
        <v>186</v>
      </c>
      <c r="E42" s="193"/>
      <c r="F42" s="187">
        <v>12375</v>
      </c>
      <c r="G42" s="53"/>
      <c r="H42" s="189"/>
      <c r="I42" s="186"/>
      <c r="J42" s="163"/>
      <c r="K42" s="65" t="s">
        <v>187</v>
      </c>
      <c r="L42" s="163"/>
    </row>
    <row r="43" spans="2:28" s="39" customFormat="1" ht="11.1" customHeight="1" x14ac:dyDescent="0.2">
      <c r="B43" s="131"/>
      <c r="C43" s="163"/>
      <c r="D43" s="163" t="s">
        <v>186</v>
      </c>
      <c r="E43" s="193"/>
      <c r="F43" s="187">
        <v>130144.17</v>
      </c>
      <c r="G43" s="53"/>
      <c r="H43" s="189"/>
      <c r="I43" s="186"/>
      <c r="J43" s="163"/>
      <c r="K43" s="65" t="s">
        <v>188</v>
      </c>
      <c r="L43" s="163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68"/>
      <c r="Y43" s="168"/>
      <c r="Z43" s="168"/>
      <c r="AA43" s="168"/>
      <c r="AB43" s="168"/>
    </row>
    <row r="44" spans="2:28" s="39" customFormat="1" ht="11.1" customHeight="1" x14ac:dyDescent="0.2">
      <c r="B44" s="131"/>
      <c r="C44" s="163"/>
      <c r="D44" s="163" t="s">
        <v>186</v>
      </c>
      <c r="E44" s="193"/>
      <c r="F44" s="187">
        <v>6682.02</v>
      </c>
      <c r="G44" s="53"/>
      <c r="H44" s="193"/>
      <c r="I44" s="187"/>
      <c r="J44" s="163"/>
      <c r="K44" s="65" t="s">
        <v>189</v>
      </c>
      <c r="L44" s="163"/>
      <c r="M44" s="168"/>
      <c r="N44" s="168"/>
      <c r="O44" s="168"/>
      <c r="P44" s="168"/>
      <c r="Q44" s="168"/>
      <c r="R44" s="168"/>
      <c r="S44" s="168"/>
      <c r="T44" s="168"/>
      <c r="U44" s="168"/>
      <c r="V44" s="168"/>
      <c r="W44" s="168"/>
      <c r="X44" s="168"/>
      <c r="Y44" s="168"/>
      <c r="Z44" s="168"/>
      <c r="AA44" s="168"/>
      <c r="AB44" s="168"/>
    </row>
    <row r="45" spans="2:28" s="39" customFormat="1" ht="11.1" customHeight="1" x14ac:dyDescent="0.2">
      <c r="B45" s="131"/>
      <c r="C45" s="163"/>
      <c r="D45" s="163" t="s">
        <v>186</v>
      </c>
      <c r="E45" s="193"/>
      <c r="F45" s="187">
        <v>917.14</v>
      </c>
      <c r="G45" s="53"/>
      <c r="H45" s="193"/>
      <c r="I45" s="187"/>
      <c r="J45" s="163"/>
      <c r="K45" s="65" t="s">
        <v>188</v>
      </c>
      <c r="L45" s="163"/>
      <c r="M45" s="145"/>
      <c r="N45" s="168"/>
      <c r="O45" s="377"/>
      <c r="P45" s="377"/>
      <c r="Q45" s="377"/>
      <c r="R45" s="377"/>
      <c r="S45" s="377"/>
      <c r="T45" s="377"/>
      <c r="U45" s="377"/>
      <c r="V45" s="168"/>
      <c r="W45" s="168"/>
      <c r="X45" s="168"/>
      <c r="Y45" s="168"/>
      <c r="Z45" s="168"/>
      <c r="AA45" s="168"/>
      <c r="AB45" s="168"/>
    </row>
    <row r="46" spans="2:28" s="39" customFormat="1" ht="11.1" customHeight="1" x14ac:dyDescent="0.2">
      <c r="B46" s="131"/>
      <c r="C46" s="131"/>
      <c r="D46" s="65" t="s">
        <v>187</v>
      </c>
      <c r="E46" s="54"/>
      <c r="F46" s="187"/>
      <c r="G46" s="54"/>
      <c r="H46" s="193"/>
      <c r="I46" s="187">
        <v>12375</v>
      </c>
      <c r="J46" s="163"/>
      <c r="K46" s="65" t="s">
        <v>187</v>
      </c>
      <c r="L46" s="163"/>
      <c r="M46" s="74"/>
      <c r="N46" s="75"/>
      <c r="O46" s="168"/>
      <c r="P46" s="193"/>
      <c r="Q46" s="187"/>
      <c r="R46" s="205"/>
      <c r="S46" s="54"/>
      <c r="T46" s="187"/>
      <c r="U46" s="168"/>
      <c r="V46" s="168"/>
      <c r="W46" s="168"/>
      <c r="X46" s="168"/>
      <c r="Y46" s="168"/>
      <c r="Z46" s="168"/>
      <c r="AA46" s="168"/>
      <c r="AB46" s="168"/>
    </row>
    <row r="47" spans="2:28" s="39" customFormat="1" ht="11.1" customHeight="1" x14ac:dyDescent="0.2">
      <c r="B47" s="131"/>
      <c r="C47" s="131"/>
      <c r="D47" s="65" t="s">
        <v>188</v>
      </c>
      <c r="E47" s="54"/>
      <c r="F47" s="187"/>
      <c r="G47" s="54"/>
      <c r="H47" s="193"/>
      <c r="I47" s="187">
        <v>130144.17</v>
      </c>
      <c r="J47" s="163"/>
      <c r="K47" s="65" t="s">
        <v>188</v>
      </c>
      <c r="L47" s="163"/>
      <c r="M47" s="74"/>
      <c r="N47" s="168"/>
      <c r="O47" s="168"/>
      <c r="P47" s="193"/>
      <c r="Q47" s="187"/>
      <c r="R47" s="54"/>
      <c r="S47" s="193"/>
      <c r="T47" s="187"/>
      <c r="U47" s="168"/>
      <c r="V47" s="168"/>
      <c r="W47" s="168"/>
      <c r="X47" s="168"/>
      <c r="Y47" s="168"/>
      <c r="Z47" s="168"/>
      <c r="AA47" s="168"/>
      <c r="AB47" s="168"/>
    </row>
    <row r="48" spans="2:28" s="39" customFormat="1" ht="11.1" customHeight="1" x14ac:dyDescent="0.2">
      <c r="B48" s="131"/>
      <c r="C48" s="131"/>
      <c r="D48" s="65" t="s">
        <v>189</v>
      </c>
      <c r="E48" s="54"/>
      <c r="F48" s="187"/>
      <c r="G48" s="54"/>
      <c r="H48" s="193"/>
      <c r="I48" s="187">
        <v>6682.02</v>
      </c>
      <c r="J48" s="163"/>
      <c r="K48" s="65" t="s">
        <v>189</v>
      </c>
      <c r="L48" s="163"/>
      <c r="M48" s="77"/>
      <c r="N48" s="168"/>
      <c r="O48" s="168"/>
      <c r="P48" s="193"/>
      <c r="Q48" s="78"/>
      <c r="R48" s="79"/>
      <c r="S48" s="193"/>
      <c r="T48" s="78"/>
      <c r="U48" s="168"/>
      <c r="V48" s="168"/>
      <c r="W48" s="168"/>
      <c r="X48" s="168"/>
      <c r="Y48" s="168"/>
      <c r="Z48" s="168"/>
      <c r="AA48" s="168"/>
      <c r="AB48" s="168"/>
    </row>
    <row r="49" spans="2:43" s="39" customFormat="1" ht="11.1" customHeight="1" x14ac:dyDescent="0.25">
      <c r="B49" s="131"/>
      <c r="C49" s="131"/>
      <c r="D49" s="65" t="s">
        <v>188</v>
      </c>
      <c r="E49" s="54"/>
      <c r="F49" s="187"/>
      <c r="G49" s="54"/>
      <c r="H49" s="193"/>
      <c r="I49" s="187">
        <v>917.14</v>
      </c>
      <c r="J49" s="163"/>
      <c r="K49" s="65" t="s">
        <v>188</v>
      </c>
      <c r="L49" s="163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168"/>
      <c r="X49" s="168"/>
      <c r="Y49" s="168"/>
      <c r="Z49" s="168"/>
      <c r="AA49" s="168"/>
      <c r="AB49" s="168"/>
    </row>
    <row r="50" spans="2:43" s="39" customFormat="1" ht="11.1" customHeight="1" thickBot="1" x14ac:dyDescent="0.25">
      <c r="B50" s="183" t="s">
        <v>190</v>
      </c>
      <c r="C50" s="163"/>
      <c r="D50" s="163"/>
      <c r="E50" s="190"/>
      <c r="F50" s="191">
        <f>SUM(F42:F49)</f>
        <v>150118.32999999999</v>
      </c>
      <c r="G50" s="192"/>
      <c r="H50" s="190"/>
      <c r="I50" s="191">
        <f>SUM(I42:I49)</f>
        <v>150118.32999999999</v>
      </c>
      <c r="J50" s="163"/>
      <c r="K50" s="163"/>
      <c r="L50" s="163"/>
      <c r="M50" s="168"/>
      <c r="N50" s="168"/>
      <c r="O50" s="168"/>
      <c r="P50" s="168"/>
      <c r="Q50" s="168"/>
      <c r="R50" s="168"/>
      <c r="S50" s="168"/>
      <c r="T50" s="168"/>
      <c r="U50" s="168"/>
      <c r="V50" s="168"/>
      <c r="W50" s="168"/>
      <c r="X50" s="168"/>
      <c r="Y50" s="168"/>
      <c r="Z50" s="168"/>
      <c r="AA50" s="168"/>
      <c r="AB50" s="168"/>
    </row>
    <row r="51" spans="2:43" s="39" customFormat="1" ht="11.1" customHeight="1" thickTop="1" x14ac:dyDescent="0.2">
      <c r="B51" s="183"/>
      <c r="C51" s="163"/>
      <c r="D51" s="163"/>
      <c r="E51" s="193"/>
      <c r="F51" s="78"/>
      <c r="G51" s="79"/>
      <c r="H51" s="193"/>
      <c r="I51" s="78"/>
      <c r="J51" s="163"/>
      <c r="K51" s="186"/>
      <c r="L51" s="186"/>
      <c r="M51" s="168"/>
      <c r="N51" s="168"/>
      <c r="O51" s="168"/>
      <c r="P51" s="168"/>
      <c r="Q51" s="168"/>
      <c r="R51" s="168"/>
      <c r="S51" s="168"/>
      <c r="T51" s="168"/>
      <c r="U51" s="168"/>
      <c r="V51" s="168"/>
      <c r="W51" s="168"/>
      <c r="X51" s="168"/>
      <c r="Y51" s="168"/>
      <c r="Z51" s="168"/>
      <c r="AA51" s="168"/>
      <c r="AB51" s="168"/>
    </row>
    <row r="52" spans="2:43" s="39" customFormat="1" ht="15.75" customHeight="1" x14ac:dyDescent="0.25">
      <c r="B52" s="129" t="s">
        <v>246</v>
      </c>
      <c r="C52" s="54"/>
      <c r="D52" s="168" t="s">
        <v>243</v>
      </c>
      <c r="E52" s="189"/>
      <c r="F52" s="186"/>
      <c r="G52" s="189"/>
      <c r="H52" s="189"/>
      <c r="I52" s="186"/>
      <c r="J52" s="163"/>
      <c r="K52" s="163"/>
      <c r="L52" s="163"/>
      <c r="M52" s="168"/>
      <c r="N52" s="168"/>
      <c r="O52" s="168"/>
      <c r="P52" s="187"/>
      <c r="Q52" s="187"/>
      <c r="R52" s="187"/>
      <c r="S52" s="187"/>
      <c r="T52" s="168"/>
      <c r="U52" s="168"/>
      <c r="V52" s="168"/>
      <c r="W52" s="168"/>
      <c r="X52" s="168"/>
      <c r="Y52" s="168"/>
      <c r="Z52" s="168"/>
      <c r="AA52" s="168"/>
      <c r="AB52" s="168"/>
    </row>
    <row r="53" spans="2:43" s="39" customFormat="1" ht="11.1" customHeight="1" x14ac:dyDescent="0.2">
      <c r="B53" s="131"/>
      <c r="C53" s="131"/>
      <c r="D53" s="163" t="s">
        <v>191</v>
      </c>
      <c r="E53" s="188"/>
      <c r="F53" s="186">
        <v>80319</v>
      </c>
      <c r="G53" s="53"/>
      <c r="H53" s="189"/>
      <c r="I53" s="186"/>
      <c r="J53" s="163"/>
      <c r="K53" s="163" t="s">
        <v>192</v>
      </c>
      <c r="L53" s="163"/>
      <c r="M53" s="168"/>
      <c r="N53" s="168"/>
      <c r="O53" s="168"/>
      <c r="P53" s="187"/>
      <c r="Q53" s="187"/>
      <c r="R53" s="187"/>
      <c r="S53" s="187"/>
      <c r="T53" s="168"/>
      <c r="U53" s="168"/>
      <c r="V53" s="168"/>
      <c r="W53" s="168"/>
      <c r="X53" s="168"/>
      <c r="Y53" s="168"/>
      <c r="Z53" s="168"/>
      <c r="AA53" s="168"/>
      <c r="AB53" s="168"/>
    </row>
    <row r="54" spans="2:43" s="39" customFormat="1" ht="11.1" customHeight="1" x14ac:dyDescent="0.2">
      <c r="B54" s="131"/>
      <c r="C54" s="163"/>
      <c r="D54" s="163" t="s">
        <v>184</v>
      </c>
      <c r="E54" s="193"/>
      <c r="F54" s="186"/>
      <c r="G54" s="189"/>
      <c r="H54" s="188"/>
      <c r="I54" s="186">
        <v>52259.01</v>
      </c>
      <c r="J54" s="163"/>
      <c r="K54" s="163" t="s">
        <v>192</v>
      </c>
      <c r="L54" s="163"/>
      <c r="M54" s="168"/>
      <c r="N54" s="168"/>
      <c r="O54" s="168"/>
      <c r="P54" s="187"/>
      <c r="Q54" s="187"/>
      <c r="R54" s="187"/>
      <c r="S54" s="187"/>
      <c r="T54" s="168"/>
      <c r="U54" s="168"/>
      <c r="V54" s="168"/>
      <c r="W54" s="168"/>
      <c r="X54" s="168"/>
      <c r="Y54" s="168"/>
      <c r="Z54" s="168"/>
      <c r="AA54" s="168"/>
      <c r="AB54" s="168"/>
    </row>
    <row r="55" spans="2:43" s="39" customFormat="1" ht="11.1" customHeight="1" x14ac:dyDescent="0.2">
      <c r="B55" s="131"/>
      <c r="C55" s="163"/>
      <c r="D55" s="180" t="s">
        <v>195</v>
      </c>
      <c r="E55" s="181"/>
      <c r="F55" s="157"/>
      <c r="G55" s="199"/>
      <c r="H55" s="198"/>
      <c r="I55" s="157">
        <v>28059.99</v>
      </c>
      <c r="J55" s="163"/>
      <c r="K55" s="163" t="s">
        <v>291</v>
      </c>
      <c r="L55" s="163"/>
      <c r="M55" s="168"/>
      <c r="N55" s="168"/>
      <c r="O55" s="168"/>
      <c r="P55" s="187"/>
      <c r="Q55" s="187"/>
      <c r="R55" s="187"/>
      <c r="S55" s="187"/>
      <c r="T55" s="168"/>
      <c r="U55" s="168"/>
      <c r="V55" s="168"/>
      <c r="W55" s="168"/>
      <c r="X55" s="168"/>
      <c r="Y55" s="168"/>
      <c r="Z55" s="168"/>
      <c r="AA55" s="168"/>
      <c r="AB55" s="168"/>
    </row>
    <row r="56" spans="2:43" s="39" customFormat="1" ht="11.1" customHeight="1" thickBot="1" x14ac:dyDescent="0.25">
      <c r="B56" s="183" t="s">
        <v>192</v>
      </c>
      <c r="C56" s="163"/>
      <c r="D56" s="163"/>
      <c r="E56" s="190"/>
      <c r="F56" s="191">
        <f>SUM(F53:F54)</f>
        <v>80319</v>
      </c>
      <c r="G56" s="192"/>
      <c r="H56" s="190"/>
      <c r="I56" s="191">
        <f>SUM(I54:I55)</f>
        <v>80319</v>
      </c>
      <c r="J56" s="163"/>
      <c r="K56" s="163"/>
      <c r="L56" s="163"/>
      <c r="M56" s="168"/>
      <c r="N56" s="168"/>
      <c r="O56" s="168"/>
      <c r="P56" s="187"/>
      <c r="Q56" s="187"/>
      <c r="R56" s="187"/>
      <c r="S56" s="187"/>
      <c r="T56" s="187"/>
      <c r="U56" s="168"/>
      <c r="V56" s="168"/>
      <c r="W56" s="168"/>
      <c r="X56" s="168"/>
      <c r="Y56" s="168"/>
      <c r="Z56" s="168"/>
      <c r="AA56" s="168"/>
      <c r="AB56" s="168"/>
    </row>
    <row r="57" spans="2:43" s="39" customFormat="1" ht="9" customHeight="1" thickTop="1" x14ac:dyDescent="0.2">
      <c r="B57" s="183"/>
      <c r="C57" s="163"/>
      <c r="D57" s="168" t="s">
        <v>243</v>
      </c>
      <c r="E57" s="193"/>
      <c r="F57" s="78"/>
      <c r="G57" s="79"/>
      <c r="H57" s="193"/>
      <c r="I57" s="78"/>
      <c r="J57" s="163"/>
      <c r="K57" s="163"/>
      <c r="L57" s="163"/>
      <c r="M57" s="168"/>
      <c r="N57" s="168"/>
      <c r="O57" s="168"/>
      <c r="P57" s="187"/>
      <c r="Q57" s="187"/>
      <c r="R57" s="187"/>
      <c r="S57" s="187"/>
      <c r="T57" s="187"/>
      <c r="U57" s="168"/>
      <c r="V57" s="168"/>
      <c r="W57" s="168"/>
      <c r="X57" s="168"/>
      <c r="Y57" s="168"/>
      <c r="Z57" s="168"/>
      <c r="AA57" s="168"/>
      <c r="AB57" s="168"/>
    </row>
    <row r="58" spans="2:43" s="39" customFormat="1" ht="18.75" customHeight="1" x14ac:dyDescent="0.25">
      <c r="B58" s="129" t="s">
        <v>247</v>
      </c>
      <c r="C58" s="163"/>
      <c r="D58" s="163"/>
      <c r="E58" s="188"/>
      <c r="F58" s="186"/>
      <c r="G58" s="54"/>
      <c r="H58" s="193"/>
      <c r="I58" s="187"/>
      <c r="J58" s="163"/>
      <c r="K58" s="163"/>
      <c r="L58" s="163"/>
      <c r="M58" s="168"/>
      <c r="N58" s="145"/>
      <c r="O58" s="168"/>
      <c r="P58" s="74"/>
      <c r="Q58" s="74"/>
      <c r="R58" s="74"/>
      <c r="S58" s="74"/>
      <c r="T58" s="74"/>
      <c r="U58" s="74"/>
      <c r="V58" s="168"/>
      <c r="W58" s="168"/>
      <c r="X58" s="168"/>
      <c r="Y58" s="168"/>
      <c r="Z58" s="168"/>
      <c r="AA58" s="168"/>
      <c r="AB58" s="168"/>
    </row>
    <row r="59" spans="2:43" s="39" customFormat="1" ht="11.1" customHeight="1" x14ac:dyDescent="0.25">
      <c r="B59" s="129"/>
      <c r="C59" s="163"/>
      <c r="D59" s="163" t="s">
        <v>292</v>
      </c>
      <c r="E59" s="188"/>
      <c r="F59" s="186">
        <v>123678.95999999999</v>
      </c>
      <c r="G59" s="53"/>
      <c r="H59" s="188"/>
      <c r="I59" s="186"/>
      <c r="J59" s="163"/>
      <c r="K59" s="163" t="s">
        <v>107</v>
      </c>
      <c r="L59" s="163"/>
      <c r="M59" s="168"/>
      <c r="N59" s="74"/>
      <c r="O59" s="168"/>
      <c r="P59" s="168"/>
      <c r="Q59" s="193"/>
      <c r="R59" s="187"/>
      <c r="S59" s="206"/>
      <c r="T59" s="193"/>
      <c r="U59" s="187"/>
      <c r="V59" s="168"/>
      <c r="W59" s="168"/>
      <c r="X59" s="168"/>
      <c r="Y59" s="168"/>
      <c r="Z59" s="168"/>
      <c r="AA59" s="168"/>
      <c r="AB59" s="168"/>
    </row>
    <row r="60" spans="2:43" s="185" customFormat="1" ht="11.1" customHeight="1" x14ac:dyDescent="0.25">
      <c r="B60" s="129"/>
      <c r="C60" s="163"/>
      <c r="D60" s="180" t="s">
        <v>195</v>
      </c>
      <c r="E60" s="198"/>
      <c r="F60" s="157">
        <v>29743</v>
      </c>
      <c r="G60" s="53"/>
      <c r="H60" s="188"/>
      <c r="I60" s="186"/>
      <c r="J60" s="163"/>
      <c r="K60" s="163"/>
      <c r="L60" s="163"/>
      <c r="M60" s="168"/>
      <c r="N60" s="74"/>
      <c r="O60" s="168"/>
      <c r="P60" s="168"/>
      <c r="Q60" s="193"/>
      <c r="R60" s="187"/>
      <c r="S60" s="206"/>
      <c r="T60" s="193"/>
      <c r="U60" s="187"/>
      <c r="V60" s="168"/>
      <c r="W60" s="168"/>
      <c r="X60" s="168"/>
      <c r="Y60" s="168"/>
      <c r="Z60" s="168"/>
      <c r="AA60" s="168"/>
      <c r="AB60" s="168"/>
    </row>
    <row r="61" spans="2:43" s="39" customFormat="1" ht="11.1" customHeight="1" x14ac:dyDescent="0.2">
      <c r="B61" s="131"/>
      <c r="C61" s="163"/>
      <c r="D61" s="163" t="s">
        <v>294</v>
      </c>
      <c r="E61" s="188"/>
      <c r="F61" s="186"/>
      <c r="G61" s="53"/>
      <c r="H61" s="188"/>
      <c r="I61" s="186">
        <v>29743</v>
      </c>
      <c r="J61" s="163"/>
      <c r="K61" s="163" t="s">
        <v>193</v>
      </c>
      <c r="L61" s="163"/>
      <c r="M61" s="168"/>
      <c r="N61" s="74"/>
      <c r="O61" s="168"/>
      <c r="P61" s="168"/>
      <c r="Q61" s="193"/>
      <c r="R61" s="187"/>
      <c r="S61" s="206"/>
      <c r="T61" s="193"/>
      <c r="U61" s="187"/>
      <c r="V61" s="168"/>
      <c r="W61" s="168"/>
      <c r="X61" s="168"/>
      <c r="Y61" s="168"/>
      <c r="Z61" s="168"/>
      <c r="AA61" s="168"/>
      <c r="AB61" s="168"/>
    </row>
    <row r="62" spans="2:43" s="39" customFormat="1" ht="10.5" customHeight="1" x14ac:dyDescent="0.2">
      <c r="B62" s="131"/>
      <c r="C62" s="163"/>
      <c r="D62" s="180" t="s">
        <v>195</v>
      </c>
      <c r="E62" s="198"/>
      <c r="F62" s="157"/>
      <c r="G62" s="199"/>
      <c r="H62" s="198"/>
      <c r="I62" s="157">
        <v>118970</v>
      </c>
      <c r="J62" s="163"/>
      <c r="K62" s="163" t="s">
        <v>107</v>
      </c>
      <c r="L62" s="163"/>
      <c r="M62" s="168"/>
      <c r="N62" s="74"/>
      <c r="O62" s="168"/>
      <c r="P62" s="168"/>
      <c r="Q62" s="193"/>
      <c r="R62" s="187"/>
      <c r="S62" s="206"/>
      <c r="T62" s="193"/>
      <c r="U62" s="187"/>
      <c r="V62" s="168"/>
      <c r="W62" s="168"/>
      <c r="X62" s="168"/>
      <c r="Y62" s="168"/>
      <c r="Z62" s="168"/>
      <c r="AA62" s="168"/>
      <c r="AB62" s="168"/>
      <c r="AC62" s="72"/>
      <c r="AD62" s="72"/>
      <c r="AE62" s="72"/>
      <c r="AF62" s="72"/>
      <c r="AG62" s="72"/>
      <c r="AH62" s="72"/>
      <c r="AI62" s="72"/>
      <c r="AJ62" s="72"/>
      <c r="AK62" s="72"/>
      <c r="AL62" s="72"/>
      <c r="AM62" s="72"/>
      <c r="AN62" s="72"/>
      <c r="AO62" s="72"/>
      <c r="AP62" s="72"/>
      <c r="AQ62" s="72"/>
    </row>
    <row r="63" spans="2:43" s="185" customFormat="1" ht="10.5" customHeight="1" x14ac:dyDescent="0.2">
      <c r="B63" s="131"/>
      <c r="C63" s="163"/>
      <c r="D63" s="163" t="s">
        <v>354</v>
      </c>
      <c r="E63" s="188"/>
      <c r="F63" s="186"/>
      <c r="G63" s="189"/>
      <c r="H63" s="188"/>
      <c r="I63" s="186">
        <v>4708.79</v>
      </c>
      <c r="J63" s="163"/>
      <c r="K63" s="163"/>
      <c r="L63" s="163"/>
      <c r="M63" s="168"/>
      <c r="N63" s="74"/>
      <c r="O63" s="168"/>
      <c r="P63" s="168"/>
      <c r="Q63" s="193"/>
      <c r="R63" s="187"/>
      <c r="S63" s="206"/>
      <c r="T63" s="193"/>
      <c r="U63" s="187"/>
      <c r="V63" s="168"/>
      <c r="W63" s="168"/>
      <c r="X63" s="168"/>
      <c r="Y63" s="168"/>
      <c r="Z63" s="168"/>
      <c r="AA63" s="168"/>
      <c r="AB63" s="168"/>
      <c r="AC63" s="168"/>
      <c r="AD63" s="168"/>
      <c r="AE63" s="168"/>
      <c r="AF63" s="168"/>
      <c r="AG63" s="168"/>
      <c r="AH63" s="168"/>
      <c r="AI63" s="168"/>
      <c r="AJ63" s="168"/>
      <c r="AK63" s="168"/>
      <c r="AL63" s="168"/>
      <c r="AM63" s="168"/>
      <c r="AN63" s="168"/>
      <c r="AO63" s="168"/>
      <c r="AP63" s="168"/>
      <c r="AQ63" s="168"/>
    </row>
    <row r="64" spans="2:43" s="39" customFormat="1" ht="11.1" customHeight="1" thickBot="1" x14ac:dyDescent="0.25">
      <c r="B64" s="183" t="s">
        <v>293</v>
      </c>
      <c r="C64" s="163"/>
      <c r="D64" s="163"/>
      <c r="E64" s="190"/>
      <c r="F64" s="191">
        <f>SUM(F59:F63)</f>
        <v>153421.96</v>
      </c>
      <c r="G64" s="192"/>
      <c r="H64" s="190"/>
      <c r="I64" s="191">
        <f>SUM(I59:I63)</f>
        <v>153421.79</v>
      </c>
      <c r="J64" s="163"/>
      <c r="K64" s="163"/>
      <c r="L64" s="163"/>
      <c r="M64" s="168"/>
      <c r="N64" s="74"/>
      <c r="O64" s="168"/>
      <c r="P64" s="168"/>
      <c r="Q64" s="193"/>
      <c r="R64" s="187"/>
      <c r="S64" s="54"/>
      <c r="T64" s="193"/>
      <c r="U64" s="187"/>
      <c r="V64" s="168"/>
      <c r="W64" s="168"/>
      <c r="X64" s="168"/>
      <c r="Y64" s="168"/>
      <c r="Z64" s="168"/>
      <c r="AA64" s="168"/>
      <c r="AB64" s="168"/>
      <c r="AC64" s="72"/>
      <c r="AD64" s="72"/>
      <c r="AE64" s="72"/>
      <c r="AF64" s="72"/>
      <c r="AG64" s="72"/>
      <c r="AH64" s="72"/>
      <c r="AI64" s="72"/>
      <c r="AJ64" s="72"/>
      <c r="AK64" s="72"/>
      <c r="AL64" s="72"/>
      <c r="AM64" s="72"/>
      <c r="AN64" s="72"/>
      <c r="AO64" s="72"/>
      <c r="AP64" s="72"/>
      <c r="AQ64" s="72"/>
    </row>
    <row r="65" spans="2:43" s="39" customFormat="1" ht="11.1" customHeight="1" thickTop="1" x14ac:dyDescent="0.2">
      <c r="B65" s="183"/>
      <c r="C65" s="163"/>
      <c r="D65" s="163"/>
      <c r="E65" s="193"/>
      <c r="F65" s="78"/>
      <c r="G65" s="79"/>
      <c r="H65" s="193"/>
      <c r="I65" s="78"/>
      <c r="J65" s="163"/>
      <c r="K65" s="163"/>
      <c r="L65" s="163"/>
      <c r="M65" s="168"/>
      <c r="N65" s="74"/>
      <c r="O65" s="168"/>
      <c r="P65" s="168"/>
      <c r="Q65" s="168"/>
      <c r="R65" s="168"/>
      <c r="S65" s="168"/>
      <c r="T65" s="168"/>
      <c r="U65" s="168"/>
      <c r="V65" s="168"/>
      <c r="W65" s="168"/>
      <c r="X65" s="168"/>
      <c r="Y65" s="168"/>
      <c r="Z65" s="168"/>
      <c r="AA65" s="168"/>
      <c r="AB65" s="168"/>
      <c r="AC65" s="72"/>
      <c r="AD65" s="72"/>
      <c r="AE65" s="72"/>
      <c r="AF65" s="72"/>
      <c r="AG65" s="72"/>
      <c r="AH65" s="72"/>
      <c r="AI65" s="72"/>
      <c r="AJ65" s="72"/>
      <c r="AK65" s="72"/>
      <c r="AL65" s="72"/>
      <c r="AM65" s="72"/>
      <c r="AN65" s="72"/>
      <c r="AO65" s="72"/>
      <c r="AP65" s="72"/>
      <c r="AQ65" s="72"/>
    </row>
    <row r="66" spans="2:43" s="39" customFormat="1" ht="13.5" customHeight="1" x14ac:dyDescent="0.25">
      <c r="B66" s="129" t="s">
        <v>248</v>
      </c>
      <c r="C66" s="163"/>
      <c r="D66" s="168" t="s">
        <v>243</v>
      </c>
      <c r="E66" s="193"/>
      <c r="F66" s="78"/>
      <c r="G66" s="79"/>
      <c r="H66" s="193"/>
      <c r="I66" s="78"/>
      <c r="J66" s="163"/>
      <c r="K66" s="163"/>
      <c r="L66" s="163"/>
      <c r="M66" s="168"/>
      <c r="N66" s="77"/>
      <c r="O66" s="168"/>
      <c r="P66" s="168"/>
      <c r="Q66" s="193"/>
      <c r="R66" s="78"/>
      <c r="S66" s="79"/>
      <c r="T66" s="193"/>
      <c r="U66" s="78"/>
      <c r="V66" s="168"/>
      <c r="W66" s="168"/>
      <c r="X66" s="168"/>
      <c r="Y66" s="168"/>
      <c r="Z66" s="168"/>
      <c r="AA66" s="168"/>
      <c r="AB66" s="168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</row>
    <row r="67" spans="2:43" s="39" customFormat="1" ht="11.1" customHeight="1" x14ac:dyDescent="0.2">
      <c r="B67" s="183"/>
      <c r="C67" s="163"/>
      <c r="D67" s="163" t="s">
        <v>294</v>
      </c>
      <c r="E67" s="193"/>
      <c r="F67" s="186">
        <v>29743</v>
      </c>
      <c r="G67" s="79"/>
      <c r="H67" s="193"/>
      <c r="I67" s="78"/>
      <c r="J67" s="163"/>
      <c r="K67" s="163"/>
      <c r="L67" s="163"/>
      <c r="M67" s="168"/>
      <c r="N67" s="168"/>
      <c r="O67" s="168"/>
      <c r="P67" s="168"/>
      <c r="Q67" s="168"/>
      <c r="R67" s="168"/>
      <c r="S67" s="168"/>
      <c r="T67" s="168"/>
      <c r="U67" s="168"/>
      <c r="V67" s="168"/>
      <c r="W67" s="168"/>
      <c r="X67" s="168"/>
      <c r="Y67" s="168"/>
      <c r="Z67" s="168"/>
      <c r="AA67" s="168"/>
      <c r="AB67" s="168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</row>
    <row r="68" spans="2:43" s="39" customFormat="1" ht="11.1" customHeight="1" x14ac:dyDescent="0.2">
      <c r="B68" s="183"/>
      <c r="C68" s="163"/>
      <c r="D68" s="180" t="s">
        <v>195</v>
      </c>
      <c r="E68" s="181"/>
      <c r="F68" s="219"/>
      <c r="G68" s="156"/>
      <c r="H68" s="181"/>
      <c r="I68" s="157">
        <v>29743</v>
      </c>
      <c r="J68" s="163"/>
      <c r="K68" s="163" t="s">
        <v>375</v>
      </c>
      <c r="L68" s="163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</row>
    <row r="69" spans="2:43" s="39" customFormat="1" ht="11.1" customHeight="1" thickBot="1" x14ac:dyDescent="0.25">
      <c r="B69" s="183" t="s">
        <v>295</v>
      </c>
      <c r="C69" s="163"/>
      <c r="D69" s="163"/>
      <c r="E69" s="190"/>
      <c r="F69" s="191">
        <f>SUM(F67:F68)</f>
        <v>29743</v>
      </c>
      <c r="G69" s="192"/>
      <c r="H69" s="190"/>
      <c r="I69" s="191">
        <f>SUM(I67:I68)</f>
        <v>29743</v>
      </c>
      <c r="J69" s="163"/>
      <c r="K69" s="163"/>
      <c r="L69" s="163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  <c r="AF69" s="72"/>
      <c r="AG69" s="72"/>
      <c r="AH69" s="72"/>
      <c r="AI69" s="72"/>
      <c r="AJ69" s="72"/>
      <c r="AK69" s="72"/>
      <c r="AL69" s="72"/>
      <c r="AM69" s="72"/>
      <c r="AN69" s="72"/>
      <c r="AO69" s="72"/>
      <c r="AP69" s="72"/>
      <c r="AQ69" s="72"/>
    </row>
    <row r="70" spans="2:43" s="39" customFormat="1" ht="11.1" customHeight="1" thickTop="1" x14ac:dyDescent="0.2">
      <c r="B70" s="183"/>
      <c r="C70" s="163"/>
      <c r="D70" s="163"/>
      <c r="E70" s="193"/>
      <c r="F70" s="78"/>
      <c r="G70" s="79"/>
      <c r="H70" s="193"/>
      <c r="I70" s="78"/>
      <c r="J70" s="163"/>
      <c r="K70" s="163"/>
      <c r="L70" s="163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  <c r="AF70" s="72"/>
      <c r="AG70" s="72"/>
      <c r="AH70" s="72"/>
      <c r="AI70" s="72"/>
      <c r="AJ70" s="72"/>
      <c r="AK70" s="72"/>
      <c r="AL70" s="72"/>
      <c r="AM70" s="72"/>
      <c r="AN70" s="72"/>
      <c r="AO70" s="72"/>
      <c r="AP70" s="72"/>
      <c r="AQ70" s="72"/>
    </row>
    <row r="71" spans="2:43" s="39" customFormat="1" ht="11.1" customHeight="1" x14ac:dyDescent="0.2">
      <c r="B71" s="183"/>
      <c r="C71" s="163"/>
      <c r="D71" s="163"/>
      <c r="E71" s="193"/>
      <c r="F71" s="78"/>
      <c r="G71" s="79"/>
      <c r="H71" s="193"/>
      <c r="I71" s="78"/>
      <c r="J71" s="163"/>
      <c r="K71" s="163"/>
      <c r="L71" s="163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  <c r="AF71" s="72"/>
      <c r="AG71" s="72"/>
      <c r="AH71" s="72"/>
      <c r="AI71" s="72"/>
      <c r="AJ71" s="72"/>
      <c r="AK71" s="72"/>
      <c r="AL71" s="72"/>
      <c r="AM71" s="72"/>
      <c r="AN71" s="72"/>
      <c r="AO71" s="72"/>
      <c r="AP71" s="72"/>
      <c r="AQ71" s="72"/>
    </row>
    <row r="72" spans="2:43" s="39" customFormat="1" ht="13.5" customHeight="1" x14ac:dyDescent="0.25">
      <c r="B72" s="129" t="s">
        <v>249</v>
      </c>
      <c r="C72" s="54"/>
      <c r="D72" s="168" t="s">
        <v>243</v>
      </c>
      <c r="E72" s="188"/>
      <c r="F72" s="186"/>
      <c r="G72" s="54"/>
      <c r="H72" s="193"/>
      <c r="I72" s="187"/>
      <c r="J72" s="163"/>
      <c r="K72" s="163"/>
      <c r="L72" s="163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  <c r="AF72" s="72"/>
      <c r="AG72" s="72"/>
      <c r="AH72" s="72"/>
      <c r="AI72" s="72"/>
      <c r="AJ72" s="72"/>
      <c r="AK72" s="72"/>
      <c r="AL72" s="72"/>
      <c r="AM72" s="72"/>
      <c r="AN72" s="72"/>
      <c r="AO72" s="72"/>
      <c r="AP72" s="72"/>
      <c r="AQ72" s="72"/>
    </row>
    <row r="73" spans="2:43" s="39" customFormat="1" ht="11.1" customHeight="1" x14ac:dyDescent="0.2">
      <c r="B73" s="131"/>
      <c r="C73" s="131"/>
      <c r="D73" s="65" t="s">
        <v>196</v>
      </c>
      <c r="E73" s="188"/>
      <c r="F73" s="186">
        <f>840663.48-8576.54</f>
        <v>832086.94</v>
      </c>
      <c r="G73" s="53"/>
      <c r="H73" s="188"/>
      <c r="I73" s="186"/>
      <c r="J73" s="163"/>
      <c r="K73" s="163" t="s">
        <v>197</v>
      </c>
      <c r="L73" s="163"/>
      <c r="N73" s="72"/>
      <c r="O73" s="72"/>
      <c r="P73" s="72"/>
      <c r="Q73" s="62"/>
      <c r="R73" s="50"/>
      <c r="S73" s="54"/>
      <c r="T73" s="62"/>
      <c r="U73" s="50"/>
      <c r="V73" s="72"/>
      <c r="W73" s="72"/>
      <c r="X73" s="72"/>
      <c r="Y73" s="72"/>
      <c r="Z73" s="72"/>
      <c r="AA73" s="72"/>
      <c r="AB73" s="72"/>
      <c r="AC73" s="72"/>
      <c r="AD73" s="72"/>
      <c r="AE73" s="72"/>
      <c r="AF73" s="72"/>
      <c r="AG73" s="72"/>
      <c r="AH73" s="72"/>
      <c r="AI73" s="72"/>
      <c r="AJ73" s="72"/>
      <c r="AK73" s="72"/>
      <c r="AL73" s="72"/>
      <c r="AM73" s="72"/>
      <c r="AN73" s="72"/>
      <c r="AO73" s="72"/>
      <c r="AP73" s="72"/>
      <c r="AQ73" s="72"/>
    </row>
    <row r="74" spans="2:43" s="39" customFormat="1" ht="11.1" customHeight="1" x14ac:dyDescent="0.2">
      <c r="B74" s="131"/>
      <c r="C74" s="163"/>
      <c r="D74" s="180" t="s">
        <v>195</v>
      </c>
      <c r="E74" s="198"/>
      <c r="F74" s="157">
        <f>7292.77+20552.79+39675.28+40393.12+44219.44+45456.39-17396.39</f>
        <v>180193.39999999997</v>
      </c>
      <c r="G74" s="186"/>
      <c r="H74" s="186"/>
      <c r="I74" s="186"/>
      <c r="J74" s="163"/>
      <c r="K74" s="163" t="s">
        <v>193</v>
      </c>
      <c r="L74" s="163"/>
      <c r="M74" s="48">
        <f>7292.77+20552.79+39675.28+40393.12+44219.44+45456.39-17396.39-2144.13</f>
        <v>178049.26999999996</v>
      </c>
      <c r="N74" s="75"/>
      <c r="O74" s="75"/>
      <c r="P74" s="83"/>
      <c r="Q74" s="62"/>
      <c r="R74" s="50"/>
      <c r="S74" s="76"/>
      <c r="T74" s="62"/>
      <c r="U74" s="50"/>
      <c r="V74" s="72"/>
      <c r="W74" s="72"/>
      <c r="X74" s="72"/>
      <c r="Y74" s="72"/>
      <c r="Z74" s="72"/>
      <c r="AA74" s="72"/>
      <c r="AB74" s="72"/>
      <c r="AC74" s="72"/>
      <c r="AD74" s="72"/>
      <c r="AE74" s="72"/>
      <c r="AF74" s="72"/>
      <c r="AG74" s="72"/>
      <c r="AH74" s="72"/>
      <c r="AI74" s="72"/>
      <c r="AJ74" s="72"/>
      <c r="AK74" s="72"/>
      <c r="AL74" s="72"/>
      <c r="AM74" s="72"/>
      <c r="AN74" s="72"/>
      <c r="AO74" s="72"/>
      <c r="AP74" s="72"/>
      <c r="AQ74" s="72"/>
    </row>
    <row r="75" spans="2:43" s="39" customFormat="1" ht="11.1" customHeight="1" x14ac:dyDescent="0.2">
      <c r="B75" s="131"/>
      <c r="C75" s="163"/>
      <c r="D75" s="163" t="s">
        <v>184</v>
      </c>
      <c r="E75" s="188"/>
      <c r="F75" s="186">
        <f>29971.93-2144.13</f>
        <v>27827.8</v>
      </c>
      <c r="G75" s="186"/>
      <c r="H75" s="186"/>
      <c r="I75" s="186"/>
      <c r="J75" s="163"/>
      <c r="K75" s="163" t="s">
        <v>193</v>
      </c>
      <c r="L75" s="163"/>
      <c r="M75" s="48">
        <f>29971.93-2144.13</f>
        <v>27827.8</v>
      </c>
      <c r="N75" s="75"/>
      <c r="O75" s="72"/>
      <c r="P75" s="72"/>
      <c r="Q75" s="62"/>
      <c r="R75" s="50"/>
      <c r="S75" s="76"/>
      <c r="T75" s="62"/>
      <c r="U75" s="50"/>
      <c r="V75" s="72"/>
      <c r="W75" s="72"/>
      <c r="X75" s="72"/>
      <c r="Y75" s="72"/>
      <c r="Z75" s="72"/>
      <c r="AA75" s="72"/>
      <c r="AB75" s="72"/>
      <c r="AC75" s="72"/>
      <c r="AD75" s="72"/>
      <c r="AE75" s="72"/>
      <c r="AF75" s="72"/>
      <c r="AG75" s="72"/>
      <c r="AH75" s="72"/>
      <c r="AI75" s="72"/>
      <c r="AJ75" s="72"/>
      <c r="AK75" s="72"/>
      <c r="AL75" s="72"/>
      <c r="AM75" s="72"/>
      <c r="AN75" s="72"/>
      <c r="AO75" s="72"/>
      <c r="AP75" s="72"/>
      <c r="AQ75" s="72"/>
    </row>
    <row r="76" spans="2:43" s="39" customFormat="1" ht="11.1" customHeight="1" x14ac:dyDescent="0.2">
      <c r="B76" s="131"/>
      <c r="C76" s="163"/>
      <c r="D76" s="180" t="s">
        <v>195</v>
      </c>
      <c r="E76" s="198"/>
      <c r="F76" s="157"/>
      <c r="G76" s="157"/>
      <c r="H76" s="157"/>
      <c r="I76" s="157">
        <f>23525.08+66299.32+127984.79+144261.13+176877.75+181827.69</f>
        <v>720775.76</v>
      </c>
      <c r="J76" s="163"/>
      <c r="K76" s="163" t="s">
        <v>197</v>
      </c>
      <c r="L76" s="163"/>
      <c r="M76" s="48">
        <f>23525.08+66299.32+127984.79+144261.13+176877.75+181827.69+119887.72-8576.54</f>
        <v>832086.94</v>
      </c>
      <c r="N76" s="75"/>
      <c r="O76" s="72"/>
      <c r="P76" s="72"/>
      <c r="Q76" s="62"/>
      <c r="R76" s="50"/>
      <c r="S76" s="76"/>
      <c r="T76" s="62"/>
      <c r="U76" s="50"/>
      <c r="V76" s="72"/>
      <c r="W76" s="72"/>
      <c r="X76" s="72"/>
      <c r="Y76" s="72"/>
      <c r="Z76" s="72"/>
      <c r="AA76" s="72"/>
      <c r="AB76" s="72"/>
      <c r="AC76" s="72"/>
      <c r="AD76" s="72"/>
      <c r="AE76" s="72"/>
      <c r="AF76" s="72"/>
      <c r="AG76" s="72"/>
      <c r="AH76" s="72"/>
      <c r="AI76" s="72"/>
      <c r="AJ76" s="72"/>
      <c r="AK76" s="72"/>
      <c r="AL76" s="72"/>
      <c r="AM76" s="72"/>
      <c r="AN76" s="72"/>
      <c r="AO76" s="72"/>
      <c r="AP76" s="72"/>
      <c r="AQ76" s="72"/>
    </row>
    <row r="77" spans="2:43" s="39" customFormat="1" ht="11.1" customHeight="1" x14ac:dyDescent="0.2">
      <c r="B77" s="131"/>
      <c r="C77" s="163"/>
      <c r="D77" s="163" t="s">
        <v>184</v>
      </c>
      <c r="E77" s="188"/>
      <c r="F77" s="186"/>
      <c r="G77" s="186"/>
      <c r="H77" s="186"/>
      <c r="I77" s="186">
        <f>+F73-I76</f>
        <v>111311.17999999993</v>
      </c>
      <c r="J77" s="163"/>
      <c r="K77" s="163" t="s">
        <v>197</v>
      </c>
      <c r="L77" s="163"/>
      <c r="N77" s="75"/>
      <c r="O77" s="72"/>
      <c r="P77" s="72"/>
      <c r="Q77" s="62"/>
      <c r="R77" s="50"/>
      <c r="S77" s="54"/>
      <c r="T77" s="62"/>
      <c r="U77" s="50"/>
      <c r="V77" s="72"/>
      <c r="W77" s="72"/>
      <c r="X77" s="72"/>
      <c r="Y77" s="72"/>
      <c r="Z77" s="72"/>
      <c r="AA77" s="72"/>
      <c r="AB77" s="72"/>
      <c r="AC77" s="72"/>
      <c r="AD77" s="72"/>
      <c r="AE77" s="72"/>
      <c r="AF77" s="72"/>
      <c r="AG77" s="72"/>
      <c r="AH77" s="72"/>
      <c r="AI77" s="72"/>
      <c r="AJ77" s="72"/>
      <c r="AK77" s="72"/>
      <c r="AL77" s="72"/>
      <c r="AM77" s="72"/>
      <c r="AN77" s="72"/>
      <c r="AO77" s="72"/>
      <c r="AP77" s="72"/>
      <c r="AQ77" s="72"/>
    </row>
    <row r="78" spans="2:43" s="39" customFormat="1" ht="10.5" customHeight="1" x14ac:dyDescent="0.2">
      <c r="B78" s="131"/>
      <c r="C78" s="163"/>
      <c r="D78" s="163" t="s">
        <v>194</v>
      </c>
      <c r="E78" s="188"/>
      <c r="F78" s="186"/>
      <c r="G78" s="186"/>
      <c r="H78" s="186"/>
      <c r="I78" s="186">
        <f>7292.77+20552.79+39675.28+40393.12+44219.44+45456.39-17396.39+29971.93-2144.13</f>
        <v>208021.19999999995</v>
      </c>
      <c r="J78" s="163"/>
      <c r="K78" s="163" t="s">
        <v>193</v>
      </c>
      <c r="L78" s="163"/>
      <c r="N78" s="75"/>
      <c r="O78" s="72"/>
      <c r="P78" s="72"/>
      <c r="Q78" s="62"/>
      <c r="R78" s="50"/>
      <c r="S78" s="76"/>
      <c r="T78" s="62"/>
      <c r="U78" s="50"/>
      <c r="V78" s="72"/>
      <c r="W78" s="72"/>
      <c r="X78" s="72"/>
      <c r="Y78" s="72"/>
      <c r="Z78" s="7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</row>
    <row r="79" spans="2:43" s="39" customFormat="1" ht="11.1" customHeight="1" thickBot="1" x14ac:dyDescent="0.25">
      <c r="B79" s="183" t="s">
        <v>198</v>
      </c>
      <c r="C79" s="163"/>
      <c r="D79" s="163"/>
      <c r="E79" s="190"/>
      <c r="F79" s="191">
        <f>SUM(F73:F78)</f>
        <v>1040108.1399999999</v>
      </c>
      <c r="G79" s="192"/>
      <c r="H79" s="190"/>
      <c r="I79" s="191">
        <f>SUM(I73:I78)</f>
        <v>1040108.1399999999</v>
      </c>
      <c r="J79" s="186"/>
      <c r="K79" s="163"/>
      <c r="L79" s="163"/>
      <c r="N79" s="75"/>
      <c r="O79" s="72"/>
      <c r="P79" s="72"/>
      <c r="Q79" s="62"/>
      <c r="R79" s="50"/>
      <c r="S79" s="54"/>
      <c r="T79" s="62"/>
      <c r="U79" s="50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  <c r="AP79" s="72"/>
      <c r="AQ79" s="72"/>
    </row>
    <row r="80" spans="2:43" s="39" customFormat="1" ht="11.1" customHeight="1" thickTop="1" x14ac:dyDescent="0.2">
      <c r="B80" s="183"/>
      <c r="C80" s="163"/>
      <c r="D80" s="163"/>
      <c r="E80" s="193"/>
      <c r="F80" s="78"/>
      <c r="G80" s="79"/>
      <c r="H80" s="193"/>
      <c r="I80" s="78"/>
      <c r="J80" s="186"/>
      <c r="K80" s="163"/>
      <c r="L80" s="163"/>
      <c r="N80" s="75"/>
      <c r="O80" s="72"/>
      <c r="P80" s="72"/>
      <c r="Q80" s="62"/>
      <c r="R80" s="50"/>
      <c r="S80" s="54"/>
      <c r="T80" s="62"/>
      <c r="U80" s="50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2"/>
      <c r="AQ80" s="72"/>
    </row>
    <row r="81" spans="2:43" s="39" customFormat="1" ht="15.75" customHeight="1" x14ac:dyDescent="0.25">
      <c r="B81" s="129" t="s">
        <v>250</v>
      </c>
      <c r="C81" s="163"/>
      <c r="D81" s="168" t="s">
        <v>243</v>
      </c>
      <c r="E81" s="193"/>
      <c r="F81" s="78"/>
      <c r="G81" s="79"/>
      <c r="H81" s="193"/>
      <c r="I81" s="78"/>
      <c r="J81" s="186"/>
      <c r="K81" s="163"/>
      <c r="L81" s="163"/>
      <c r="N81" s="75"/>
      <c r="O81" s="72"/>
      <c r="P81" s="72"/>
      <c r="Q81" s="62"/>
      <c r="R81" s="50"/>
      <c r="S81" s="54"/>
      <c r="T81" s="62"/>
      <c r="U81" s="50"/>
      <c r="V81" s="72"/>
      <c r="W81" s="72"/>
      <c r="X81" s="72"/>
      <c r="Y81" s="72"/>
      <c r="Z81" s="72"/>
      <c r="AA81" s="72"/>
      <c r="AB81" s="72"/>
      <c r="AC81" s="72"/>
      <c r="AD81" s="72"/>
      <c r="AE81" s="72"/>
      <c r="AF81" s="72"/>
      <c r="AG81" s="72"/>
      <c r="AH81" s="72"/>
      <c r="AI81" s="72"/>
      <c r="AJ81" s="72"/>
      <c r="AK81" s="72"/>
      <c r="AL81" s="72"/>
      <c r="AM81" s="72"/>
      <c r="AN81" s="72"/>
      <c r="AO81" s="72"/>
      <c r="AP81" s="72"/>
      <c r="AQ81" s="72"/>
    </row>
    <row r="82" spans="2:43" s="39" customFormat="1" ht="11.1" customHeight="1" x14ac:dyDescent="0.2">
      <c r="B82" s="183"/>
      <c r="C82" s="163"/>
      <c r="D82" s="170"/>
      <c r="E82" s="193"/>
      <c r="F82" s="78"/>
      <c r="G82" s="79"/>
      <c r="H82" s="193"/>
      <c r="I82" s="78"/>
      <c r="J82" s="186"/>
      <c r="K82" s="163"/>
      <c r="L82" s="163"/>
      <c r="N82" s="75"/>
      <c r="O82" s="72"/>
      <c r="P82" s="72"/>
      <c r="Q82" s="62"/>
      <c r="R82" s="50"/>
      <c r="S82" s="54"/>
      <c r="T82" s="62"/>
      <c r="U82" s="50"/>
      <c r="V82" s="72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72"/>
      <c r="AH82" s="72"/>
      <c r="AI82" s="72"/>
      <c r="AJ82" s="72"/>
      <c r="AK82" s="72"/>
      <c r="AL82" s="72"/>
      <c r="AM82" s="72"/>
      <c r="AN82" s="72"/>
      <c r="AO82" s="72"/>
      <c r="AP82" s="72"/>
      <c r="AQ82" s="72"/>
    </row>
    <row r="83" spans="2:43" s="39" customFormat="1" ht="11.1" customHeight="1" x14ac:dyDescent="0.2">
      <c r="B83" s="183"/>
      <c r="C83" s="163"/>
      <c r="D83" s="180" t="s">
        <v>195</v>
      </c>
      <c r="E83" s="181"/>
      <c r="F83" s="157">
        <f>650853</f>
        <v>650853</v>
      </c>
      <c r="G83" s="157"/>
      <c r="H83" s="157"/>
      <c r="I83" s="157">
        <f>105943</f>
        <v>105943</v>
      </c>
      <c r="J83" s="186"/>
      <c r="K83" s="163"/>
      <c r="L83" s="163"/>
      <c r="N83" s="75"/>
      <c r="O83" s="72"/>
      <c r="P83" s="72"/>
      <c r="Q83" s="62"/>
      <c r="R83" s="50"/>
      <c r="S83" s="54"/>
      <c r="T83" s="62"/>
      <c r="U83" s="50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  <c r="AK83" s="72"/>
      <c r="AL83" s="72"/>
      <c r="AM83" s="72"/>
      <c r="AN83" s="72"/>
      <c r="AO83" s="72"/>
      <c r="AP83" s="72"/>
      <c r="AQ83" s="72"/>
    </row>
    <row r="84" spans="2:43" s="39" customFormat="1" ht="11.1" customHeight="1" x14ac:dyDescent="0.2">
      <c r="B84" s="183"/>
      <c r="C84" s="163"/>
      <c r="D84" s="163" t="s">
        <v>297</v>
      </c>
      <c r="E84" s="193"/>
      <c r="F84" s="186">
        <v>105943</v>
      </c>
      <c r="G84" s="186"/>
      <c r="H84" s="186"/>
      <c r="I84" s="186"/>
      <c r="J84" s="186"/>
      <c r="K84" s="163"/>
      <c r="L84" s="163"/>
      <c r="N84" s="75"/>
      <c r="O84" s="72"/>
      <c r="P84" s="72"/>
      <c r="Q84" s="62"/>
      <c r="R84" s="50"/>
      <c r="S84" s="54"/>
      <c r="T84" s="62"/>
      <c r="U84" s="50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  <c r="AN84" s="72"/>
      <c r="AO84" s="72"/>
      <c r="AP84" s="72"/>
      <c r="AQ84" s="72"/>
    </row>
    <row r="85" spans="2:43" s="39" customFormat="1" ht="11.1" customHeight="1" x14ac:dyDescent="0.2">
      <c r="B85" s="183"/>
      <c r="C85" s="163"/>
      <c r="D85" s="163" t="s">
        <v>298</v>
      </c>
      <c r="E85" s="193"/>
      <c r="F85" s="186"/>
      <c r="G85" s="186"/>
      <c r="H85" s="186"/>
      <c r="I85" s="196">
        <v>176228</v>
      </c>
      <c r="J85" s="186"/>
      <c r="K85" s="163"/>
      <c r="L85" s="163"/>
      <c r="N85" s="75"/>
      <c r="O85" s="72"/>
      <c r="P85" s="72"/>
      <c r="Q85" s="62"/>
      <c r="R85" s="50"/>
      <c r="S85" s="54"/>
      <c r="T85" s="62"/>
      <c r="U85" s="50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72"/>
      <c r="AP85" s="72"/>
      <c r="AQ85" s="72"/>
    </row>
    <row r="86" spans="2:43" s="39" customFormat="1" ht="11.1" customHeight="1" x14ac:dyDescent="0.2">
      <c r="B86" s="183"/>
      <c r="C86" s="163">
        <v>39</v>
      </c>
      <c r="D86" s="163" t="s">
        <v>300</v>
      </c>
      <c r="E86" s="193"/>
      <c r="F86" s="186"/>
      <c r="G86" s="186"/>
      <c r="H86" s="186"/>
      <c r="I86" s="196">
        <v>423772</v>
      </c>
      <c r="J86" s="186"/>
      <c r="K86" s="163"/>
      <c r="L86" s="163"/>
      <c r="N86" s="75"/>
      <c r="O86" s="72"/>
      <c r="P86" s="72"/>
      <c r="Q86" s="62"/>
      <c r="R86" s="50"/>
      <c r="S86" s="54"/>
      <c r="T86" s="62"/>
      <c r="U86" s="50"/>
      <c r="V86" s="72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2"/>
      <c r="AH86" s="72"/>
      <c r="AI86" s="72"/>
      <c r="AJ86" s="72"/>
      <c r="AK86" s="72"/>
      <c r="AL86" s="72"/>
      <c r="AM86" s="72"/>
      <c r="AN86" s="72"/>
      <c r="AO86" s="72"/>
      <c r="AP86" s="72"/>
      <c r="AQ86" s="72"/>
    </row>
    <row r="87" spans="2:43" s="39" customFormat="1" ht="11.1" customHeight="1" x14ac:dyDescent="0.2">
      <c r="B87" s="183"/>
      <c r="C87" s="163">
        <v>35</v>
      </c>
      <c r="D87" s="163" t="s">
        <v>299</v>
      </c>
      <c r="E87" s="193"/>
      <c r="F87" s="78"/>
      <c r="G87" s="79"/>
      <c r="H87" s="193"/>
      <c r="I87" s="186">
        <v>50853</v>
      </c>
      <c r="J87" s="186"/>
      <c r="K87" s="163"/>
      <c r="L87" s="163"/>
      <c r="N87" s="75"/>
      <c r="O87" s="72"/>
      <c r="P87" s="72"/>
      <c r="Q87" s="62"/>
      <c r="R87" s="50"/>
      <c r="S87" s="54"/>
      <c r="T87" s="62"/>
      <c r="U87" s="50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2"/>
      <c r="AL87" s="72"/>
      <c r="AM87" s="72"/>
      <c r="AN87" s="72"/>
      <c r="AO87" s="72"/>
      <c r="AP87" s="72"/>
      <c r="AQ87" s="72"/>
    </row>
    <row r="88" spans="2:43" s="39" customFormat="1" ht="11.1" customHeight="1" thickBot="1" x14ac:dyDescent="0.25">
      <c r="B88" s="183"/>
      <c r="C88" s="163"/>
      <c r="D88" s="170" t="s">
        <v>296</v>
      </c>
      <c r="E88" s="190"/>
      <c r="F88" s="191">
        <f>SUM(F81:F87)</f>
        <v>756796</v>
      </c>
      <c r="G88" s="192"/>
      <c r="H88" s="190"/>
      <c r="I88" s="191">
        <f>SUM(I81:I87)</f>
        <v>756796</v>
      </c>
      <c r="J88" s="186"/>
      <c r="K88" s="163"/>
      <c r="L88" s="163"/>
      <c r="N88" s="75"/>
      <c r="O88" s="72"/>
      <c r="P88" s="72"/>
      <c r="Q88" s="62"/>
      <c r="R88" s="50"/>
      <c r="S88" s="54"/>
      <c r="T88" s="62"/>
      <c r="U88" s="50"/>
      <c r="V88" s="72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72"/>
      <c r="AH88" s="72"/>
      <c r="AI88" s="72"/>
      <c r="AJ88" s="72"/>
      <c r="AK88" s="72"/>
      <c r="AL88" s="72"/>
      <c r="AM88" s="72"/>
      <c r="AN88" s="72"/>
      <c r="AO88" s="72"/>
      <c r="AP88" s="72"/>
      <c r="AQ88" s="72"/>
    </row>
    <row r="89" spans="2:43" s="39" customFormat="1" ht="11.1" customHeight="1" thickTop="1" x14ac:dyDescent="0.2">
      <c r="B89" s="183"/>
      <c r="C89" s="163"/>
      <c r="D89" s="163"/>
      <c r="E89" s="193"/>
      <c r="F89" s="78"/>
      <c r="G89" s="79"/>
      <c r="H89" s="193"/>
      <c r="I89" s="78"/>
      <c r="J89" s="186"/>
      <c r="K89" s="163"/>
      <c r="L89" s="163"/>
      <c r="N89" s="75"/>
      <c r="O89" s="72"/>
      <c r="P89" s="72"/>
      <c r="Q89" s="62"/>
      <c r="R89" s="50"/>
      <c r="S89" s="54"/>
      <c r="T89" s="62"/>
      <c r="U89" s="50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2"/>
      <c r="AK89" s="72"/>
      <c r="AL89" s="72"/>
      <c r="AM89" s="72"/>
      <c r="AN89" s="72"/>
      <c r="AO89" s="72"/>
      <c r="AP89" s="72"/>
      <c r="AQ89" s="72"/>
    </row>
    <row r="90" spans="2:43" s="185" customFormat="1" ht="11.1" customHeight="1" x14ac:dyDescent="0.2">
      <c r="B90" s="183"/>
      <c r="C90" s="163"/>
      <c r="D90" s="163"/>
      <c r="E90" s="193"/>
      <c r="F90" s="78"/>
      <c r="G90" s="79"/>
      <c r="H90" s="193"/>
      <c r="I90" s="78"/>
      <c r="J90" s="186"/>
      <c r="K90" s="163"/>
      <c r="L90" s="163"/>
      <c r="N90" s="75"/>
      <c r="O90" s="168"/>
      <c r="P90" s="168"/>
      <c r="Q90" s="193"/>
      <c r="R90" s="187"/>
      <c r="S90" s="54"/>
      <c r="T90" s="193"/>
      <c r="U90" s="187"/>
      <c r="V90" s="168"/>
      <c r="W90" s="168"/>
      <c r="X90" s="168"/>
      <c r="Y90" s="168"/>
      <c r="Z90" s="168"/>
      <c r="AA90" s="168"/>
      <c r="AB90" s="168"/>
      <c r="AC90" s="168"/>
      <c r="AD90" s="168"/>
      <c r="AE90" s="168"/>
      <c r="AF90" s="168"/>
      <c r="AG90" s="168"/>
      <c r="AH90" s="168"/>
      <c r="AI90" s="168"/>
      <c r="AJ90" s="168"/>
      <c r="AK90" s="168"/>
      <c r="AL90" s="168"/>
      <c r="AM90" s="168"/>
      <c r="AN90" s="168"/>
      <c r="AO90" s="168"/>
      <c r="AP90" s="168"/>
      <c r="AQ90" s="168"/>
    </row>
    <row r="91" spans="2:43" s="185" customFormat="1" ht="16.5" customHeight="1" x14ac:dyDescent="0.25">
      <c r="B91" s="129" t="s">
        <v>251</v>
      </c>
      <c r="C91" s="163"/>
      <c r="D91" s="168" t="s">
        <v>243</v>
      </c>
      <c r="E91" s="193"/>
      <c r="F91" s="186"/>
      <c r="G91" s="186"/>
      <c r="H91" s="186"/>
      <c r="I91" s="186"/>
      <c r="J91" s="186"/>
      <c r="K91" s="163"/>
      <c r="L91" s="129" t="s">
        <v>251</v>
      </c>
      <c r="M91" s="163"/>
      <c r="N91" s="168" t="s">
        <v>243</v>
      </c>
      <c r="O91" s="193"/>
      <c r="P91" s="186"/>
      <c r="Q91" s="186"/>
      <c r="R91" s="186"/>
      <c r="S91" s="186"/>
      <c r="T91" s="193"/>
      <c r="U91" s="187"/>
      <c r="V91" s="168"/>
      <c r="W91" s="168"/>
      <c r="X91" s="168"/>
      <c r="Y91" s="168"/>
      <c r="Z91" s="168"/>
      <c r="AA91" s="168"/>
      <c r="AB91" s="168"/>
      <c r="AC91" s="168"/>
      <c r="AD91" s="168"/>
      <c r="AE91" s="168"/>
      <c r="AF91" s="168"/>
      <c r="AG91" s="168"/>
      <c r="AH91" s="168"/>
      <c r="AI91" s="168"/>
      <c r="AJ91" s="168"/>
      <c r="AK91" s="168"/>
      <c r="AL91" s="168"/>
      <c r="AM91" s="168"/>
      <c r="AN91" s="168"/>
      <c r="AO91" s="168"/>
      <c r="AP91" s="168"/>
      <c r="AQ91" s="168"/>
    </row>
    <row r="92" spans="2:43" s="185" customFormat="1" ht="11.1" customHeight="1" x14ac:dyDescent="0.2">
      <c r="B92" s="183"/>
      <c r="C92" s="163"/>
      <c r="D92" s="194" t="s">
        <v>302</v>
      </c>
      <c r="E92" s="116"/>
      <c r="F92" s="196">
        <f>458088.39-423772</f>
        <v>34316.390000000014</v>
      </c>
      <c r="G92" s="186"/>
      <c r="H92" s="186"/>
      <c r="I92" s="186"/>
      <c r="J92" s="186"/>
      <c r="K92" s="163"/>
      <c r="L92" s="227"/>
      <c r="M92" s="163"/>
      <c r="N92" s="194" t="s">
        <v>302</v>
      </c>
      <c r="O92" s="116"/>
      <c r="P92" s="196">
        <f>458088.39-423772</f>
        <v>34316.390000000014</v>
      </c>
      <c r="Q92" s="186"/>
      <c r="R92" s="186"/>
      <c r="S92" s="186"/>
      <c r="T92" s="193"/>
      <c r="U92" s="187"/>
      <c r="V92" s="168"/>
      <c r="W92" s="168"/>
      <c r="X92" s="168"/>
      <c r="Y92" s="168"/>
      <c r="Z92" s="168"/>
      <c r="AA92" s="168"/>
      <c r="AB92" s="168"/>
      <c r="AC92" s="168"/>
      <c r="AD92" s="168"/>
      <c r="AE92" s="168"/>
      <c r="AF92" s="168"/>
      <c r="AG92" s="168"/>
      <c r="AH92" s="168"/>
      <c r="AI92" s="168"/>
      <c r="AJ92" s="168"/>
      <c r="AK92" s="168"/>
      <c r="AL92" s="168"/>
      <c r="AM92" s="168"/>
      <c r="AN92" s="168"/>
      <c r="AO92" s="168"/>
      <c r="AP92" s="168"/>
      <c r="AQ92" s="168"/>
    </row>
    <row r="93" spans="2:43" s="185" customFormat="1" ht="11.1" customHeight="1" x14ac:dyDescent="0.2">
      <c r="B93" s="183"/>
      <c r="C93" s="163"/>
      <c r="D93" s="163" t="s">
        <v>356</v>
      </c>
      <c r="E93" s="193"/>
      <c r="F93" s="186"/>
      <c r="G93" s="186"/>
      <c r="H93" s="186"/>
      <c r="I93" s="186">
        <f>458088.39-423772</f>
        <v>34316.390000000014</v>
      </c>
      <c r="J93" s="186"/>
      <c r="K93" s="163"/>
      <c r="L93" s="227"/>
      <c r="M93" s="163"/>
      <c r="N93" s="163" t="s">
        <v>356</v>
      </c>
      <c r="O93" s="193"/>
      <c r="P93" s="186"/>
      <c r="Q93" s="186"/>
      <c r="R93" s="186"/>
      <c r="S93" s="186">
        <f>458088.39-423772</f>
        <v>34316.390000000014</v>
      </c>
      <c r="T93" s="193"/>
      <c r="U93" s="187"/>
      <c r="V93" s="168"/>
      <c r="W93" s="168"/>
      <c r="X93" s="168"/>
      <c r="Y93" s="168"/>
      <c r="Z93" s="168"/>
      <c r="AA93" s="168"/>
      <c r="AB93" s="168"/>
      <c r="AC93" s="168"/>
      <c r="AD93" s="168"/>
      <c r="AE93" s="168"/>
      <c r="AF93" s="168"/>
      <c r="AG93" s="168"/>
      <c r="AH93" s="168"/>
      <c r="AI93" s="168"/>
      <c r="AJ93" s="168"/>
      <c r="AK93" s="168"/>
      <c r="AL93" s="168"/>
      <c r="AM93" s="168"/>
      <c r="AN93" s="168"/>
      <c r="AO93" s="168"/>
      <c r="AP93" s="168"/>
      <c r="AQ93" s="168"/>
    </row>
    <row r="94" spans="2:43" s="185" customFormat="1" ht="11.1" customHeight="1" thickBot="1" x14ac:dyDescent="0.25">
      <c r="B94" s="183"/>
      <c r="C94" s="163"/>
      <c r="D94" s="163" t="s">
        <v>355</v>
      </c>
      <c r="E94" s="190"/>
      <c r="F94" s="191">
        <f>SUM(F91:F93)</f>
        <v>34316.390000000014</v>
      </c>
      <c r="G94" s="192"/>
      <c r="H94" s="190"/>
      <c r="I94" s="191">
        <f>SUM(I91:I93)</f>
        <v>34316.390000000014</v>
      </c>
      <c r="J94" s="186"/>
      <c r="K94" s="163"/>
      <c r="L94" s="227"/>
      <c r="M94" s="163"/>
      <c r="N94" s="163" t="s">
        <v>355</v>
      </c>
      <c r="O94" s="190"/>
      <c r="P94" s="191">
        <f>SUM(P91:P93)</f>
        <v>34316.390000000014</v>
      </c>
      <c r="Q94" s="192"/>
      <c r="R94" s="190"/>
      <c r="S94" s="191">
        <f>SUM(S91:S93)</f>
        <v>34316.390000000014</v>
      </c>
      <c r="T94" s="193"/>
      <c r="U94" s="187"/>
      <c r="V94" s="168"/>
      <c r="W94" s="168"/>
      <c r="X94" s="168"/>
      <c r="Y94" s="168"/>
      <c r="Z94" s="168"/>
      <c r="AA94" s="168"/>
      <c r="AB94" s="168"/>
      <c r="AC94" s="168"/>
      <c r="AD94" s="168"/>
      <c r="AE94" s="168"/>
      <c r="AF94" s="168"/>
      <c r="AG94" s="168"/>
      <c r="AH94" s="168"/>
      <c r="AI94" s="168"/>
      <c r="AJ94" s="168"/>
      <c r="AK94" s="168"/>
      <c r="AL94" s="168"/>
      <c r="AM94" s="168"/>
      <c r="AN94" s="168"/>
      <c r="AO94" s="168"/>
      <c r="AP94" s="168"/>
      <c r="AQ94" s="168"/>
    </row>
    <row r="95" spans="2:43" s="185" customFormat="1" ht="11.1" customHeight="1" thickTop="1" x14ac:dyDescent="0.2">
      <c r="B95" s="183"/>
      <c r="C95" s="163"/>
      <c r="D95" s="163"/>
      <c r="E95" s="193"/>
      <c r="F95" s="78"/>
      <c r="G95" s="79"/>
      <c r="H95" s="193"/>
      <c r="I95" s="78"/>
      <c r="J95" s="186"/>
      <c r="K95" s="163"/>
      <c r="L95" s="163"/>
      <c r="N95" s="75"/>
      <c r="O95" s="168"/>
      <c r="P95" s="168"/>
      <c r="Q95" s="193"/>
      <c r="R95" s="187"/>
      <c r="S95" s="54"/>
      <c r="T95" s="193"/>
      <c r="U95" s="187"/>
      <c r="V95" s="168"/>
      <c r="W95" s="168"/>
      <c r="X95" s="168"/>
      <c r="Y95" s="168"/>
      <c r="Z95" s="168"/>
      <c r="AA95" s="168"/>
      <c r="AB95" s="168"/>
      <c r="AC95" s="168"/>
      <c r="AD95" s="168"/>
      <c r="AE95" s="168"/>
      <c r="AF95" s="168"/>
      <c r="AG95" s="168"/>
      <c r="AH95" s="168"/>
      <c r="AI95" s="168"/>
      <c r="AJ95" s="168"/>
      <c r="AK95" s="168"/>
      <c r="AL95" s="168"/>
      <c r="AM95" s="168"/>
      <c r="AN95" s="168"/>
      <c r="AO95" s="168"/>
      <c r="AP95" s="168"/>
      <c r="AQ95" s="168"/>
    </row>
    <row r="96" spans="2:43" s="185" customFormat="1" ht="7.5" customHeight="1" x14ac:dyDescent="0.2">
      <c r="B96" s="183"/>
      <c r="C96" s="163"/>
      <c r="D96" s="163"/>
      <c r="E96" s="193"/>
      <c r="F96" s="78"/>
      <c r="G96" s="79"/>
      <c r="H96" s="193"/>
      <c r="I96" s="78"/>
      <c r="J96" s="186"/>
      <c r="K96" s="163"/>
      <c r="L96" s="163"/>
      <c r="N96" s="75"/>
      <c r="O96" s="168"/>
      <c r="P96" s="168"/>
      <c r="Q96" s="193"/>
      <c r="R96" s="187"/>
      <c r="S96" s="54"/>
      <c r="T96" s="193"/>
      <c r="U96" s="187"/>
      <c r="V96" s="168"/>
      <c r="W96" s="168"/>
      <c r="X96" s="168"/>
      <c r="Y96" s="168"/>
      <c r="Z96" s="168"/>
      <c r="AA96" s="168"/>
      <c r="AB96" s="168"/>
      <c r="AC96" s="168"/>
      <c r="AD96" s="168"/>
      <c r="AE96" s="168"/>
      <c r="AF96" s="168"/>
      <c r="AG96" s="168"/>
      <c r="AH96" s="168"/>
      <c r="AI96" s="168"/>
      <c r="AJ96" s="168"/>
      <c r="AK96" s="168"/>
      <c r="AL96" s="168"/>
      <c r="AM96" s="168"/>
      <c r="AN96" s="168"/>
      <c r="AO96" s="168"/>
      <c r="AP96" s="168"/>
      <c r="AQ96" s="168"/>
    </row>
    <row r="97" spans="2:43" s="39" customFormat="1" ht="13.5" customHeight="1" x14ac:dyDescent="0.25">
      <c r="B97" s="129" t="s">
        <v>252</v>
      </c>
      <c r="C97" s="163"/>
      <c r="D97" s="168" t="s">
        <v>243</v>
      </c>
      <c r="E97" s="193"/>
      <c r="F97" s="78"/>
      <c r="G97" s="79"/>
      <c r="H97" s="193"/>
      <c r="I97" s="78"/>
      <c r="J97" s="186"/>
      <c r="K97" s="129" t="s">
        <v>252</v>
      </c>
      <c r="L97" s="163"/>
      <c r="M97" s="168" t="s">
        <v>243</v>
      </c>
      <c r="N97" s="193"/>
      <c r="O97" s="78"/>
      <c r="P97" s="79"/>
      <c r="Q97" s="193"/>
      <c r="R97" s="78"/>
      <c r="S97" s="62"/>
      <c r="T97" s="78"/>
      <c r="U97" s="50"/>
      <c r="V97" s="72"/>
      <c r="W97" s="72"/>
      <c r="X97" s="72"/>
      <c r="Y97" s="72"/>
      <c r="Z97" s="72"/>
      <c r="AA97" s="72"/>
      <c r="AB97" s="72"/>
      <c r="AC97" s="72"/>
      <c r="AD97" s="72"/>
      <c r="AE97" s="72"/>
      <c r="AF97" s="72"/>
      <c r="AG97" s="72"/>
      <c r="AH97" s="72"/>
      <c r="AI97" s="72"/>
      <c r="AJ97" s="72"/>
      <c r="AK97" s="72"/>
      <c r="AL97" s="72"/>
      <c r="AM97" s="72"/>
      <c r="AN97" s="72"/>
      <c r="AO97" s="72"/>
      <c r="AP97" s="72"/>
      <c r="AQ97" s="72"/>
    </row>
    <row r="98" spans="2:43" s="39" customFormat="1" ht="11.1" customHeight="1" x14ac:dyDescent="0.2">
      <c r="B98" s="183"/>
      <c r="C98" s="163">
        <v>39</v>
      </c>
      <c r="D98" s="163" t="s">
        <v>300</v>
      </c>
      <c r="E98" s="193"/>
      <c r="F98" s="186">
        <f>458088.39</f>
        <v>458088.39</v>
      </c>
      <c r="G98" s="186"/>
      <c r="H98" s="186"/>
      <c r="I98" s="186"/>
      <c r="J98" s="186"/>
      <c r="K98" s="227"/>
      <c r="L98" s="163">
        <v>39</v>
      </c>
      <c r="M98" s="163" t="s">
        <v>300</v>
      </c>
      <c r="N98" s="193"/>
      <c r="O98" s="186">
        <v>423772</v>
      </c>
      <c r="P98" s="186"/>
      <c r="Q98" s="186"/>
      <c r="R98" s="186"/>
      <c r="S98" s="62"/>
      <c r="T98" s="78"/>
      <c r="U98" s="50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2"/>
      <c r="AG98" s="72"/>
      <c r="AH98" s="72"/>
      <c r="AI98" s="72"/>
      <c r="AJ98" s="72"/>
      <c r="AK98" s="72"/>
      <c r="AL98" s="72"/>
      <c r="AM98" s="72"/>
      <c r="AN98" s="72"/>
      <c r="AO98" s="72"/>
      <c r="AP98" s="72"/>
      <c r="AQ98" s="72"/>
    </row>
    <row r="99" spans="2:43" s="39" customFormat="1" ht="11.1" customHeight="1" x14ac:dyDescent="0.2">
      <c r="B99" s="183"/>
      <c r="C99" s="163"/>
      <c r="D99" s="163" t="s">
        <v>301</v>
      </c>
      <c r="E99" s="193"/>
      <c r="F99" s="186">
        <f>F98*0.25</f>
        <v>114522.0975</v>
      </c>
      <c r="G99" s="186"/>
      <c r="H99" s="186"/>
      <c r="I99" s="186"/>
      <c r="J99" s="186"/>
      <c r="K99" s="227"/>
      <c r="L99" s="163"/>
      <c r="M99" s="163" t="s">
        <v>301</v>
      </c>
      <c r="N99" s="193"/>
      <c r="O99" s="186">
        <f>O98*0.25</f>
        <v>105943</v>
      </c>
      <c r="P99" s="186"/>
      <c r="Q99" s="186"/>
      <c r="R99" s="186"/>
      <c r="S99" s="62"/>
      <c r="T99" s="78"/>
      <c r="U99" s="50"/>
      <c r="V99" s="72"/>
      <c r="W99" s="72"/>
      <c r="X99" s="72"/>
      <c r="Y99" s="72"/>
      <c r="Z99" s="72"/>
      <c r="AA99" s="72"/>
      <c r="AB99" s="72"/>
      <c r="AC99" s="72"/>
      <c r="AD99" s="72"/>
      <c r="AE99" s="72"/>
      <c r="AF99" s="72"/>
      <c r="AG99" s="72"/>
      <c r="AH99" s="72"/>
      <c r="AI99" s="72"/>
      <c r="AJ99" s="72"/>
      <c r="AK99" s="72"/>
      <c r="AL99" s="72"/>
      <c r="AM99" s="72"/>
      <c r="AN99" s="72"/>
      <c r="AO99" s="72"/>
      <c r="AP99" s="72"/>
      <c r="AQ99" s="72"/>
    </row>
    <row r="100" spans="2:43" s="39" customFormat="1" ht="11.1" customHeight="1" x14ac:dyDescent="0.2">
      <c r="B100" s="183"/>
      <c r="C100" s="163"/>
      <c r="D100" s="163" t="s">
        <v>297</v>
      </c>
      <c r="E100" s="193"/>
      <c r="F100" s="186"/>
      <c r="G100" s="186"/>
      <c r="H100" s="186"/>
      <c r="I100" s="186">
        <f>F99</f>
        <v>114522.0975</v>
      </c>
      <c r="J100" s="186"/>
      <c r="K100" s="227"/>
      <c r="L100" s="163"/>
      <c r="M100" s="163" t="s">
        <v>297</v>
      </c>
      <c r="N100" s="193"/>
      <c r="O100" s="186"/>
      <c r="P100" s="186"/>
      <c r="Q100" s="186"/>
      <c r="R100" s="186">
        <f>O99</f>
        <v>105943</v>
      </c>
      <c r="S100" s="62"/>
      <c r="T100" s="78"/>
      <c r="U100" s="50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  <c r="AF100" s="72"/>
      <c r="AG100" s="72"/>
      <c r="AH100" s="72"/>
      <c r="AI100" s="72"/>
      <c r="AJ100" s="72"/>
      <c r="AK100" s="72"/>
      <c r="AL100" s="72"/>
      <c r="AM100" s="72"/>
      <c r="AN100" s="72"/>
      <c r="AO100" s="72"/>
      <c r="AP100" s="72"/>
      <c r="AQ100" s="72"/>
    </row>
    <row r="101" spans="2:43" s="39" customFormat="1" ht="11.1" customHeight="1" x14ac:dyDescent="0.2">
      <c r="B101" s="183"/>
      <c r="C101" s="163"/>
      <c r="D101" s="163" t="s">
        <v>302</v>
      </c>
      <c r="E101" s="193"/>
      <c r="F101" s="186"/>
      <c r="G101" s="186"/>
      <c r="H101" s="186"/>
      <c r="I101" s="186">
        <f>F98</f>
        <v>458088.39</v>
      </c>
      <c r="J101" s="186"/>
      <c r="K101" s="227"/>
      <c r="L101" s="163"/>
      <c r="M101" s="163" t="s">
        <v>302</v>
      </c>
      <c r="N101" s="193"/>
      <c r="O101" s="186"/>
      <c r="P101" s="186"/>
      <c r="Q101" s="186"/>
      <c r="R101" s="186">
        <f>O98</f>
        <v>423772</v>
      </c>
      <c r="S101" s="62"/>
      <c r="T101" s="78"/>
      <c r="U101" s="50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</row>
    <row r="102" spans="2:43" s="39" customFormat="1" ht="11.1" customHeight="1" x14ac:dyDescent="0.2">
      <c r="B102" s="183"/>
      <c r="C102" s="163"/>
      <c r="D102" s="163" t="s">
        <v>299</v>
      </c>
      <c r="E102" s="193"/>
      <c r="F102" s="186">
        <v>13311</v>
      </c>
      <c r="G102" s="186"/>
      <c r="H102" s="186"/>
      <c r="I102" s="186"/>
      <c r="J102" s="186"/>
      <c r="K102" s="227"/>
      <c r="L102" s="163"/>
      <c r="M102" s="163" t="s">
        <v>299</v>
      </c>
      <c r="N102" s="193"/>
      <c r="O102" s="186">
        <v>13311</v>
      </c>
      <c r="P102" s="186"/>
      <c r="Q102" s="186"/>
      <c r="R102" s="186"/>
      <c r="S102" s="62"/>
      <c r="T102" s="78"/>
      <c r="U102" s="50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</row>
    <row r="103" spans="2:43" s="39" customFormat="1" ht="11.1" customHeight="1" x14ac:dyDescent="0.2">
      <c r="B103" s="183"/>
      <c r="C103" s="163"/>
      <c r="D103" s="163" t="s">
        <v>303</v>
      </c>
      <c r="E103" s="193"/>
      <c r="F103" s="186"/>
      <c r="G103" s="186"/>
      <c r="H103" s="186"/>
      <c r="I103" s="186">
        <f>F102</f>
        <v>13311</v>
      </c>
      <c r="J103" s="186"/>
      <c r="K103" s="227"/>
      <c r="L103" s="163"/>
      <c r="M103" s="163" t="s">
        <v>303</v>
      </c>
      <c r="N103" s="193"/>
      <c r="O103" s="186"/>
      <c r="P103" s="186"/>
      <c r="Q103" s="186"/>
      <c r="R103" s="186">
        <f>O102</f>
        <v>13311</v>
      </c>
      <c r="S103" s="62"/>
      <c r="T103" s="78"/>
      <c r="U103" s="50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</row>
    <row r="104" spans="2:43" s="39" customFormat="1" ht="11.1" customHeight="1" thickBot="1" x14ac:dyDescent="0.25">
      <c r="B104" s="183" t="s">
        <v>324</v>
      </c>
      <c r="C104" s="163"/>
      <c r="D104" s="163"/>
      <c r="E104" s="190"/>
      <c r="F104" s="191">
        <f>SUM(F97:F103)</f>
        <v>585921.48750000005</v>
      </c>
      <c r="G104" s="192"/>
      <c r="H104" s="190"/>
      <c r="I104" s="191">
        <f>SUM(I97:I103)</f>
        <v>585921.48750000005</v>
      </c>
      <c r="J104" s="186"/>
      <c r="K104" s="227" t="s">
        <v>324</v>
      </c>
      <c r="L104" s="163"/>
      <c r="M104" s="163"/>
      <c r="N104" s="190"/>
      <c r="O104" s="191">
        <f>SUM(O97:O103)</f>
        <v>543026</v>
      </c>
      <c r="P104" s="192"/>
      <c r="Q104" s="190"/>
      <c r="R104" s="191">
        <f>SUM(R97:R103)</f>
        <v>543026</v>
      </c>
      <c r="S104" s="58"/>
      <c r="T104" s="59"/>
      <c r="U104" s="50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  <c r="AF104" s="72"/>
      <c r="AG104" s="72"/>
      <c r="AH104" s="72"/>
      <c r="AI104" s="72"/>
      <c r="AJ104" s="72"/>
      <c r="AK104" s="72"/>
      <c r="AL104" s="72"/>
      <c r="AM104" s="72"/>
      <c r="AN104" s="72"/>
      <c r="AO104" s="72"/>
      <c r="AP104" s="72"/>
      <c r="AQ104" s="72"/>
    </row>
    <row r="105" spans="2:43" s="39" customFormat="1" ht="11.1" customHeight="1" thickTop="1" x14ac:dyDescent="0.2">
      <c r="B105" s="183"/>
      <c r="C105" s="163"/>
      <c r="D105" s="163"/>
      <c r="E105" s="193"/>
      <c r="F105" s="78"/>
      <c r="G105" s="79"/>
      <c r="H105" s="193"/>
      <c r="I105" s="78"/>
      <c r="J105" s="186"/>
      <c r="K105" s="163"/>
      <c r="L105" s="163"/>
      <c r="N105" s="75"/>
      <c r="O105" s="72"/>
      <c r="P105" s="72"/>
      <c r="Q105" s="62"/>
      <c r="R105" s="50"/>
      <c r="S105" s="54"/>
      <c r="T105" s="62"/>
      <c r="U105" s="50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2"/>
      <c r="AI105" s="72"/>
      <c r="AJ105" s="72"/>
      <c r="AK105" s="72"/>
      <c r="AL105" s="72"/>
      <c r="AM105" s="72"/>
      <c r="AN105" s="72"/>
      <c r="AO105" s="72"/>
      <c r="AP105" s="72"/>
      <c r="AQ105" s="72"/>
    </row>
    <row r="106" spans="2:43" s="162" customFormat="1" ht="11.1" customHeight="1" x14ac:dyDescent="0.2">
      <c r="B106" s="183"/>
      <c r="C106" s="163"/>
      <c r="D106" s="163"/>
      <c r="E106" s="193"/>
      <c r="F106" s="78"/>
      <c r="G106" s="79"/>
      <c r="H106" s="193"/>
      <c r="I106" s="78"/>
      <c r="J106" s="186"/>
      <c r="K106" s="163"/>
      <c r="L106" s="163"/>
      <c r="N106" s="75"/>
      <c r="O106" s="168"/>
      <c r="P106" s="168"/>
      <c r="Q106" s="62"/>
      <c r="R106" s="165"/>
      <c r="S106" s="54"/>
      <c r="T106" s="62"/>
      <c r="U106" s="165"/>
      <c r="V106" s="168"/>
      <c r="W106" s="168"/>
      <c r="X106" s="168"/>
      <c r="Y106" s="168"/>
      <c r="Z106" s="168"/>
      <c r="AA106" s="168"/>
      <c r="AB106" s="168"/>
      <c r="AC106" s="168"/>
      <c r="AD106" s="168"/>
      <c r="AE106" s="168"/>
      <c r="AF106" s="168"/>
      <c r="AG106" s="168"/>
      <c r="AH106" s="168"/>
      <c r="AI106" s="168"/>
      <c r="AJ106" s="168"/>
      <c r="AK106" s="168"/>
      <c r="AL106" s="168"/>
      <c r="AM106" s="168"/>
      <c r="AN106" s="168"/>
      <c r="AO106" s="168"/>
      <c r="AP106" s="168"/>
      <c r="AQ106" s="168"/>
    </row>
    <row r="107" spans="2:43" s="162" customFormat="1" ht="11.1" customHeight="1" x14ac:dyDescent="0.2">
      <c r="B107" s="183"/>
      <c r="C107" s="163"/>
      <c r="D107" s="163"/>
      <c r="E107" s="193"/>
      <c r="F107" s="78"/>
      <c r="G107" s="79"/>
      <c r="H107" s="193"/>
      <c r="I107" s="78"/>
      <c r="J107" s="186"/>
      <c r="K107" s="163"/>
      <c r="L107" s="163"/>
      <c r="N107" s="75"/>
      <c r="O107" s="168"/>
      <c r="P107" s="168"/>
      <c r="Q107" s="62"/>
      <c r="R107" s="165"/>
      <c r="S107" s="54"/>
      <c r="T107" s="62"/>
      <c r="U107" s="165"/>
      <c r="V107" s="168"/>
      <c r="W107" s="168"/>
      <c r="X107" s="168"/>
      <c r="Y107" s="168"/>
      <c r="Z107" s="168"/>
      <c r="AA107" s="168"/>
      <c r="AB107" s="168"/>
      <c r="AC107" s="168"/>
      <c r="AD107" s="168"/>
      <c r="AE107" s="168"/>
      <c r="AF107" s="168"/>
      <c r="AG107" s="168"/>
      <c r="AH107" s="168"/>
      <c r="AI107" s="168"/>
      <c r="AJ107" s="168"/>
      <c r="AK107" s="168"/>
      <c r="AL107" s="168"/>
      <c r="AM107" s="168"/>
      <c r="AN107" s="168"/>
      <c r="AO107" s="168"/>
      <c r="AP107" s="168"/>
      <c r="AQ107" s="168"/>
    </row>
    <row r="108" spans="2:43" s="162" customFormat="1" ht="11.1" customHeight="1" x14ac:dyDescent="0.2">
      <c r="B108" s="183"/>
      <c r="C108" s="163"/>
      <c r="D108" s="163"/>
      <c r="E108" s="193"/>
      <c r="F108" s="78"/>
      <c r="G108" s="79"/>
      <c r="H108" s="193"/>
      <c r="I108" s="78"/>
      <c r="J108" s="186"/>
      <c r="K108" s="163"/>
      <c r="L108" s="163"/>
      <c r="N108" s="75"/>
      <c r="O108" s="168"/>
      <c r="P108" s="168"/>
      <c r="Q108" s="62"/>
      <c r="R108" s="165"/>
      <c r="S108" s="54"/>
      <c r="T108" s="62"/>
      <c r="U108" s="165"/>
      <c r="V108" s="168"/>
      <c r="W108" s="168"/>
      <c r="X108" s="168"/>
      <c r="Y108" s="168"/>
      <c r="Z108" s="168"/>
      <c r="AA108" s="168"/>
      <c r="AB108" s="168"/>
      <c r="AC108" s="168"/>
      <c r="AD108" s="168"/>
      <c r="AE108" s="168"/>
      <c r="AF108" s="168"/>
      <c r="AG108" s="168"/>
      <c r="AH108" s="168"/>
      <c r="AI108" s="168"/>
      <c r="AJ108" s="168"/>
      <c r="AK108" s="168"/>
      <c r="AL108" s="168"/>
      <c r="AM108" s="168"/>
      <c r="AN108" s="168"/>
      <c r="AO108" s="168"/>
      <c r="AP108" s="168"/>
      <c r="AQ108" s="168"/>
    </row>
    <row r="109" spans="2:43" s="39" customFormat="1" ht="15" customHeight="1" x14ac:dyDescent="0.25">
      <c r="B109" s="129" t="s">
        <v>253</v>
      </c>
      <c r="C109" s="54"/>
      <c r="D109" s="168" t="s">
        <v>243</v>
      </c>
      <c r="E109" s="188"/>
      <c r="F109" s="186"/>
      <c r="G109" s="54"/>
      <c r="H109" s="193"/>
      <c r="I109" s="187"/>
      <c r="J109" s="163"/>
      <c r="K109" s="163"/>
      <c r="L109" s="163"/>
      <c r="N109" s="77"/>
      <c r="O109" s="72"/>
      <c r="P109" s="72"/>
      <c r="Q109" s="62"/>
      <c r="R109" s="78"/>
      <c r="S109" s="79"/>
      <c r="T109" s="62"/>
      <c r="U109" s="78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  <c r="AF109" s="72"/>
      <c r="AG109" s="72"/>
      <c r="AH109" s="72"/>
      <c r="AI109" s="72"/>
      <c r="AJ109" s="72"/>
      <c r="AK109" s="72"/>
      <c r="AL109" s="72"/>
      <c r="AM109" s="72"/>
      <c r="AN109" s="72"/>
      <c r="AO109" s="72"/>
      <c r="AP109" s="72"/>
      <c r="AQ109" s="72"/>
    </row>
    <row r="110" spans="2:43" s="39" customFormat="1" ht="11.1" customHeight="1" x14ac:dyDescent="0.2">
      <c r="B110" s="131"/>
      <c r="C110" s="163"/>
      <c r="D110" s="180" t="s">
        <v>195</v>
      </c>
      <c r="E110" s="198"/>
      <c r="F110" s="157">
        <v>273130</v>
      </c>
      <c r="G110" s="53"/>
      <c r="H110" s="188"/>
      <c r="I110" s="186"/>
      <c r="J110" s="163"/>
      <c r="K110" s="163" t="s">
        <v>199</v>
      </c>
      <c r="L110" s="163"/>
      <c r="M110" s="194" t="s">
        <v>373</v>
      </c>
      <c r="N110" s="72"/>
      <c r="O110" s="72" t="s">
        <v>374</v>
      </c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  <c r="AF110" s="72"/>
      <c r="AG110" s="72"/>
      <c r="AH110" s="72"/>
      <c r="AI110" s="72"/>
      <c r="AJ110" s="72"/>
      <c r="AK110" s="72"/>
      <c r="AL110" s="72"/>
      <c r="AM110" s="72"/>
      <c r="AN110" s="72"/>
      <c r="AO110" s="72"/>
      <c r="AP110" s="72"/>
      <c r="AQ110" s="72"/>
    </row>
    <row r="111" spans="2:43" s="39" customFormat="1" ht="11.1" customHeight="1" x14ac:dyDescent="0.2">
      <c r="B111" s="131"/>
      <c r="C111" s="163"/>
      <c r="D111" s="194" t="s">
        <v>184</v>
      </c>
      <c r="E111" s="195"/>
      <c r="F111" s="196">
        <v>266944.13</v>
      </c>
      <c r="G111" s="53"/>
      <c r="H111" s="188"/>
      <c r="I111" s="186"/>
      <c r="J111" s="163"/>
      <c r="K111" s="163" t="s">
        <v>200</v>
      </c>
      <c r="L111" s="163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  <c r="AF111" s="72"/>
      <c r="AG111" s="72"/>
      <c r="AH111" s="72"/>
      <c r="AI111" s="72"/>
      <c r="AJ111" s="72"/>
      <c r="AK111" s="72"/>
      <c r="AL111" s="72"/>
      <c r="AM111" s="72"/>
      <c r="AN111" s="72"/>
      <c r="AO111" s="72"/>
      <c r="AP111" s="72"/>
      <c r="AQ111" s="72"/>
    </row>
    <row r="112" spans="2:43" s="39" customFormat="1" ht="11.1" customHeight="1" x14ac:dyDescent="0.2">
      <c r="B112" s="131"/>
      <c r="C112" s="163"/>
      <c r="D112" s="194" t="s">
        <v>184</v>
      </c>
      <c r="E112" s="195"/>
      <c r="F112" s="196">
        <f>I115</f>
        <v>32033.295599999998</v>
      </c>
      <c r="G112" s="53"/>
      <c r="H112" s="188"/>
      <c r="I112" s="186"/>
      <c r="J112" s="163"/>
      <c r="K112" s="163" t="s">
        <v>200</v>
      </c>
      <c r="L112" s="163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  <c r="AF112" s="72"/>
      <c r="AG112" s="72"/>
      <c r="AH112" s="72"/>
      <c r="AI112" s="72"/>
      <c r="AJ112" s="72"/>
      <c r="AK112" s="72"/>
      <c r="AL112" s="72"/>
      <c r="AM112" s="72"/>
      <c r="AN112" s="72"/>
      <c r="AO112" s="72"/>
      <c r="AP112" s="72"/>
      <c r="AQ112" s="72"/>
    </row>
    <row r="113" spans="2:43" s="39" customFormat="1" ht="11.1" customHeight="1" x14ac:dyDescent="0.2">
      <c r="B113" s="131"/>
      <c r="C113" s="163"/>
      <c r="D113" s="163" t="s">
        <v>201</v>
      </c>
      <c r="E113" s="188"/>
      <c r="F113" s="186">
        <v>87674.28</v>
      </c>
      <c r="G113" s="53"/>
      <c r="H113" s="188"/>
      <c r="I113" s="186"/>
      <c r="J113" s="163"/>
      <c r="K113" s="163" t="s">
        <v>193</v>
      </c>
      <c r="L113" s="163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  <c r="AF113" s="72"/>
      <c r="AG113" s="72"/>
      <c r="AH113" s="72"/>
      <c r="AI113" s="72"/>
      <c r="AJ113" s="72"/>
      <c r="AK113" s="72"/>
      <c r="AL113" s="72"/>
      <c r="AM113" s="72"/>
      <c r="AN113" s="72"/>
      <c r="AO113" s="72"/>
      <c r="AP113" s="72"/>
      <c r="AQ113" s="72"/>
    </row>
    <row r="114" spans="2:43" s="39" customFormat="1" ht="11.1" customHeight="1" x14ac:dyDescent="0.2">
      <c r="B114" s="131"/>
      <c r="C114" s="163"/>
      <c r="D114" s="163" t="s">
        <v>184</v>
      </c>
      <c r="E114" s="188"/>
      <c r="F114" s="186"/>
      <c r="G114" s="53"/>
      <c r="H114" s="188"/>
      <c r="I114" s="186">
        <f>F113</f>
        <v>87674.28</v>
      </c>
      <c r="J114" s="163"/>
      <c r="K114" s="163" t="s">
        <v>193</v>
      </c>
      <c r="L114" s="163"/>
    </row>
    <row r="115" spans="2:43" s="39" customFormat="1" ht="11.1" customHeight="1" x14ac:dyDescent="0.2">
      <c r="B115" s="131"/>
      <c r="C115" s="163"/>
      <c r="D115" s="163" t="s">
        <v>202</v>
      </c>
      <c r="E115" s="188"/>
      <c r="F115" s="186"/>
      <c r="G115" s="53"/>
      <c r="H115" s="188"/>
      <c r="I115" s="186">
        <f>F111*0.12</f>
        <v>32033.295599999998</v>
      </c>
      <c r="J115" s="163"/>
      <c r="K115" s="163" t="s">
        <v>200</v>
      </c>
      <c r="L115" s="163"/>
    </row>
    <row r="116" spans="2:43" s="39" customFormat="1" ht="10.5" customHeight="1" x14ac:dyDescent="0.2">
      <c r="B116" s="131"/>
      <c r="C116" s="131"/>
      <c r="D116" s="163" t="s">
        <v>203</v>
      </c>
      <c r="E116" s="188"/>
      <c r="F116" s="186"/>
      <c r="G116" s="189"/>
      <c r="H116" s="188"/>
      <c r="I116" s="186">
        <f>F110</f>
        <v>273130</v>
      </c>
      <c r="J116" s="163"/>
      <c r="K116" s="163" t="s">
        <v>199</v>
      </c>
      <c r="L116" s="163"/>
      <c r="N116" s="185"/>
      <c r="O116" s="185"/>
      <c r="P116" s="185"/>
      <c r="Q116" s="185"/>
      <c r="R116" s="185"/>
      <c r="S116" s="185"/>
      <c r="T116" s="185"/>
      <c r="U116" s="185"/>
      <c r="V116" s="185"/>
      <c r="W116" s="185"/>
      <c r="X116" s="185"/>
      <c r="Y116" s="185"/>
    </row>
    <row r="117" spans="2:43" s="39" customFormat="1" ht="10.5" customHeight="1" x14ac:dyDescent="0.2">
      <c r="B117" s="131"/>
      <c r="C117" s="163"/>
      <c r="D117" s="65" t="s">
        <v>204</v>
      </c>
      <c r="E117" s="188"/>
      <c r="F117" s="186"/>
      <c r="G117" s="189"/>
      <c r="H117" s="188"/>
      <c r="I117" s="186">
        <f>F111</f>
        <v>266944.13</v>
      </c>
      <c r="J117" s="163"/>
      <c r="K117" s="163" t="s">
        <v>200</v>
      </c>
      <c r="L117" s="163"/>
      <c r="N117" s="185"/>
      <c r="O117" s="185"/>
      <c r="P117" s="185"/>
      <c r="Q117" s="185"/>
      <c r="R117" s="185"/>
      <c r="S117" s="185"/>
      <c r="T117" s="185"/>
      <c r="U117" s="185"/>
      <c r="V117" s="185"/>
      <c r="W117" s="185"/>
      <c r="X117" s="185"/>
      <c r="Y117" s="185"/>
    </row>
    <row r="118" spans="2:43" s="39" customFormat="1" ht="11.1" customHeight="1" thickBot="1" x14ac:dyDescent="0.25">
      <c r="B118" s="183" t="s">
        <v>211</v>
      </c>
      <c r="C118" s="163"/>
      <c r="D118" s="163"/>
      <c r="E118" s="190"/>
      <c r="F118" s="191">
        <f>SUM(F110:F117)</f>
        <v>659781.70559999999</v>
      </c>
      <c r="G118" s="192"/>
      <c r="H118" s="190"/>
      <c r="I118" s="191">
        <f>SUM(I110:I117)</f>
        <v>659781.70559999999</v>
      </c>
      <c r="J118" s="163"/>
      <c r="K118" s="163"/>
      <c r="L118" s="163"/>
      <c r="N118" s="185"/>
      <c r="O118" s="185"/>
      <c r="P118" s="185"/>
      <c r="Q118" s="185"/>
      <c r="R118" s="185"/>
      <c r="S118" s="185"/>
      <c r="T118" s="185"/>
      <c r="U118" s="185"/>
      <c r="V118" s="185"/>
      <c r="W118" s="185"/>
      <c r="X118" s="185"/>
      <c r="Y118" s="185"/>
    </row>
    <row r="119" spans="2:43" s="39" customFormat="1" ht="11.1" customHeight="1" thickTop="1" x14ac:dyDescent="0.2">
      <c r="B119" s="183"/>
      <c r="C119" s="163"/>
      <c r="D119" s="163"/>
      <c r="E119" s="193"/>
      <c r="F119" s="78"/>
      <c r="G119" s="79"/>
      <c r="H119" s="193"/>
      <c r="I119" s="78"/>
      <c r="J119" s="163"/>
      <c r="K119" s="163"/>
      <c r="L119" s="163"/>
      <c r="N119" s="185"/>
      <c r="O119" s="185"/>
      <c r="P119" s="185"/>
      <c r="Q119" s="185"/>
      <c r="R119" s="185"/>
      <c r="S119" s="185"/>
      <c r="T119" s="185"/>
      <c r="U119" s="185"/>
      <c r="V119" s="185"/>
      <c r="W119" s="185"/>
      <c r="X119" s="185"/>
      <c r="Y119" s="185"/>
    </row>
    <row r="120" spans="2:43" s="39" customFormat="1" ht="11.1" customHeight="1" x14ac:dyDescent="0.2">
      <c r="B120" s="183"/>
      <c r="C120" s="163"/>
      <c r="D120" s="163"/>
      <c r="E120" s="193"/>
      <c r="F120" s="78"/>
      <c r="G120" s="79"/>
      <c r="H120" s="193"/>
      <c r="I120" s="78"/>
      <c r="J120" s="163"/>
      <c r="K120" s="163"/>
      <c r="L120" s="163"/>
      <c r="N120" s="185"/>
      <c r="O120" s="185"/>
      <c r="P120" s="185"/>
      <c r="Q120" s="185"/>
      <c r="R120" s="185"/>
      <c r="S120" s="185"/>
      <c r="T120" s="185"/>
      <c r="U120" s="185"/>
      <c r="V120" s="185"/>
      <c r="W120" s="185"/>
      <c r="X120" s="185"/>
      <c r="Y120" s="185"/>
    </row>
    <row r="121" spans="2:43" s="39" customFormat="1" ht="11.1" customHeight="1" x14ac:dyDescent="0.2">
      <c r="B121" s="183"/>
      <c r="C121" s="163"/>
      <c r="D121" s="163"/>
      <c r="E121" s="193"/>
      <c r="F121" s="78"/>
      <c r="G121" s="79"/>
      <c r="H121" s="193"/>
      <c r="I121" s="78"/>
      <c r="J121" s="163"/>
      <c r="K121" s="163"/>
      <c r="L121" s="168"/>
      <c r="M121" s="168"/>
      <c r="N121" s="168"/>
      <c r="O121" s="168"/>
      <c r="P121" s="168"/>
      <c r="Q121" s="168"/>
      <c r="R121" s="168"/>
      <c r="S121" s="168"/>
      <c r="T121" s="168"/>
      <c r="U121" s="168"/>
      <c r="V121" s="168"/>
      <c r="W121" s="168"/>
      <c r="X121" s="185"/>
      <c r="Y121" s="185"/>
    </row>
    <row r="122" spans="2:43" s="39" customFormat="1" ht="14.25" customHeight="1" x14ac:dyDescent="0.25">
      <c r="B122" s="129" t="s">
        <v>254</v>
      </c>
      <c r="C122" s="163"/>
      <c r="D122" s="168" t="s">
        <v>243</v>
      </c>
      <c r="E122" s="193"/>
      <c r="F122" s="78"/>
      <c r="G122" s="79"/>
      <c r="H122" s="193"/>
      <c r="I122" s="78"/>
      <c r="J122" s="163"/>
      <c r="K122" s="163"/>
      <c r="L122" s="200"/>
      <c r="M122" s="168"/>
      <c r="N122" s="377"/>
      <c r="O122" s="377"/>
      <c r="P122" s="377"/>
      <c r="Q122" s="377"/>
      <c r="R122" s="377"/>
      <c r="S122" s="377"/>
      <c r="T122" s="377"/>
      <c r="U122" s="168"/>
      <c r="V122" s="376"/>
      <c r="W122" s="168"/>
      <c r="X122" s="185"/>
      <c r="Y122" s="185"/>
    </row>
    <row r="123" spans="2:43" s="39" customFormat="1" ht="11.1" customHeight="1" x14ac:dyDescent="0.2">
      <c r="B123" s="183"/>
      <c r="C123" s="163"/>
      <c r="D123" s="163"/>
      <c r="E123" s="193"/>
      <c r="F123" s="78"/>
      <c r="G123" s="79"/>
      <c r="H123" s="193"/>
      <c r="I123" s="78"/>
      <c r="J123" s="163"/>
      <c r="K123" s="163"/>
      <c r="L123" s="74"/>
      <c r="M123" s="168"/>
      <c r="N123" s="201"/>
      <c r="O123" s="202"/>
      <c r="P123" s="54"/>
      <c r="Q123" s="203"/>
      <c r="R123" s="202"/>
      <c r="S123" s="54"/>
      <c r="T123" s="204"/>
      <c r="U123" s="168"/>
      <c r="V123" s="376"/>
      <c r="W123" s="168"/>
      <c r="X123" s="185"/>
      <c r="Y123" s="185"/>
    </row>
    <row r="124" spans="2:43" s="39" customFormat="1" ht="11.1" customHeight="1" x14ac:dyDescent="0.2">
      <c r="B124" s="183"/>
      <c r="C124" s="163"/>
      <c r="D124" s="180" t="s">
        <v>195</v>
      </c>
      <c r="E124" s="181"/>
      <c r="F124" s="219">
        <f>313089</f>
        <v>313089</v>
      </c>
      <c r="G124" s="156"/>
      <c r="H124" s="181"/>
      <c r="I124" s="219">
        <f>53693</f>
        <v>53693</v>
      </c>
      <c r="J124" s="163"/>
      <c r="K124" s="163"/>
      <c r="L124" s="74"/>
      <c r="M124" s="168"/>
      <c r="N124" s="54"/>
      <c r="O124" s="54"/>
      <c r="P124" s="54"/>
      <c r="Q124" s="54"/>
      <c r="R124" s="54"/>
      <c r="S124" s="54"/>
      <c r="T124" s="168"/>
      <c r="U124" s="168"/>
      <c r="V124" s="376"/>
      <c r="W124" s="168"/>
    </row>
    <row r="125" spans="2:43" s="39" customFormat="1" ht="11.1" customHeight="1" x14ac:dyDescent="0.2">
      <c r="B125" s="183"/>
      <c r="C125" s="163"/>
      <c r="D125" s="163" t="s">
        <v>305</v>
      </c>
      <c r="E125" s="193"/>
      <c r="F125" s="78">
        <v>53693</v>
      </c>
      <c r="G125" s="79"/>
      <c r="H125" s="193"/>
      <c r="I125" s="78"/>
      <c r="J125" s="163"/>
      <c r="K125" s="163"/>
      <c r="L125" s="74"/>
      <c r="M125" s="168"/>
      <c r="N125" s="54"/>
      <c r="O125" s="202"/>
      <c r="P125" s="54"/>
      <c r="Q125" s="54"/>
      <c r="R125" s="202"/>
      <c r="S125" s="54"/>
      <c r="T125" s="168"/>
      <c r="U125" s="168"/>
      <c r="V125" s="376"/>
      <c r="W125" s="168"/>
    </row>
    <row r="126" spans="2:43" s="39" customFormat="1" ht="11.1" customHeight="1" x14ac:dyDescent="0.2">
      <c r="B126" s="183"/>
      <c r="C126" s="163"/>
      <c r="D126" s="163" t="s">
        <v>306</v>
      </c>
      <c r="E126" s="193"/>
      <c r="F126" s="78"/>
      <c r="G126" s="79"/>
      <c r="H126" s="193"/>
      <c r="I126" s="78">
        <v>313089</v>
      </c>
      <c r="J126" s="163"/>
      <c r="K126" s="163"/>
      <c r="L126" s="74"/>
      <c r="M126" s="168"/>
      <c r="N126" s="54"/>
      <c r="O126" s="54"/>
      <c r="P126" s="54"/>
      <c r="Q126" s="54"/>
      <c r="R126" s="54"/>
      <c r="S126" s="54"/>
      <c r="T126" s="168"/>
      <c r="U126" s="168"/>
      <c r="V126" s="376"/>
      <c r="W126" s="168"/>
    </row>
    <row r="127" spans="2:43" s="39" customFormat="1" ht="11.1" customHeight="1" thickBot="1" x14ac:dyDescent="0.25">
      <c r="B127" s="183"/>
      <c r="C127" s="163"/>
      <c r="D127" s="170" t="s">
        <v>304</v>
      </c>
      <c r="E127" s="190"/>
      <c r="F127" s="191">
        <f>SUM(F123:F126)</f>
        <v>366782</v>
      </c>
      <c r="G127" s="192"/>
      <c r="H127" s="190"/>
      <c r="I127" s="191">
        <f>SUM(I123:I126)</f>
        <v>366782</v>
      </c>
      <c r="J127" s="163"/>
      <c r="K127" s="163"/>
      <c r="L127" s="77"/>
      <c r="M127" s="168"/>
      <c r="N127" s="168"/>
      <c r="O127" s="145"/>
      <c r="P127" s="79"/>
      <c r="Q127" s="145"/>
      <c r="R127" s="145"/>
      <c r="S127" s="79"/>
      <c r="T127" s="145"/>
      <c r="U127" s="168"/>
      <c r="V127" s="376"/>
      <c r="W127" s="168"/>
    </row>
    <row r="128" spans="2:43" s="39" customFormat="1" ht="11.1" customHeight="1" thickTop="1" x14ac:dyDescent="0.2">
      <c r="B128" s="183"/>
      <c r="C128" s="163"/>
      <c r="D128" s="170"/>
      <c r="E128" s="193"/>
      <c r="F128" s="78"/>
      <c r="G128" s="79"/>
      <c r="H128" s="193"/>
      <c r="I128" s="78"/>
      <c r="J128" s="163"/>
      <c r="K128" s="163"/>
      <c r="L128" s="77"/>
      <c r="M128" s="168"/>
      <c r="N128" s="168"/>
      <c r="O128" s="193"/>
      <c r="P128" s="78"/>
      <c r="Q128" s="79"/>
      <c r="R128" s="193"/>
      <c r="S128" s="78"/>
      <c r="T128" s="168"/>
      <c r="U128" s="168"/>
      <c r="V128" s="168"/>
      <c r="W128" s="168"/>
    </row>
    <row r="129" spans="2:23" s="39" customFormat="1" ht="11.1" customHeight="1" x14ac:dyDescent="0.2">
      <c r="B129" s="183"/>
      <c r="C129" s="163"/>
      <c r="D129" s="163"/>
      <c r="E129" s="193"/>
      <c r="F129" s="78"/>
      <c r="G129" s="79"/>
      <c r="H129" s="193"/>
      <c r="I129" s="78"/>
      <c r="J129" s="163"/>
      <c r="K129" s="163"/>
      <c r="L129" s="163"/>
      <c r="N129" s="185"/>
      <c r="O129" s="185"/>
      <c r="P129" s="185"/>
      <c r="Q129" s="185"/>
      <c r="R129" s="185"/>
      <c r="S129" s="185"/>
      <c r="T129" s="185"/>
      <c r="U129" s="185"/>
      <c r="V129" s="185"/>
      <c r="W129" s="185"/>
    </row>
    <row r="130" spans="2:23" s="39" customFormat="1" ht="14.25" customHeight="1" x14ac:dyDescent="0.25">
      <c r="B130" s="129" t="s">
        <v>255</v>
      </c>
      <c r="C130" s="163"/>
      <c r="D130" s="168" t="s">
        <v>243</v>
      </c>
      <c r="E130" s="193"/>
      <c r="F130" s="78"/>
      <c r="G130" s="79"/>
      <c r="H130" s="193"/>
      <c r="I130" s="78"/>
      <c r="J130" s="163"/>
      <c r="K130" s="163"/>
      <c r="L130" s="163"/>
    </row>
    <row r="131" spans="2:23" s="39" customFormat="1" ht="11.1" customHeight="1" x14ac:dyDescent="0.2">
      <c r="B131" s="183"/>
      <c r="C131" s="163"/>
      <c r="D131" s="163" t="s">
        <v>301</v>
      </c>
      <c r="E131" s="193"/>
      <c r="F131" s="78">
        <v>53693</v>
      </c>
      <c r="G131" s="79"/>
      <c r="H131" s="193"/>
      <c r="I131" s="78"/>
      <c r="J131" s="163"/>
      <c r="K131" s="163"/>
      <c r="L131" s="163"/>
    </row>
    <row r="132" spans="2:23" s="39" customFormat="1" ht="11.1" customHeight="1" x14ac:dyDescent="0.2">
      <c r="B132" s="183"/>
      <c r="C132" s="163"/>
      <c r="D132" s="163" t="s">
        <v>307</v>
      </c>
      <c r="E132" s="193"/>
      <c r="F132" s="78"/>
      <c r="G132" s="79"/>
      <c r="H132" s="193"/>
      <c r="I132" s="78">
        <v>53693</v>
      </c>
      <c r="J132" s="163"/>
      <c r="K132" s="163"/>
      <c r="L132" s="163"/>
    </row>
    <row r="133" spans="2:23" s="39" customFormat="1" ht="11.1" customHeight="1" thickBot="1" x14ac:dyDescent="0.25">
      <c r="B133" s="183"/>
      <c r="C133" s="163"/>
      <c r="D133" s="170" t="s">
        <v>308</v>
      </c>
      <c r="E133" s="190"/>
      <c r="F133" s="191">
        <f>SUM(F129:F132)</f>
        <v>53693</v>
      </c>
      <c r="G133" s="192"/>
      <c r="H133" s="190"/>
      <c r="I133" s="191">
        <f>SUM(I129:I132)</f>
        <v>53693</v>
      </c>
      <c r="J133" s="163"/>
      <c r="K133" s="163"/>
      <c r="L133" s="163"/>
    </row>
    <row r="134" spans="2:23" s="39" customFormat="1" ht="11.1" customHeight="1" thickTop="1" x14ac:dyDescent="0.2">
      <c r="B134" s="183"/>
      <c r="C134" s="163"/>
      <c r="D134" s="163"/>
      <c r="E134" s="193"/>
      <c r="F134" s="78"/>
      <c r="G134" s="79"/>
      <c r="H134" s="193"/>
      <c r="I134" s="78"/>
      <c r="J134" s="163"/>
      <c r="K134" s="163"/>
      <c r="L134" s="163"/>
    </row>
    <row r="135" spans="2:23" s="39" customFormat="1" ht="11.1" customHeight="1" x14ac:dyDescent="0.2">
      <c r="B135" s="183"/>
      <c r="C135" s="163"/>
      <c r="D135" s="163"/>
      <c r="E135" s="193"/>
      <c r="F135" s="78"/>
      <c r="G135" s="79"/>
      <c r="H135" s="193"/>
      <c r="I135" s="78"/>
      <c r="J135" s="163"/>
      <c r="K135" s="163"/>
      <c r="L135" s="163"/>
    </row>
    <row r="136" spans="2:23" s="39" customFormat="1" ht="11.1" customHeight="1" x14ac:dyDescent="0.2">
      <c r="B136" s="183"/>
      <c r="C136" s="163"/>
      <c r="D136" s="163"/>
      <c r="E136" s="193"/>
      <c r="F136" s="78"/>
      <c r="G136" s="79"/>
      <c r="H136" s="193"/>
      <c r="I136" s="78"/>
      <c r="J136" s="163"/>
      <c r="K136" s="163"/>
      <c r="L136" s="163"/>
    </row>
    <row r="137" spans="2:23" s="39" customFormat="1" ht="14.25" customHeight="1" x14ac:dyDescent="0.25">
      <c r="B137" s="129" t="s">
        <v>256</v>
      </c>
      <c r="C137" s="54"/>
      <c r="D137" s="168" t="s">
        <v>243</v>
      </c>
      <c r="E137" s="188"/>
      <c r="F137" s="186"/>
      <c r="G137" s="54"/>
      <c r="H137" s="193"/>
      <c r="I137" s="187"/>
      <c r="J137" s="163"/>
      <c r="K137" s="163"/>
      <c r="L137" s="163"/>
    </row>
    <row r="138" spans="2:23" s="39" customFormat="1" ht="11.1" customHeight="1" x14ac:dyDescent="0.2">
      <c r="B138" s="131"/>
      <c r="C138" s="163"/>
      <c r="D138" s="163" t="s">
        <v>184</v>
      </c>
      <c r="E138" s="188"/>
      <c r="F138" s="186">
        <v>446478.76</v>
      </c>
      <c r="G138" s="53"/>
      <c r="H138" s="188"/>
      <c r="I138" s="186"/>
      <c r="J138" s="163"/>
      <c r="K138" s="163" t="s">
        <v>205</v>
      </c>
      <c r="L138" s="163"/>
    </row>
    <row r="139" spans="2:23" s="39" customFormat="1" ht="11.1" customHeight="1" x14ac:dyDescent="0.2">
      <c r="B139" s="131"/>
      <c r="C139" s="163"/>
      <c r="D139" s="163" t="s">
        <v>201</v>
      </c>
      <c r="E139" s="188"/>
      <c r="F139" s="186">
        <v>66736.03</v>
      </c>
      <c r="G139" s="53"/>
      <c r="H139" s="188"/>
      <c r="I139" s="186"/>
      <c r="J139" s="163"/>
      <c r="K139" s="163" t="s">
        <v>193</v>
      </c>
      <c r="L139" s="163"/>
    </row>
    <row r="140" spans="2:23" s="39" customFormat="1" ht="11.1" customHeight="1" x14ac:dyDescent="0.2">
      <c r="B140" s="131"/>
      <c r="C140" s="163"/>
      <c r="D140" s="163" t="s">
        <v>184</v>
      </c>
      <c r="E140" s="188"/>
      <c r="F140" s="186"/>
      <c r="G140" s="53"/>
      <c r="H140" s="188"/>
      <c r="I140" s="186">
        <f>F139</f>
        <v>66736.03</v>
      </c>
      <c r="J140" s="163"/>
      <c r="K140" s="163" t="s">
        <v>193</v>
      </c>
      <c r="L140" s="163"/>
    </row>
    <row r="141" spans="2:23" s="39" customFormat="1" ht="10.5" customHeight="1" x14ac:dyDescent="0.2">
      <c r="B141" s="131"/>
      <c r="C141" s="163"/>
      <c r="D141" s="65" t="s">
        <v>206</v>
      </c>
      <c r="E141" s="188"/>
      <c r="F141" s="186"/>
      <c r="G141" s="189"/>
      <c r="H141" s="188"/>
      <c r="I141" s="186">
        <f>F138</f>
        <v>446478.76</v>
      </c>
      <c r="J141" s="163"/>
      <c r="K141" s="163" t="s">
        <v>205</v>
      </c>
      <c r="L141" s="163"/>
    </row>
    <row r="142" spans="2:23" s="39" customFormat="1" ht="11.1" customHeight="1" thickBot="1" x14ac:dyDescent="0.25">
      <c r="B142" s="183" t="s">
        <v>207</v>
      </c>
      <c r="C142" s="163"/>
      <c r="D142" s="163"/>
      <c r="E142" s="190"/>
      <c r="F142" s="191">
        <f>SUM(F138:F141)</f>
        <v>513214.79000000004</v>
      </c>
      <c r="G142" s="192"/>
      <c r="H142" s="190"/>
      <c r="I142" s="191">
        <f>SUM(I138:I141)</f>
        <v>513214.79000000004</v>
      </c>
      <c r="J142" s="163"/>
      <c r="K142" s="163"/>
      <c r="L142" s="163"/>
    </row>
    <row r="143" spans="2:23" s="39" customFormat="1" ht="11.1" customHeight="1" thickTop="1" x14ac:dyDescent="0.2">
      <c r="B143" s="183"/>
      <c r="C143" s="163"/>
      <c r="D143" s="163"/>
      <c r="E143" s="193"/>
      <c r="F143" s="78"/>
      <c r="G143" s="79"/>
      <c r="H143" s="193"/>
      <c r="I143" s="78"/>
      <c r="J143" s="163"/>
      <c r="K143" s="163"/>
      <c r="L143" s="163"/>
    </row>
    <row r="144" spans="2:23" s="39" customFormat="1" ht="17.25" customHeight="1" x14ac:dyDescent="0.25">
      <c r="B144" s="129" t="s">
        <v>257</v>
      </c>
      <c r="C144" s="54"/>
      <c r="D144" s="168" t="s">
        <v>243</v>
      </c>
      <c r="E144" s="188"/>
      <c r="F144" s="186"/>
      <c r="G144" s="54"/>
      <c r="H144" s="193"/>
      <c r="I144" s="187"/>
      <c r="J144" s="163"/>
      <c r="K144" s="163"/>
      <c r="L144" s="163"/>
    </row>
    <row r="145" spans="2:12" s="39" customFormat="1" ht="12" x14ac:dyDescent="0.2">
      <c r="B145" s="131"/>
      <c r="C145" s="163"/>
      <c r="D145" s="163" t="s">
        <v>184</v>
      </c>
      <c r="E145" s="188"/>
      <c r="F145" s="186">
        <f>70875.36+26517.37+66880.55+16286.07</f>
        <v>180559.35</v>
      </c>
      <c r="G145" s="53"/>
      <c r="H145" s="54"/>
      <c r="I145" s="54"/>
      <c r="J145" s="163"/>
      <c r="K145" s="163" t="s">
        <v>208</v>
      </c>
      <c r="L145" s="163"/>
    </row>
    <row r="146" spans="2:12" s="39" customFormat="1" ht="11.25" x14ac:dyDescent="0.2">
      <c r="B146" s="131"/>
      <c r="C146" s="163"/>
      <c r="D146" s="163" t="s">
        <v>209</v>
      </c>
      <c r="E146" s="189"/>
      <c r="F146" s="54"/>
      <c r="G146" s="54"/>
      <c r="H146" s="188"/>
      <c r="I146" s="186">
        <f>F145</f>
        <v>180559.35</v>
      </c>
      <c r="J146" s="163"/>
      <c r="K146" s="163" t="s">
        <v>208</v>
      </c>
      <c r="L146" s="163"/>
    </row>
    <row r="147" spans="2:12" s="39" customFormat="1" ht="12" thickBot="1" x14ac:dyDescent="0.25">
      <c r="B147" s="183" t="s">
        <v>210</v>
      </c>
      <c r="C147" s="163"/>
      <c r="D147" s="163"/>
      <c r="E147" s="189"/>
      <c r="F147" s="64">
        <f>SUM(F145:F145)</f>
        <v>180559.35</v>
      </c>
      <c r="G147" s="64"/>
      <c r="H147" s="64"/>
      <c r="I147" s="64">
        <f>SUM(I145:I146)</f>
        <v>180559.35</v>
      </c>
      <c r="J147" s="163"/>
      <c r="K147" s="163"/>
      <c r="L147" s="163"/>
    </row>
    <row r="148" spans="2:12" s="39" customFormat="1" ht="12" thickTop="1" x14ac:dyDescent="0.2">
      <c r="B148" s="163"/>
      <c r="C148" s="163"/>
      <c r="D148" s="163"/>
      <c r="E148" s="189"/>
      <c r="F148" s="54"/>
      <c r="G148" s="54"/>
      <c r="H148" s="54"/>
      <c r="I148" s="54"/>
      <c r="J148" s="163"/>
      <c r="K148" s="163"/>
      <c r="L148" s="163"/>
    </row>
    <row r="149" spans="2:12" x14ac:dyDescent="0.2">
      <c r="B149" s="170"/>
      <c r="C149" s="170"/>
      <c r="D149" s="170"/>
      <c r="E149" s="163"/>
      <c r="F149" s="54"/>
      <c r="G149" s="54"/>
      <c r="H149" s="54"/>
      <c r="I149" s="54"/>
      <c r="J149" s="41"/>
      <c r="K149" s="41"/>
      <c r="L149" s="41"/>
    </row>
    <row r="150" spans="2:12" ht="15.75" x14ac:dyDescent="0.25">
      <c r="B150" s="129" t="s">
        <v>258</v>
      </c>
      <c r="C150" s="54"/>
      <c r="D150" s="168" t="s">
        <v>243</v>
      </c>
      <c r="E150" s="163"/>
      <c r="F150" s="163"/>
      <c r="G150" s="163"/>
      <c r="H150" s="163"/>
      <c r="I150" s="163"/>
      <c r="J150" s="41"/>
      <c r="K150" s="41"/>
      <c r="L150" s="41"/>
    </row>
    <row r="151" spans="2:12" x14ac:dyDescent="0.2">
      <c r="B151" s="163"/>
      <c r="C151" s="163"/>
      <c r="D151" s="167" t="s">
        <v>12</v>
      </c>
      <c r="E151" s="163"/>
      <c r="F151" s="197">
        <v>1630.42</v>
      </c>
      <c r="G151" s="163"/>
      <c r="H151" s="163"/>
      <c r="I151" s="163"/>
      <c r="J151" s="41"/>
      <c r="K151" s="41"/>
      <c r="L151" s="41"/>
    </row>
    <row r="152" spans="2:12" x14ac:dyDescent="0.2">
      <c r="B152" s="163"/>
      <c r="C152" s="163"/>
      <c r="D152" s="167" t="s">
        <v>38</v>
      </c>
      <c r="E152" s="163"/>
      <c r="F152" s="197">
        <v>1628.89</v>
      </c>
      <c r="G152" s="163"/>
      <c r="H152" s="163"/>
      <c r="I152" s="163"/>
      <c r="J152" s="41"/>
      <c r="K152" s="41"/>
      <c r="L152" s="41"/>
    </row>
    <row r="153" spans="2:12" x14ac:dyDescent="0.2">
      <c r="B153" s="163"/>
      <c r="C153" s="163"/>
      <c r="D153" s="167" t="s">
        <v>155</v>
      </c>
      <c r="E153" s="163"/>
      <c r="F153" s="163"/>
      <c r="G153" s="163"/>
      <c r="H153" s="163"/>
      <c r="I153" s="197">
        <v>3258</v>
      </c>
      <c r="J153" s="41"/>
      <c r="K153" s="41"/>
      <c r="L153" s="41"/>
    </row>
    <row r="154" spans="2:12" x14ac:dyDescent="0.2">
      <c r="B154" s="163"/>
      <c r="C154" s="163"/>
      <c r="D154" s="163" t="s">
        <v>184</v>
      </c>
      <c r="E154" s="163"/>
      <c r="F154" s="163"/>
      <c r="G154" s="163"/>
      <c r="H154" s="163"/>
      <c r="I154" s="163">
        <v>1.31</v>
      </c>
      <c r="J154" s="41"/>
      <c r="K154" s="41"/>
      <c r="L154" s="41"/>
    </row>
    <row r="155" spans="2:12" ht="13.5" thickBot="1" x14ac:dyDescent="0.25">
      <c r="B155" s="163"/>
      <c r="C155" s="163"/>
      <c r="D155" s="163"/>
      <c r="E155" s="163"/>
      <c r="F155" s="64">
        <f>SUM(F151:F154)</f>
        <v>3259.3100000000004</v>
      </c>
      <c r="G155" s="64"/>
      <c r="H155" s="64"/>
      <c r="I155" s="64">
        <f>SUM(I151:I154)</f>
        <v>3259.31</v>
      </c>
      <c r="J155" s="41"/>
      <c r="K155" s="41"/>
      <c r="L155" s="41"/>
    </row>
    <row r="156" spans="2:12" ht="13.5" thickTop="1" x14ac:dyDescent="0.2">
      <c r="B156" s="163"/>
      <c r="C156" s="163"/>
      <c r="D156" s="163"/>
      <c r="E156" s="163"/>
      <c r="F156" s="163"/>
      <c r="G156" s="163"/>
      <c r="H156" s="163"/>
      <c r="I156" s="163"/>
      <c r="J156" s="41"/>
      <c r="K156" s="41"/>
      <c r="L156" s="41"/>
    </row>
    <row r="157" spans="2:12" x14ac:dyDescent="0.2">
      <c r="B157" s="163"/>
      <c r="C157" s="163"/>
      <c r="D157" s="163"/>
      <c r="E157" s="163"/>
      <c r="F157" s="163"/>
      <c r="G157" s="163"/>
      <c r="H157" s="163"/>
      <c r="I157" s="163"/>
      <c r="J157" s="41"/>
      <c r="K157" s="41"/>
      <c r="L157" s="41"/>
    </row>
    <row r="158" spans="2:12" ht="15.75" x14ac:dyDescent="0.25">
      <c r="B158" s="129" t="s">
        <v>262</v>
      </c>
      <c r="C158" s="54"/>
      <c r="D158" s="168" t="s">
        <v>243</v>
      </c>
      <c r="E158" s="163"/>
      <c r="F158" s="163"/>
      <c r="G158" s="163"/>
      <c r="H158" s="163"/>
      <c r="I158" s="163"/>
      <c r="J158" s="41"/>
      <c r="K158" s="41"/>
      <c r="L158" s="41"/>
    </row>
    <row r="159" spans="2:12" x14ac:dyDescent="0.2">
      <c r="B159" s="163"/>
      <c r="C159" s="163"/>
      <c r="D159" s="163" t="s">
        <v>358</v>
      </c>
      <c r="E159" s="163"/>
      <c r="F159" s="186">
        <v>80018</v>
      </c>
      <c r="G159" s="163"/>
      <c r="H159" s="163"/>
      <c r="I159" s="163"/>
      <c r="J159" s="41"/>
      <c r="K159" s="41"/>
      <c r="L159" s="41"/>
    </row>
    <row r="160" spans="2:12" x14ac:dyDescent="0.2">
      <c r="B160" s="163"/>
      <c r="C160" s="163"/>
      <c r="D160" s="163" t="s">
        <v>359</v>
      </c>
      <c r="E160" s="163"/>
      <c r="F160" s="163"/>
      <c r="G160" s="163"/>
      <c r="H160" s="163"/>
      <c r="I160" s="186">
        <v>80018</v>
      </c>
      <c r="J160" s="41"/>
      <c r="K160" s="41"/>
      <c r="L160" s="41"/>
    </row>
    <row r="161" spans="2:14" ht="13.5" thickBot="1" x14ac:dyDescent="0.25">
      <c r="B161" s="163"/>
      <c r="C161" s="163"/>
      <c r="D161" s="211" t="s">
        <v>360</v>
      </c>
      <c r="E161" s="163"/>
      <c r="F161" s="64">
        <f>SUM(F159:F160)</f>
        <v>80018</v>
      </c>
      <c r="G161" s="64"/>
      <c r="H161" s="64"/>
      <c r="I161" s="64">
        <f>SUM(I159:I160)</f>
        <v>80018</v>
      </c>
      <c r="J161" s="41"/>
      <c r="K161" s="41"/>
      <c r="L161" s="41"/>
    </row>
    <row r="162" spans="2:14" ht="13.5" thickTop="1" x14ac:dyDescent="0.2">
      <c r="B162" s="163"/>
      <c r="C162" s="163"/>
      <c r="D162" s="163"/>
      <c r="E162" s="163"/>
      <c r="F162" s="163"/>
      <c r="G162" s="163"/>
      <c r="H162" s="163"/>
      <c r="I162" s="163"/>
      <c r="J162" s="41"/>
      <c r="K162" s="41"/>
      <c r="L162" s="41"/>
    </row>
    <row r="163" spans="2:14" ht="15.75" x14ac:dyDescent="0.25">
      <c r="B163" s="129" t="s">
        <v>265</v>
      </c>
      <c r="C163" s="54"/>
      <c r="D163" s="168" t="s">
        <v>243</v>
      </c>
      <c r="E163" s="163"/>
      <c r="F163" s="163"/>
      <c r="G163" s="163"/>
      <c r="H163" s="163"/>
      <c r="I163" s="163"/>
      <c r="J163" s="41"/>
      <c r="K163" s="41"/>
      <c r="L163" s="41"/>
      <c r="M163" s="41"/>
      <c r="N163" s="41"/>
    </row>
    <row r="164" spans="2:14" x14ac:dyDescent="0.2">
      <c r="B164" s="163"/>
      <c r="C164" s="163"/>
      <c r="D164" s="163" t="s">
        <v>366</v>
      </c>
      <c r="E164" s="163"/>
      <c r="F164" s="186">
        <v>0</v>
      </c>
      <c r="G164" s="163"/>
      <c r="H164" s="163"/>
      <c r="I164" s="163"/>
      <c r="J164" s="41"/>
      <c r="K164" s="41"/>
      <c r="L164" s="163"/>
      <c r="M164" s="41"/>
      <c r="N164" s="41"/>
    </row>
    <row r="165" spans="2:14" x14ac:dyDescent="0.2">
      <c r="B165" s="163"/>
      <c r="C165" s="163"/>
      <c r="D165" s="194" t="s">
        <v>184</v>
      </c>
      <c r="E165" s="194"/>
      <c r="F165" s="194"/>
      <c r="G165" s="194"/>
      <c r="H165" s="194"/>
      <c r="I165" s="196">
        <v>0</v>
      </c>
      <c r="J165" s="41"/>
      <c r="K165" s="41"/>
      <c r="L165" s="41"/>
      <c r="M165" s="41"/>
      <c r="N165" s="41"/>
    </row>
    <row r="166" spans="2:14" ht="13.5" thickBot="1" x14ac:dyDescent="0.25">
      <c r="B166" s="163" t="s">
        <v>367</v>
      </c>
      <c r="C166" s="163"/>
      <c r="D166" s="163"/>
      <c r="E166" s="163"/>
      <c r="F166" s="64">
        <f>SUM(F163:F165)</f>
        <v>0</v>
      </c>
      <c r="G166" s="64"/>
      <c r="H166" s="64"/>
      <c r="I166" s="64">
        <f>SUM(I163:I165)</f>
        <v>0</v>
      </c>
      <c r="J166" s="41"/>
      <c r="K166" s="41"/>
      <c r="L166" s="41"/>
      <c r="M166" s="41"/>
      <c r="N166" s="41"/>
    </row>
    <row r="167" spans="2:14" ht="13.5" thickTop="1" x14ac:dyDescent="0.2">
      <c r="B167" s="163"/>
      <c r="C167" s="163"/>
      <c r="D167" s="163"/>
      <c r="E167" s="163"/>
      <c r="F167" s="163"/>
      <c r="G167" s="163"/>
      <c r="H167" s="163"/>
      <c r="I167" s="163"/>
      <c r="J167" s="41"/>
      <c r="K167" s="41"/>
      <c r="L167" s="41"/>
    </row>
    <row r="168" spans="2:14" ht="15.75" x14ac:dyDescent="0.25">
      <c r="B168" s="129" t="s">
        <v>268</v>
      </c>
      <c r="C168" s="54"/>
      <c r="D168" s="168" t="s">
        <v>243</v>
      </c>
      <c r="E168" s="163"/>
      <c r="F168" s="163"/>
      <c r="G168" s="163"/>
      <c r="H168" s="163"/>
      <c r="I168" s="163"/>
      <c r="J168" s="41"/>
      <c r="K168" s="41"/>
      <c r="L168" s="41"/>
    </row>
    <row r="169" spans="2:14" x14ac:dyDescent="0.2">
      <c r="B169" s="163"/>
      <c r="C169" s="163"/>
      <c r="D169" s="163" t="s">
        <v>223</v>
      </c>
      <c r="E169" s="163"/>
      <c r="F169" s="189">
        <v>205000</v>
      </c>
      <c r="G169" s="189"/>
      <c r="H169" s="189"/>
      <c r="I169" s="189"/>
      <c r="J169" s="41"/>
      <c r="K169" s="163" t="s">
        <v>224</v>
      </c>
      <c r="L169" s="163"/>
    </row>
    <row r="170" spans="2:14" x14ac:dyDescent="0.2">
      <c r="B170" s="163"/>
      <c r="C170" s="163"/>
      <c r="D170" s="163" t="s">
        <v>225</v>
      </c>
      <c r="E170" s="163"/>
      <c r="F170" s="189">
        <v>465000</v>
      </c>
      <c r="G170" s="189"/>
      <c r="H170" s="189"/>
      <c r="I170" s="189"/>
      <c r="J170" s="41"/>
      <c r="K170" s="163" t="s">
        <v>226</v>
      </c>
      <c r="L170" s="163"/>
    </row>
    <row r="171" spans="2:14" x14ac:dyDescent="0.2">
      <c r="B171" s="163"/>
      <c r="C171" s="163"/>
      <c r="D171" s="163" t="s">
        <v>227</v>
      </c>
      <c r="E171" s="163"/>
      <c r="F171" s="189">
        <v>10000</v>
      </c>
      <c r="G171" s="189"/>
      <c r="H171" s="189"/>
      <c r="I171" s="189"/>
      <c r="J171" s="41"/>
      <c r="K171" s="163" t="s">
        <v>228</v>
      </c>
      <c r="L171" s="163"/>
    </row>
    <row r="172" spans="2:14" x14ac:dyDescent="0.2">
      <c r="B172" s="163"/>
      <c r="C172" s="163"/>
      <c r="D172" s="163" t="s">
        <v>229</v>
      </c>
      <c r="E172" s="163"/>
      <c r="F172" s="189">
        <v>90000</v>
      </c>
      <c r="G172" s="189"/>
      <c r="H172" s="189"/>
      <c r="I172" s="189"/>
      <c r="J172" s="41"/>
      <c r="K172" s="163" t="s">
        <v>230</v>
      </c>
      <c r="L172" s="163"/>
    </row>
    <row r="173" spans="2:14" x14ac:dyDescent="0.2">
      <c r="B173" s="163"/>
      <c r="C173" s="163"/>
      <c r="D173" s="163" t="s">
        <v>231</v>
      </c>
      <c r="E173" s="163"/>
      <c r="F173" s="189">
        <v>50000</v>
      </c>
      <c r="G173" s="189"/>
      <c r="H173" s="189"/>
      <c r="I173" s="189"/>
      <c r="J173" s="41"/>
      <c r="K173" s="163" t="s">
        <v>232</v>
      </c>
      <c r="L173" s="163"/>
    </row>
    <row r="174" spans="2:14" x14ac:dyDescent="0.2">
      <c r="B174" s="163"/>
      <c r="C174" s="163"/>
      <c r="D174" s="163" t="s">
        <v>233</v>
      </c>
      <c r="E174" s="163"/>
      <c r="F174" s="189">
        <v>130000</v>
      </c>
      <c r="G174" s="189"/>
      <c r="H174" s="189"/>
      <c r="I174" s="189"/>
      <c r="J174" s="41"/>
      <c r="K174" s="163" t="s">
        <v>234</v>
      </c>
      <c r="L174" s="163"/>
    </row>
    <row r="175" spans="2:14" x14ac:dyDescent="0.2">
      <c r="B175" s="163"/>
      <c r="C175" s="163"/>
      <c r="D175" s="163" t="s">
        <v>235</v>
      </c>
      <c r="E175" s="163"/>
      <c r="F175" s="189">
        <v>25000</v>
      </c>
      <c r="G175" s="189"/>
      <c r="H175" s="189"/>
      <c r="I175" s="189"/>
      <c r="J175" s="41"/>
      <c r="K175" s="163" t="s">
        <v>236</v>
      </c>
      <c r="L175" s="163"/>
    </row>
    <row r="176" spans="2:14" x14ac:dyDescent="0.2">
      <c r="B176" s="163"/>
      <c r="C176" s="163"/>
      <c r="D176" s="194" t="s">
        <v>184</v>
      </c>
      <c r="E176" s="194"/>
      <c r="F176" s="118">
        <v>9776</v>
      </c>
      <c r="G176" s="189"/>
      <c r="H176" s="189"/>
      <c r="I176" s="189"/>
      <c r="J176" s="41"/>
      <c r="K176" s="163"/>
      <c r="L176" s="163"/>
    </row>
    <row r="177" spans="1:28" x14ac:dyDescent="0.2">
      <c r="B177" s="167">
        <v>4104000</v>
      </c>
      <c r="C177" s="167"/>
      <c r="D177" s="167" t="s">
        <v>87</v>
      </c>
      <c r="E177" s="163"/>
      <c r="F177" s="189"/>
      <c r="G177" s="189"/>
      <c r="H177" s="189"/>
      <c r="I177" s="189">
        <f>F179-250000</f>
        <v>734776</v>
      </c>
      <c r="J177" s="41"/>
      <c r="K177" s="163" t="s">
        <v>237</v>
      </c>
      <c r="L177" s="163"/>
    </row>
    <row r="178" spans="1:28" s="161" customFormat="1" x14ac:dyDescent="0.2">
      <c r="A178" s="185"/>
      <c r="B178" s="163"/>
      <c r="C178" s="163"/>
      <c r="D178" s="167" t="s">
        <v>93</v>
      </c>
      <c r="E178" s="163"/>
      <c r="F178" s="189"/>
      <c r="G178" s="189"/>
      <c r="H178" s="189"/>
      <c r="I178" s="189">
        <v>250000</v>
      </c>
      <c r="J178" s="41"/>
      <c r="K178" s="163" t="s">
        <v>237</v>
      </c>
      <c r="L178" s="163"/>
    </row>
    <row r="179" spans="1:28" x14ac:dyDescent="0.2">
      <c r="B179" s="378" t="s">
        <v>238</v>
      </c>
      <c r="C179" s="378"/>
      <c r="D179" s="378"/>
      <c r="E179" s="144"/>
      <c r="F179" s="81">
        <f>SUM(F169:F176)</f>
        <v>984776</v>
      </c>
      <c r="G179" s="81"/>
      <c r="H179" s="81"/>
      <c r="I179" s="81">
        <f>SUM(I169:I178)</f>
        <v>984776</v>
      </c>
      <c r="J179" s="41"/>
      <c r="K179" s="163"/>
      <c r="L179" s="163"/>
    </row>
    <row r="180" spans="1:28" x14ac:dyDescent="0.2">
      <c r="B180" s="183"/>
      <c r="C180" s="183"/>
      <c r="D180" s="183"/>
      <c r="E180" s="145"/>
      <c r="F180" s="79"/>
      <c r="G180" s="79"/>
      <c r="H180" s="79"/>
      <c r="I180" s="79"/>
      <c r="J180" s="41"/>
      <c r="K180" s="163"/>
      <c r="L180" s="163"/>
    </row>
    <row r="181" spans="1:28" x14ac:dyDescent="0.2">
      <c r="B181" s="183"/>
      <c r="C181" s="183"/>
      <c r="D181" s="183"/>
      <c r="E181" s="145"/>
      <c r="F181" s="79"/>
      <c r="G181" s="79"/>
      <c r="H181" s="79"/>
      <c r="I181" s="79"/>
      <c r="J181" s="41"/>
      <c r="K181" s="163"/>
      <c r="L181" s="163"/>
    </row>
    <row r="182" spans="1:28" ht="15.75" x14ac:dyDescent="0.25">
      <c r="B182" s="129" t="s">
        <v>336</v>
      </c>
      <c r="C182" s="54"/>
      <c r="D182" s="168" t="s">
        <v>243</v>
      </c>
      <c r="E182" s="145"/>
      <c r="F182" s="79"/>
      <c r="G182" s="79"/>
      <c r="H182" s="79"/>
      <c r="I182" s="79"/>
      <c r="J182" s="41"/>
      <c r="K182" s="163"/>
      <c r="L182" s="163"/>
    </row>
    <row r="183" spans="1:28" x14ac:dyDescent="0.2">
      <c r="B183" s="183"/>
      <c r="C183" s="183"/>
      <c r="D183" s="167" t="s">
        <v>112</v>
      </c>
      <c r="E183" s="145"/>
      <c r="F183" s="197">
        <v>3827</v>
      </c>
      <c r="G183" s="79"/>
      <c r="H183" s="79"/>
      <c r="I183" s="79"/>
      <c r="J183" s="41"/>
      <c r="K183" s="163"/>
      <c r="L183" s="163"/>
    </row>
    <row r="184" spans="1:28" x14ac:dyDescent="0.2">
      <c r="B184" s="183"/>
      <c r="C184" s="183"/>
      <c r="D184" s="167" t="s">
        <v>113</v>
      </c>
      <c r="E184" s="145"/>
      <c r="F184" s="197">
        <v>8194</v>
      </c>
      <c r="G184" s="79"/>
      <c r="H184" s="79"/>
      <c r="I184" s="79"/>
      <c r="J184" s="41"/>
      <c r="K184" s="163"/>
      <c r="L184" s="163"/>
    </row>
    <row r="185" spans="1:28" x14ac:dyDescent="0.2">
      <c r="B185" s="183"/>
      <c r="C185" s="183"/>
      <c r="D185" s="180" t="s">
        <v>260</v>
      </c>
      <c r="E185" s="207"/>
      <c r="F185" s="156"/>
      <c r="G185" s="156"/>
      <c r="H185" s="156"/>
      <c r="I185" s="156">
        <v>12021</v>
      </c>
      <c r="J185" s="41"/>
      <c r="K185" s="163"/>
      <c r="L185" s="163"/>
    </row>
    <row r="186" spans="1:28" ht="13.5" thickBot="1" x14ac:dyDescent="0.25">
      <c r="B186" s="183"/>
      <c r="C186" s="183"/>
      <c r="D186" s="183" t="s">
        <v>346</v>
      </c>
      <c r="E186" s="145"/>
      <c r="F186" s="192">
        <f>SUM(F183:F185)</f>
        <v>12021</v>
      </c>
      <c r="G186" s="192"/>
      <c r="H186" s="192"/>
      <c r="I186" s="192">
        <f>SUM(I183:I185)</f>
        <v>12021</v>
      </c>
      <c r="J186" s="41"/>
      <c r="K186" s="163"/>
      <c r="L186" s="163"/>
    </row>
    <row r="187" spans="1:28" ht="13.5" thickTop="1" x14ac:dyDescent="0.2">
      <c r="B187" s="183"/>
      <c r="C187" s="183"/>
      <c r="D187" s="183"/>
      <c r="E187" s="145"/>
      <c r="F187" s="79"/>
      <c r="G187" s="79"/>
      <c r="H187" s="79"/>
      <c r="I187" s="79"/>
      <c r="J187" s="41"/>
      <c r="K187" s="163"/>
      <c r="L187" s="163"/>
    </row>
    <row r="188" spans="1:28" x14ac:dyDescent="0.2">
      <c r="B188" s="114"/>
      <c r="C188" s="114"/>
      <c r="D188" s="114"/>
      <c r="E188" s="82"/>
      <c r="F188" s="79"/>
      <c r="G188" s="79"/>
      <c r="H188" s="79"/>
      <c r="I188" s="79"/>
      <c r="J188" s="100"/>
      <c r="K188" s="39"/>
      <c r="L188" s="39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</row>
    <row r="189" spans="1:28" s="161" customFormat="1" x14ac:dyDescent="0.2">
      <c r="A189" s="185"/>
      <c r="B189" s="185"/>
      <c r="C189" s="185"/>
      <c r="D189" s="185"/>
      <c r="E189" s="55"/>
      <c r="F189" s="79"/>
      <c r="G189" s="82"/>
      <c r="H189" s="82"/>
      <c r="I189" s="79"/>
      <c r="L189" s="185"/>
      <c r="N189" s="85"/>
      <c r="O189" s="74"/>
      <c r="P189" s="168"/>
      <c r="Q189" s="168"/>
      <c r="R189" s="193"/>
      <c r="S189" s="187"/>
      <c r="T189" s="76"/>
      <c r="U189" s="193"/>
      <c r="V189" s="187"/>
      <c r="W189" s="168"/>
      <c r="X189" s="168"/>
      <c r="Y189" s="376"/>
      <c r="Z189" s="73"/>
      <c r="AA189" s="73"/>
      <c r="AB189" s="73"/>
    </row>
    <row r="190" spans="1:28" s="161" customFormat="1" x14ac:dyDescent="0.2">
      <c r="A190" s="185"/>
      <c r="B190" s="185"/>
      <c r="C190" s="185"/>
      <c r="D190" s="185"/>
      <c r="E190" s="55"/>
      <c r="F190" s="79"/>
      <c r="G190" s="82"/>
      <c r="H190" s="82"/>
      <c r="I190" s="79"/>
      <c r="L190" s="185"/>
      <c r="N190" s="85"/>
      <c r="O190" s="74"/>
      <c r="P190" s="168"/>
      <c r="Q190" s="168"/>
      <c r="R190" s="193"/>
      <c r="S190" s="187"/>
      <c r="T190" s="76"/>
      <c r="U190" s="193"/>
      <c r="V190" s="187"/>
      <c r="W190" s="168"/>
      <c r="X190" s="168"/>
      <c r="Y190" s="376"/>
      <c r="Z190" s="73"/>
      <c r="AA190" s="73"/>
      <c r="AB190" s="73"/>
    </row>
    <row r="191" spans="1:28" s="158" customFormat="1" x14ac:dyDescent="0.2">
      <c r="A191" s="159"/>
      <c r="B191" s="159"/>
      <c r="C191" s="159"/>
      <c r="D191" s="159"/>
      <c r="E191" s="159"/>
      <c r="F191" s="160"/>
      <c r="G191" s="159"/>
      <c r="H191" s="159"/>
      <c r="I191" s="160"/>
      <c r="N191" s="166"/>
      <c r="O191" s="185"/>
      <c r="P191" s="167"/>
      <c r="Q191" s="164"/>
      <c r="R191" s="189"/>
      <c r="S191" s="164"/>
      <c r="T191" s="213"/>
      <c r="U191" s="186"/>
      <c r="V191" s="185"/>
      <c r="W191" s="185"/>
      <c r="X191" s="168"/>
      <c r="Y191" s="376"/>
      <c r="Z191" s="73"/>
      <c r="AA191" s="73"/>
      <c r="AB191" s="73"/>
    </row>
    <row r="192" spans="1:28" s="161" customFormat="1" x14ac:dyDescent="0.2">
      <c r="A192" s="168"/>
      <c r="B192" s="168"/>
      <c r="C192" s="168"/>
      <c r="D192" s="168" t="s">
        <v>368</v>
      </c>
      <c r="E192" s="168">
        <v>9</v>
      </c>
      <c r="F192" s="121">
        <v>34316.39</v>
      </c>
      <c r="G192" s="168"/>
      <c r="H192" s="168"/>
      <c r="I192" s="187"/>
      <c r="J192" s="73"/>
      <c r="K192" s="73"/>
      <c r="L192" s="73"/>
      <c r="M192" s="84"/>
      <c r="N192" s="84"/>
      <c r="O192" s="74"/>
      <c r="P192" s="75"/>
      <c r="Q192" s="168"/>
      <c r="R192" s="193"/>
      <c r="S192" s="187"/>
      <c r="T192" s="54"/>
      <c r="U192" s="193"/>
      <c r="V192" s="187"/>
      <c r="W192" s="168"/>
      <c r="X192" s="168"/>
      <c r="Y192" s="376"/>
      <c r="Z192" s="73"/>
      <c r="AA192" s="73"/>
      <c r="AB192" s="73"/>
    </row>
    <row r="193" spans="1:28" x14ac:dyDescent="0.2">
      <c r="A193" s="72"/>
      <c r="B193" s="74"/>
      <c r="C193" s="72"/>
      <c r="D193" s="168" t="s">
        <v>369</v>
      </c>
      <c r="E193" s="72">
        <v>11</v>
      </c>
      <c r="F193" s="121">
        <v>266944.13</v>
      </c>
      <c r="G193" s="54"/>
      <c r="H193" s="72"/>
      <c r="I193" s="187"/>
      <c r="J193" s="72"/>
      <c r="K193" s="72"/>
      <c r="L193" s="72"/>
      <c r="M193" s="84"/>
      <c r="N193" s="84"/>
      <c r="O193" s="77"/>
      <c r="P193" s="168"/>
      <c r="Q193" s="168"/>
      <c r="R193" s="193"/>
      <c r="S193" s="78"/>
      <c r="T193" s="79"/>
      <c r="U193" s="193"/>
      <c r="V193" s="78"/>
      <c r="W193" s="168"/>
      <c r="X193" s="168"/>
      <c r="Y193" s="376"/>
      <c r="Z193" s="73"/>
      <c r="AA193" s="73"/>
      <c r="AB193" s="73"/>
    </row>
    <row r="194" spans="1:28" ht="15" x14ac:dyDescent="0.25">
      <c r="A194" s="72"/>
      <c r="B194" s="77"/>
      <c r="C194" s="72"/>
      <c r="D194" s="168" t="s">
        <v>370</v>
      </c>
      <c r="E194" s="72">
        <v>11</v>
      </c>
      <c r="F194" s="121">
        <v>32033.295599999998</v>
      </c>
      <c r="G194" s="79"/>
      <c r="H194" s="72"/>
      <c r="I194" s="121"/>
      <c r="J194" s="72"/>
      <c r="K194" s="80"/>
      <c r="L194" s="72"/>
      <c r="M194" s="84"/>
      <c r="N194" s="84"/>
      <c r="O194" s="69"/>
      <c r="P194" s="69"/>
      <c r="Q194" s="69"/>
      <c r="R194" s="69"/>
      <c r="S194" s="69"/>
      <c r="T194" s="69"/>
      <c r="U194" s="69"/>
      <c r="V194" s="108"/>
      <c r="W194" s="69"/>
      <c r="X194" s="69"/>
      <c r="Y194" s="69"/>
      <c r="Z194" s="73"/>
      <c r="AA194" s="73"/>
      <c r="AB194" s="73"/>
    </row>
    <row r="195" spans="1:28" ht="15.75" x14ac:dyDescent="0.25">
      <c r="B195" s="185"/>
      <c r="C195" s="185"/>
      <c r="D195" s="185" t="s">
        <v>238</v>
      </c>
      <c r="E195" s="39">
        <v>19</v>
      </c>
      <c r="F195" s="121">
        <v>9776</v>
      </c>
      <c r="H195" s="72"/>
      <c r="I195" s="187"/>
      <c r="M195" s="165"/>
      <c r="O195" s="200"/>
      <c r="P195" s="168"/>
      <c r="Q195" s="377"/>
      <c r="R195" s="377"/>
      <c r="S195" s="377"/>
      <c r="T195" s="377"/>
      <c r="U195" s="377"/>
      <c r="V195" s="377"/>
      <c r="W195" s="377"/>
      <c r="X195" s="168"/>
      <c r="Y195" s="220"/>
      <c r="Z195" s="73"/>
      <c r="AA195" s="73"/>
      <c r="AB195" s="73"/>
    </row>
    <row r="196" spans="1:28" s="161" customFormat="1" x14ac:dyDescent="0.2">
      <c r="A196" s="162"/>
      <c r="B196" s="162"/>
      <c r="C196" s="162"/>
      <c r="D196" s="163" t="s">
        <v>371</v>
      </c>
      <c r="E196" s="168">
        <v>2</v>
      </c>
      <c r="F196" s="121">
        <v>711</v>
      </c>
      <c r="G196" s="162"/>
      <c r="H196" s="168"/>
      <c r="I196" s="165"/>
      <c r="O196" s="74"/>
      <c r="P196" s="168"/>
      <c r="Q196" s="168"/>
      <c r="R196" s="193"/>
      <c r="S196" s="187"/>
      <c r="T196" s="54"/>
      <c r="U196" s="193"/>
      <c r="V196" s="187"/>
      <c r="W196" s="168"/>
      <c r="X196" s="168"/>
      <c r="Y196" s="168"/>
      <c r="Z196" s="73"/>
      <c r="AA196" s="73"/>
      <c r="AB196" s="73"/>
    </row>
    <row r="197" spans="1:28" s="161" customFormat="1" x14ac:dyDescent="0.2">
      <c r="A197" s="185"/>
      <c r="B197" s="185"/>
      <c r="C197" s="185"/>
      <c r="D197" s="163" t="s">
        <v>372</v>
      </c>
      <c r="E197" s="168"/>
      <c r="F197" s="121">
        <v>995.6</v>
      </c>
      <c r="G197" s="185"/>
      <c r="H197" s="168"/>
      <c r="I197" s="187"/>
      <c r="O197" s="74"/>
      <c r="P197" s="168"/>
      <c r="Q197" s="168"/>
      <c r="R197" s="193"/>
      <c r="S197" s="187"/>
      <c r="T197" s="54"/>
      <c r="U197" s="193"/>
      <c r="V197" s="187"/>
      <c r="W197" s="168"/>
      <c r="X197" s="168"/>
      <c r="Y197" s="168"/>
      <c r="Z197" s="73"/>
      <c r="AA197" s="73"/>
      <c r="AB197" s="73"/>
    </row>
    <row r="198" spans="1:28" ht="13.5" thickBot="1" x14ac:dyDescent="0.25">
      <c r="D198" s="39" t="s">
        <v>352</v>
      </c>
      <c r="E198" s="171" t="s">
        <v>347</v>
      </c>
      <c r="F198" s="173">
        <f>SUM(F192:F197)</f>
        <v>344776.41560000001</v>
      </c>
      <c r="G198" s="101"/>
      <c r="H198" s="175"/>
      <c r="I198" s="226">
        <f>SUM(I192:I196)</f>
        <v>0</v>
      </c>
      <c r="J198" s="176" t="s">
        <v>348</v>
      </c>
      <c r="L198" s="50"/>
      <c r="M198" s="50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</row>
    <row r="199" spans="1:28" s="161" customFormat="1" ht="13.5" thickTop="1" x14ac:dyDescent="0.2">
      <c r="A199" s="185"/>
      <c r="B199" s="185"/>
      <c r="C199" s="185"/>
      <c r="D199" s="185"/>
      <c r="E199" s="168"/>
      <c r="F199" s="187"/>
      <c r="G199" s="168"/>
      <c r="H199" s="168"/>
      <c r="I199" s="187"/>
      <c r="J199" s="168"/>
      <c r="K199" s="73"/>
      <c r="L199" s="187"/>
      <c r="M199" s="187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</row>
    <row r="200" spans="1:28" ht="15" x14ac:dyDescent="0.25">
      <c r="D200" s="55"/>
      <c r="F200" s="71"/>
      <c r="G200" s="163"/>
      <c r="H200" s="168"/>
      <c r="I200" s="187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</row>
    <row r="201" spans="1:28" x14ac:dyDescent="0.2">
      <c r="D201" s="82" t="s">
        <v>239</v>
      </c>
      <c r="F201" s="209">
        <v>0</v>
      </c>
      <c r="H201" s="72">
        <v>4</v>
      </c>
      <c r="I201" s="209">
        <v>313488</v>
      </c>
      <c r="J201" s="38" t="s">
        <v>361</v>
      </c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</row>
    <row r="202" spans="1:28" x14ac:dyDescent="0.2">
      <c r="D202" s="82"/>
      <c r="F202" s="50"/>
      <c r="H202" s="72">
        <v>5</v>
      </c>
      <c r="I202" s="209">
        <v>1024675</v>
      </c>
      <c r="J202" s="73" t="s">
        <v>362</v>
      </c>
      <c r="K202" s="73"/>
      <c r="L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</row>
    <row r="203" spans="1:28" x14ac:dyDescent="0.2">
      <c r="D203" s="82"/>
      <c r="F203" s="50"/>
      <c r="H203" s="72">
        <v>6</v>
      </c>
      <c r="I203" s="50">
        <v>0</v>
      </c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</row>
    <row r="204" spans="1:28" x14ac:dyDescent="0.2">
      <c r="D204" s="55"/>
      <c r="F204" s="209"/>
      <c r="H204" s="72">
        <v>7</v>
      </c>
      <c r="I204" s="209">
        <v>0</v>
      </c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</row>
    <row r="205" spans="1:28" x14ac:dyDescent="0.2">
      <c r="F205" s="209"/>
      <c r="H205" s="72">
        <v>21</v>
      </c>
      <c r="I205" s="209">
        <v>93914</v>
      </c>
      <c r="J205" s="38" t="s">
        <v>364</v>
      </c>
      <c r="L205" s="50"/>
      <c r="M205" s="187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</row>
    <row r="206" spans="1:28" x14ac:dyDescent="0.2">
      <c r="D206" s="39" t="s">
        <v>363</v>
      </c>
      <c r="F206" s="209">
        <f>F184</f>
        <v>8194</v>
      </c>
      <c r="H206" s="72"/>
      <c r="I206" s="209">
        <v>0</v>
      </c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</row>
    <row r="207" spans="1:28" x14ac:dyDescent="0.2">
      <c r="F207" s="38"/>
      <c r="H207" s="72">
        <v>27</v>
      </c>
      <c r="I207" s="209">
        <v>0</v>
      </c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</row>
    <row r="208" spans="1:28" s="158" customFormat="1" x14ac:dyDescent="0.2">
      <c r="A208" s="159"/>
      <c r="B208" s="159"/>
      <c r="C208" s="159"/>
      <c r="D208" s="159" t="s">
        <v>353</v>
      </c>
      <c r="E208" s="185"/>
      <c r="F208" s="186"/>
      <c r="G208" s="159"/>
      <c r="H208" s="185">
        <v>21</v>
      </c>
      <c r="I208" s="210">
        <v>0</v>
      </c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</row>
    <row r="209" spans="1:43" ht="13.5" thickBot="1" x14ac:dyDescent="0.25">
      <c r="E209" s="163" t="s">
        <v>349</v>
      </c>
      <c r="F209" s="177">
        <f>SUM(F201:F208)</f>
        <v>8194</v>
      </c>
      <c r="G209" s="169"/>
      <c r="H209" s="169"/>
      <c r="I209" s="179">
        <f>SUM(I201:I208)</f>
        <v>1432077</v>
      </c>
      <c r="J209" s="163" t="s">
        <v>350</v>
      </c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</row>
    <row r="210" spans="1:43" ht="13.5" thickTop="1" x14ac:dyDescent="0.2">
      <c r="H210" s="72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</row>
    <row r="211" spans="1:43" x14ac:dyDescent="0.2">
      <c r="H211" s="72"/>
      <c r="I211" s="178">
        <v>0</v>
      </c>
      <c r="K211" s="178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</row>
    <row r="212" spans="1:43" x14ac:dyDescent="0.2">
      <c r="H212" s="72"/>
      <c r="I212" s="178">
        <f>I211-I209</f>
        <v>-1432077</v>
      </c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</row>
    <row r="213" spans="1:43" s="40" customFormat="1" x14ac:dyDescent="0.2">
      <c r="A213" s="39"/>
      <c r="B213" s="39"/>
      <c r="C213" s="39"/>
      <c r="D213" s="39"/>
      <c r="E213" s="39"/>
      <c r="G213" s="39"/>
      <c r="H213" s="72"/>
      <c r="J213" s="38"/>
      <c r="K213" s="38"/>
      <c r="L213" s="38"/>
      <c r="M213" s="38"/>
      <c r="N213" s="38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38"/>
      <c r="AD213" s="38"/>
      <c r="AE213" s="38"/>
      <c r="AF213" s="38"/>
      <c r="AG213" s="38"/>
      <c r="AH213" s="38"/>
      <c r="AI213" s="38"/>
      <c r="AJ213" s="38"/>
      <c r="AK213" s="38"/>
      <c r="AL213" s="38"/>
      <c r="AM213" s="38"/>
      <c r="AN213" s="38"/>
      <c r="AO213" s="38"/>
      <c r="AP213" s="38"/>
      <c r="AQ213" s="38"/>
    </row>
    <row r="214" spans="1:43" s="40" customFormat="1" x14ac:dyDescent="0.2">
      <c r="A214" s="39"/>
      <c r="B214" s="39"/>
      <c r="C214" s="39"/>
      <c r="D214" s="39"/>
      <c r="E214" s="39"/>
      <c r="F214" s="135">
        <f>F209-'CONSOLIDADO SEPTIEMBRE 2017KPMG'!K145</f>
        <v>0</v>
      </c>
      <c r="G214" s="39"/>
      <c r="H214" s="72"/>
      <c r="I214" s="178">
        <f>I212+'CONSOLIDADO SEPTIEMBRE 2017KPMG'!N145</f>
        <v>0</v>
      </c>
      <c r="J214" s="38"/>
      <c r="K214" s="38"/>
      <c r="L214" s="38"/>
      <c r="M214" s="38"/>
      <c r="N214" s="38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  <c r="AC214" s="38"/>
      <c r="AD214" s="38"/>
      <c r="AE214" s="38"/>
      <c r="AF214" s="38"/>
      <c r="AG214" s="38"/>
      <c r="AH214" s="38"/>
      <c r="AI214" s="38"/>
      <c r="AJ214" s="38"/>
      <c r="AK214" s="38"/>
      <c r="AL214" s="38"/>
      <c r="AM214" s="38"/>
      <c r="AN214" s="38"/>
      <c r="AO214" s="38"/>
      <c r="AP214" s="38"/>
      <c r="AQ214" s="38"/>
    </row>
    <row r="215" spans="1:43" x14ac:dyDescent="0.2"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</row>
    <row r="216" spans="1:43" x14ac:dyDescent="0.2"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</row>
    <row r="217" spans="1:43" x14ac:dyDescent="0.2"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</row>
    <row r="218" spans="1:43" x14ac:dyDescent="0.2">
      <c r="F218" s="135">
        <f>F60+F74+F83+F124</f>
        <v>1173878.3999999999</v>
      </c>
      <c r="I218" s="134">
        <f>I55+I62+I76+I83+I124+I185</f>
        <v>1039462.75</v>
      </c>
      <c r="K218" s="228">
        <f>F218-I218</f>
        <v>134415.64999999991</v>
      </c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</row>
    <row r="219" spans="1:43" x14ac:dyDescent="0.2">
      <c r="K219" s="38">
        <f>93914</f>
        <v>93914</v>
      </c>
    </row>
    <row r="220" spans="1:43" x14ac:dyDescent="0.2">
      <c r="K220" s="228">
        <f>K218-K219</f>
        <v>40501.649999999907</v>
      </c>
    </row>
  </sheetData>
  <mergeCells count="9">
    <mergeCell ref="Y189:Y193"/>
    <mergeCell ref="Q195:W195"/>
    <mergeCell ref="N122:T122"/>
    <mergeCell ref="V122:V127"/>
    <mergeCell ref="D8:E8"/>
    <mergeCell ref="F8:I8"/>
    <mergeCell ref="D9:E9"/>
    <mergeCell ref="B179:D179"/>
    <mergeCell ref="O45:U45"/>
  </mergeCells>
  <printOptions horizontalCentered="1"/>
  <pageMargins left="0.19685039370078741" right="0.19685039370078741" top="0.19685039370078741" bottom="0" header="0" footer="0"/>
  <pageSetup scale="60" fitToWidth="2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5:N11"/>
  <sheetViews>
    <sheetView topLeftCell="A7" workbookViewId="0">
      <selection activeCell="B6" sqref="B6:D7"/>
    </sheetView>
  </sheetViews>
  <sheetFormatPr baseColWidth="10" defaultRowHeight="15" x14ac:dyDescent="0.25"/>
  <cols>
    <col min="3" max="3" width="8.85546875" bestFit="1" customWidth="1"/>
    <col min="4" max="4" width="16.7109375" bestFit="1" customWidth="1"/>
  </cols>
  <sheetData>
    <row r="5" spans="3:14" x14ac:dyDescent="0.25">
      <c r="C5" s="148"/>
      <c r="D5" s="149"/>
    </row>
    <row r="6" spans="3:14" x14ac:dyDescent="0.25">
      <c r="D6" s="151"/>
      <c r="E6" s="151">
        <v>2016</v>
      </c>
      <c r="F6" s="152">
        <v>42736</v>
      </c>
      <c r="G6" s="152">
        <v>42767</v>
      </c>
      <c r="H6" s="152">
        <v>42795</v>
      </c>
      <c r="I6" s="152">
        <v>42826</v>
      </c>
      <c r="J6" s="152">
        <v>42856</v>
      </c>
      <c r="K6" s="152">
        <v>42887</v>
      </c>
      <c r="L6" s="152">
        <v>42917</v>
      </c>
      <c r="M6" s="152">
        <v>42948</v>
      </c>
      <c r="N6" s="152">
        <v>42979</v>
      </c>
    </row>
    <row r="7" spans="3:14" x14ac:dyDescent="0.25">
      <c r="C7" s="148"/>
      <c r="D7" s="149" t="s">
        <v>334</v>
      </c>
      <c r="E7" s="20">
        <f>-180194</f>
        <v>-180194</v>
      </c>
      <c r="F7" s="20">
        <f>-180194</f>
        <v>-180194</v>
      </c>
      <c r="G7" s="20">
        <f>-187775</f>
        <v>-187775</v>
      </c>
      <c r="H7" s="20">
        <f>-191566</f>
        <v>-191566</v>
      </c>
      <c r="I7" s="20">
        <f>-195339</f>
        <v>-195339</v>
      </c>
      <c r="J7" s="20">
        <f>-199117</f>
        <v>-199117</v>
      </c>
      <c r="K7" s="20">
        <v>-202895</v>
      </c>
      <c r="L7" s="20">
        <v>-207025</v>
      </c>
      <c r="M7" s="20">
        <v>-207746.43</v>
      </c>
      <c r="N7" s="20">
        <f>-210166</f>
        <v>-210166</v>
      </c>
    </row>
    <row r="8" spans="3:14" x14ac:dyDescent="0.25">
      <c r="E8" s="20"/>
      <c r="F8" s="20">
        <f>-15162</f>
        <v>-15162</v>
      </c>
      <c r="G8" s="20">
        <f>-13959</f>
        <v>-13959</v>
      </c>
      <c r="H8" s="20">
        <f>-13959</f>
        <v>-13959</v>
      </c>
      <c r="I8" s="20">
        <f>-7564</f>
        <v>-7564</v>
      </c>
      <c r="J8" s="20">
        <f>-984</f>
        <v>-984</v>
      </c>
      <c r="K8" s="20">
        <v>0</v>
      </c>
      <c r="L8" s="20">
        <v>0</v>
      </c>
      <c r="M8" s="20">
        <v>0</v>
      </c>
      <c r="N8" s="20">
        <f>2144.13</f>
        <v>2144.13</v>
      </c>
    </row>
    <row r="9" spans="3:14" x14ac:dyDescent="0.25">
      <c r="D9" s="149" t="s">
        <v>335</v>
      </c>
      <c r="E9" s="20">
        <f>-29743</f>
        <v>-29743</v>
      </c>
      <c r="F9" s="20">
        <f>-29743</f>
        <v>-29743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</row>
    <row r="10" spans="3:14" x14ac:dyDescent="0.25"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</row>
    <row r="11" spans="3:14" x14ac:dyDescent="0.25">
      <c r="C11" s="146" t="s">
        <v>332</v>
      </c>
      <c r="D11" s="147" t="s">
        <v>333</v>
      </c>
      <c r="E11" s="150">
        <f>SUM(E7:E10)</f>
        <v>-209937</v>
      </c>
      <c r="F11" s="150">
        <f t="shared" ref="F11:N11" si="0">SUM(F7:F10)</f>
        <v>-225099</v>
      </c>
      <c r="G11" s="150">
        <f t="shared" si="0"/>
        <v>-201734</v>
      </c>
      <c r="H11" s="150">
        <f t="shared" si="0"/>
        <v>-205525</v>
      </c>
      <c r="I11" s="150">
        <f t="shared" si="0"/>
        <v>-202903</v>
      </c>
      <c r="J11" s="150">
        <f t="shared" si="0"/>
        <v>-200101</v>
      </c>
      <c r="K11" s="150">
        <f t="shared" si="0"/>
        <v>-202895</v>
      </c>
      <c r="L11" s="150">
        <f t="shared" si="0"/>
        <v>-207025</v>
      </c>
      <c r="M11" s="150">
        <f t="shared" si="0"/>
        <v>-207746.43</v>
      </c>
      <c r="N11" s="150">
        <f t="shared" si="0"/>
        <v>-208021.87</v>
      </c>
    </row>
  </sheetData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9"/>
  <sheetViews>
    <sheetView topLeftCell="B79" zoomScaleNormal="100" workbookViewId="0">
      <selection activeCell="B6" sqref="B6:D7"/>
    </sheetView>
  </sheetViews>
  <sheetFormatPr baseColWidth="10" defaultColWidth="11.42578125" defaultRowHeight="12.75" x14ac:dyDescent="0.2"/>
  <cols>
    <col min="1" max="1" width="2.85546875" style="39" customWidth="1"/>
    <col min="2" max="2" width="9.85546875" style="39" customWidth="1"/>
    <col min="3" max="3" width="3.140625" style="39" customWidth="1"/>
    <col min="4" max="4" width="45" style="39" customWidth="1"/>
    <col min="5" max="5" width="2.7109375" style="39" customWidth="1"/>
    <col min="6" max="6" width="12.42578125" style="40" customWidth="1"/>
    <col min="7" max="7" width="1.5703125" style="40" customWidth="1"/>
    <col min="8" max="8" width="2.5703125" style="40" customWidth="1"/>
    <col min="9" max="9" width="10.7109375" style="40" customWidth="1"/>
    <col min="10" max="10" width="10.28515625" style="41" hidden="1" customWidth="1"/>
    <col min="11" max="13" width="0" style="41" hidden="1" customWidth="1"/>
    <col min="14" max="14" width="37.85546875" style="41" hidden="1" customWidth="1"/>
    <col min="15" max="15" width="0" style="41" hidden="1" customWidth="1"/>
    <col min="16" max="16" width="8.85546875" style="40" customWidth="1"/>
    <col min="17" max="17" width="9.85546875" style="40" customWidth="1"/>
    <col min="18" max="18" width="3.140625" style="40" customWidth="1"/>
    <col min="19" max="19" width="35.7109375" style="40" customWidth="1"/>
    <col min="20" max="20" width="2.7109375" style="40" customWidth="1"/>
    <col min="21" max="21" width="12.42578125" style="40" customWidth="1"/>
    <col min="22" max="22" width="1.5703125" style="40" customWidth="1"/>
    <col min="23" max="23" width="5.28515625" style="40" customWidth="1"/>
    <col min="24" max="24" width="10.7109375" style="40" customWidth="1"/>
    <col min="25" max="25" width="12.85546875" style="41" bestFit="1" customWidth="1"/>
    <col min="26" max="16384" width="11.42578125" style="38"/>
  </cols>
  <sheetData>
    <row r="1" spans="1:26" ht="9.9499999999999993" customHeight="1" x14ac:dyDescent="0.2">
      <c r="A1" s="38"/>
      <c r="B1" s="39" t="s">
        <v>141</v>
      </c>
      <c r="P1" s="41"/>
      <c r="Q1" s="40" t="s">
        <v>141</v>
      </c>
    </row>
    <row r="2" spans="1:26" ht="9.9499999999999993" customHeight="1" x14ac:dyDescent="0.2">
      <c r="A2" s="38"/>
      <c r="B2" s="39" t="s">
        <v>142</v>
      </c>
      <c r="P2" s="41"/>
      <c r="Q2" s="40" t="s">
        <v>142</v>
      </c>
    </row>
    <row r="3" spans="1:26" ht="9.9499999999999993" customHeight="1" x14ac:dyDescent="0.2">
      <c r="A3" s="38"/>
      <c r="B3" s="39" t="s">
        <v>143</v>
      </c>
      <c r="P3" s="41"/>
      <c r="Q3" s="40" t="s">
        <v>143</v>
      </c>
    </row>
    <row r="4" spans="1:26" ht="9.9499999999999993" customHeight="1" x14ac:dyDescent="0.2">
      <c r="A4" s="38"/>
      <c r="B4" s="39" t="s">
        <v>309</v>
      </c>
      <c r="I4" s="40" t="s">
        <v>145</v>
      </c>
      <c r="P4" s="41"/>
      <c r="Q4" s="40" t="s">
        <v>144</v>
      </c>
      <c r="X4" s="27" t="s">
        <v>145</v>
      </c>
      <c r="Y4" s="27"/>
    </row>
    <row r="5" spans="1:26" ht="9.9499999999999993" customHeight="1" x14ac:dyDescent="0.2">
      <c r="A5" s="38"/>
      <c r="B5" s="39" t="s">
        <v>310</v>
      </c>
      <c r="F5" s="41"/>
      <c r="G5" s="41"/>
      <c r="H5" s="41"/>
      <c r="I5" s="40" t="s">
        <v>311</v>
      </c>
      <c r="P5" s="41"/>
      <c r="Q5" s="40" t="s">
        <v>146</v>
      </c>
      <c r="U5" s="41"/>
      <c r="V5" s="41"/>
      <c r="W5" s="41"/>
      <c r="X5" s="27" t="s">
        <v>148</v>
      </c>
      <c r="Y5" s="27"/>
    </row>
    <row r="6" spans="1:26" ht="9.9499999999999993" customHeight="1" x14ac:dyDescent="0.2">
      <c r="A6" s="38"/>
      <c r="B6" s="42" t="s">
        <v>312</v>
      </c>
      <c r="C6" s="43"/>
      <c r="F6" s="41"/>
      <c r="G6" s="41"/>
      <c r="H6" s="41"/>
      <c r="I6" s="40" t="s">
        <v>313</v>
      </c>
      <c r="P6" s="41"/>
      <c r="Q6" s="127" t="s">
        <v>151</v>
      </c>
      <c r="R6" s="43"/>
      <c r="U6" s="41"/>
      <c r="V6" s="41"/>
      <c r="W6" s="41"/>
      <c r="X6" s="27" t="s">
        <v>149</v>
      </c>
      <c r="Y6" s="27"/>
    </row>
    <row r="7" spans="1:26" x14ac:dyDescent="0.2">
      <c r="A7" s="38"/>
      <c r="B7" s="42" t="s">
        <v>314</v>
      </c>
      <c r="C7" s="43"/>
      <c r="F7" s="41"/>
      <c r="G7" s="41"/>
      <c r="H7" s="41"/>
      <c r="I7" s="40" t="s">
        <v>150</v>
      </c>
      <c r="P7" s="41"/>
      <c r="Q7" s="127" t="s">
        <v>152</v>
      </c>
      <c r="R7" s="43"/>
      <c r="U7" s="41"/>
      <c r="V7" s="41"/>
      <c r="W7" s="41"/>
      <c r="X7" s="40" t="s">
        <v>150</v>
      </c>
    </row>
    <row r="8" spans="1:26" ht="14.25" customHeight="1" x14ac:dyDescent="0.2">
      <c r="A8" s="38"/>
      <c r="B8" s="112"/>
      <c r="C8" s="112"/>
      <c r="D8" s="371"/>
      <c r="E8" s="371"/>
      <c r="F8" s="379" t="s">
        <v>136</v>
      </c>
      <c r="G8" s="379"/>
      <c r="H8" s="379"/>
      <c r="I8" s="379"/>
      <c r="P8" s="41"/>
      <c r="Q8" s="128"/>
      <c r="R8" s="128"/>
      <c r="S8" s="379"/>
      <c r="T8" s="379"/>
      <c r="U8" s="379" t="s">
        <v>136</v>
      </c>
      <c r="V8" s="379"/>
      <c r="W8" s="379"/>
      <c r="X8" s="379"/>
    </row>
    <row r="9" spans="1:26" ht="11.1" customHeight="1" x14ac:dyDescent="0.2">
      <c r="A9" s="38"/>
      <c r="B9" s="113" t="s">
        <v>161</v>
      </c>
      <c r="C9" s="113"/>
      <c r="D9" s="372" t="s">
        <v>162</v>
      </c>
      <c r="E9" s="372"/>
      <c r="F9" s="44" t="s">
        <v>137</v>
      </c>
      <c r="G9" s="44"/>
      <c r="H9" s="44"/>
      <c r="I9" s="44" t="s">
        <v>138</v>
      </c>
      <c r="P9" s="41"/>
      <c r="Q9" s="44" t="s">
        <v>161</v>
      </c>
      <c r="R9" s="44"/>
      <c r="S9" s="380" t="s">
        <v>162</v>
      </c>
      <c r="T9" s="380"/>
      <c r="U9" s="44" t="s">
        <v>137</v>
      </c>
      <c r="V9" s="44"/>
      <c r="W9" s="44"/>
      <c r="X9" s="44" t="s">
        <v>138</v>
      </c>
    </row>
    <row r="10" spans="1:26" ht="22.5" customHeight="1" x14ac:dyDescent="0.25">
      <c r="A10" s="38"/>
      <c r="B10" s="45" t="s">
        <v>163</v>
      </c>
      <c r="C10" s="46"/>
      <c r="D10" s="47"/>
      <c r="E10" s="46"/>
      <c r="F10" s="48"/>
      <c r="G10" s="56"/>
      <c r="H10" s="56"/>
      <c r="I10" s="48"/>
      <c r="P10" s="41"/>
      <c r="Q10" s="129" t="s">
        <v>163</v>
      </c>
      <c r="R10" s="56"/>
      <c r="S10" s="48"/>
      <c r="T10" s="56"/>
      <c r="U10" s="48"/>
      <c r="V10" s="56"/>
      <c r="W10" s="56"/>
      <c r="X10" s="48"/>
    </row>
    <row r="11" spans="1:26" s="39" customFormat="1" ht="18" customHeight="1" x14ac:dyDescent="0.25">
      <c r="B11" s="45" t="s">
        <v>164</v>
      </c>
      <c r="E11" s="49"/>
      <c r="F11" s="48"/>
      <c r="G11" s="56"/>
      <c r="H11" s="56"/>
      <c r="I11" s="50"/>
      <c r="J11" s="40"/>
      <c r="K11" s="40"/>
      <c r="L11" s="40"/>
      <c r="M11" s="40"/>
      <c r="N11" s="40"/>
      <c r="O11" s="40"/>
      <c r="P11" s="40"/>
      <c r="Q11" s="129" t="s">
        <v>164</v>
      </c>
      <c r="R11" s="40"/>
      <c r="S11" s="40"/>
      <c r="T11" s="130"/>
      <c r="U11" s="48"/>
      <c r="V11" s="56"/>
      <c r="W11" s="56"/>
      <c r="X11" s="50"/>
      <c r="Y11" s="40"/>
    </row>
    <row r="12" spans="1:26" s="39" customFormat="1" ht="11.1" customHeight="1" x14ac:dyDescent="0.25">
      <c r="B12" s="51"/>
      <c r="D12" s="39" t="s">
        <v>165</v>
      </c>
      <c r="E12" s="52">
        <v>1</v>
      </c>
      <c r="F12" s="48">
        <v>27191.69</v>
      </c>
      <c r="G12" s="53"/>
      <c r="H12" s="54"/>
      <c r="I12" s="48"/>
      <c r="J12" s="40"/>
      <c r="K12" s="40" t="s">
        <v>166</v>
      </c>
      <c r="L12" s="40"/>
      <c r="M12" s="40"/>
      <c r="N12" s="40" t="s">
        <v>167</v>
      </c>
      <c r="O12" s="40"/>
      <c r="P12" s="40"/>
      <c r="Q12" s="129"/>
      <c r="R12" s="40"/>
      <c r="S12" s="40"/>
      <c r="T12" s="130"/>
      <c r="U12" s="48"/>
      <c r="V12" s="56"/>
      <c r="W12" s="56"/>
      <c r="X12" s="50"/>
      <c r="Y12" s="40"/>
    </row>
    <row r="13" spans="1:26" s="39" customFormat="1" ht="11.1" customHeight="1" x14ac:dyDescent="0.25">
      <c r="B13" s="51"/>
      <c r="D13" s="39" t="s">
        <v>165</v>
      </c>
      <c r="E13" s="52">
        <v>2</v>
      </c>
      <c r="F13" s="48">
        <v>392971.15</v>
      </c>
      <c r="G13" s="53"/>
      <c r="H13" s="54"/>
      <c r="I13" s="48"/>
      <c r="J13" s="48"/>
      <c r="K13" s="40" t="s">
        <v>168</v>
      </c>
      <c r="L13" s="40"/>
      <c r="M13" s="40"/>
      <c r="N13" s="40" t="s">
        <v>169</v>
      </c>
      <c r="O13" s="40"/>
      <c r="P13" s="40"/>
      <c r="Q13" s="129" t="s">
        <v>242</v>
      </c>
      <c r="R13" s="40"/>
      <c r="S13" s="72" t="s">
        <v>243</v>
      </c>
      <c r="T13" s="130"/>
      <c r="U13" s="48"/>
      <c r="V13" s="56"/>
      <c r="W13" s="56"/>
      <c r="X13" s="50"/>
      <c r="Y13" s="40"/>
    </row>
    <row r="14" spans="1:26" s="39" customFormat="1" ht="11.1" customHeight="1" x14ac:dyDescent="0.2">
      <c r="B14" s="51"/>
      <c r="D14" s="39" t="s">
        <v>165</v>
      </c>
      <c r="E14" s="52">
        <v>3</v>
      </c>
      <c r="F14" s="48">
        <v>86588.3</v>
      </c>
      <c r="G14" s="53"/>
      <c r="H14" s="54"/>
      <c r="I14" s="48"/>
      <c r="J14" s="48"/>
      <c r="K14" s="40" t="s">
        <v>170</v>
      </c>
      <c r="L14" s="40"/>
      <c r="M14" s="40"/>
      <c r="N14" s="40" t="s">
        <v>171</v>
      </c>
      <c r="O14" s="72"/>
      <c r="P14" s="40"/>
      <c r="Q14" s="131"/>
      <c r="R14" s="40"/>
      <c r="S14" s="40" t="s">
        <v>165</v>
      </c>
      <c r="T14" s="52"/>
      <c r="U14" s="48">
        <v>0</v>
      </c>
      <c r="V14" s="53"/>
      <c r="W14" s="54"/>
      <c r="X14" s="48"/>
      <c r="Y14" s="40"/>
      <c r="Z14" s="39" t="s">
        <v>166</v>
      </c>
    </row>
    <row r="15" spans="1:26" s="39" customFormat="1" ht="11.1" customHeight="1" x14ac:dyDescent="0.2">
      <c r="B15" s="51"/>
      <c r="D15" s="39" t="s">
        <v>172</v>
      </c>
      <c r="E15" s="52">
        <v>4</v>
      </c>
      <c r="F15" s="48">
        <v>5767</v>
      </c>
      <c r="G15" s="53"/>
      <c r="H15" s="54"/>
      <c r="I15" s="48"/>
      <c r="J15" s="48"/>
      <c r="K15" s="40" t="s">
        <v>173</v>
      </c>
      <c r="L15" s="40"/>
      <c r="M15" s="40"/>
      <c r="N15" s="40" t="s">
        <v>174</v>
      </c>
      <c r="O15" s="40"/>
      <c r="P15" s="40"/>
      <c r="Q15" s="131">
        <v>8182</v>
      </c>
      <c r="R15" s="40"/>
      <c r="S15" s="40" t="s">
        <v>165</v>
      </c>
      <c r="T15" s="52"/>
      <c r="U15" s="48">
        <v>1365481.31</v>
      </c>
      <c r="V15" s="53"/>
      <c r="W15" s="54"/>
      <c r="X15" s="48"/>
      <c r="Y15" s="48"/>
      <c r="Z15" s="39" t="s">
        <v>168</v>
      </c>
    </row>
    <row r="16" spans="1:26" s="39" customFormat="1" ht="11.1" customHeight="1" x14ac:dyDescent="0.2">
      <c r="B16" s="51"/>
      <c r="D16" s="39" t="s">
        <v>172</v>
      </c>
      <c r="E16" s="52">
        <v>5</v>
      </c>
      <c r="F16" s="48">
        <v>128144.31</v>
      </c>
      <c r="G16" s="53"/>
      <c r="H16" s="54"/>
      <c r="I16" s="48"/>
      <c r="J16" s="48"/>
      <c r="K16" s="40" t="s">
        <v>175</v>
      </c>
      <c r="L16" s="40"/>
      <c r="M16" s="40"/>
      <c r="N16" s="40"/>
      <c r="O16" s="40"/>
      <c r="P16" s="40"/>
      <c r="Q16" s="131">
        <v>6349</v>
      </c>
      <c r="R16" s="40"/>
      <c r="S16" s="40" t="s">
        <v>165</v>
      </c>
      <c r="T16" s="52"/>
      <c r="U16" s="48">
        <v>428877.91</v>
      </c>
      <c r="V16" s="53"/>
      <c r="W16" s="54"/>
      <c r="X16" s="48"/>
      <c r="Y16" s="48"/>
      <c r="Z16" s="39" t="s">
        <v>170</v>
      </c>
    </row>
    <row r="17" spans="1:26" s="39" customFormat="1" ht="11.1" customHeight="1" x14ac:dyDescent="0.2">
      <c r="B17" s="51"/>
      <c r="D17" s="39" t="s">
        <v>172</v>
      </c>
      <c r="E17" s="52">
        <v>6</v>
      </c>
      <c r="F17" s="48">
        <f>167772.85+168000.02</f>
        <v>335772.87</v>
      </c>
      <c r="G17" s="53"/>
      <c r="H17" s="54"/>
      <c r="I17" s="48"/>
      <c r="J17" s="48"/>
      <c r="K17" s="40" t="s">
        <v>176</v>
      </c>
      <c r="L17" s="40"/>
      <c r="M17" s="40"/>
      <c r="N17" s="40"/>
      <c r="O17" s="40"/>
      <c r="P17" s="40"/>
      <c r="Q17" s="131">
        <v>10490</v>
      </c>
      <c r="R17" s="40"/>
      <c r="S17" s="40" t="s">
        <v>172</v>
      </c>
      <c r="T17" s="52"/>
      <c r="U17" s="48">
        <v>542436.76</v>
      </c>
      <c r="V17" s="53"/>
      <c r="W17" s="54"/>
      <c r="X17" s="48"/>
      <c r="Y17" s="48"/>
      <c r="Z17" s="39" t="s">
        <v>173</v>
      </c>
    </row>
    <row r="18" spans="1:26" s="39" customFormat="1" ht="11.1" customHeight="1" x14ac:dyDescent="0.2">
      <c r="B18" s="51"/>
      <c r="C18" s="51"/>
      <c r="D18" s="39" t="s">
        <v>178</v>
      </c>
      <c r="E18" s="52"/>
      <c r="F18" s="48"/>
      <c r="G18" s="56"/>
      <c r="H18" s="52">
        <v>1</v>
      </c>
      <c r="I18" s="48">
        <v>27191.69</v>
      </c>
      <c r="J18" s="48"/>
      <c r="K18" s="40" t="s">
        <v>166</v>
      </c>
      <c r="L18" s="40"/>
      <c r="M18" s="40"/>
      <c r="N18" s="40"/>
      <c r="O18" s="40"/>
      <c r="P18" s="40"/>
      <c r="Q18" s="131">
        <v>11414</v>
      </c>
      <c r="R18" s="40"/>
      <c r="S18" s="40" t="s">
        <v>172</v>
      </c>
      <c r="T18" s="52"/>
      <c r="U18" s="48">
        <v>459261.59</v>
      </c>
      <c r="V18" s="53"/>
      <c r="W18" s="54"/>
      <c r="X18" s="48"/>
      <c r="Y18" s="48"/>
      <c r="Z18" s="39" t="s">
        <v>175</v>
      </c>
    </row>
    <row r="19" spans="1:26" s="39" customFormat="1" ht="11.1" customHeight="1" x14ac:dyDescent="0.2">
      <c r="B19" s="51"/>
      <c r="C19" s="51"/>
      <c r="D19" s="39" t="s">
        <v>178</v>
      </c>
      <c r="E19" s="52"/>
      <c r="F19" s="48"/>
      <c r="G19" s="56"/>
      <c r="H19" s="52">
        <v>2</v>
      </c>
      <c r="I19" s="48">
        <v>392971.15</v>
      </c>
      <c r="J19" s="48"/>
      <c r="K19" s="40" t="s">
        <v>168</v>
      </c>
      <c r="L19" s="40"/>
      <c r="M19" s="40"/>
      <c r="N19" s="40"/>
      <c r="O19" s="40"/>
      <c r="P19" s="40"/>
      <c r="Q19" s="131">
        <v>8182</v>
      </c>
      <c r="R19" s="40"/>
      <c r="S19" s="40" t="s">
        <v>172</v>
      </c>
      <c r="T19" s="52"/>
      <c r="U19" s="48">
        <v>1627.06</v>
      </c>
      <c r="V19" s="53"/>
      <c r="W19" s="54"/>
      <c r="X19" s="48"/>
      <c r="Y19" s="48"/>
      <c r="Z19" s="39" t="s">
        <v>176</v>
      </c>
    </row>
    <row r="20" spans="1:26" s="39" customFormat="1" ht="11.1" customHeight="1" x14ac:dyDescent="0.2">
      <c r="B20" s="51"/>
      <c r="C20" s="51"/>
      <c r="D20" s="39" t="s">
        <v>178</v>
      </c>
      <c r="E20" s="52"/>
      <c r="F20" s="48"/>
      <c r="G20" s="56"/>
      <c r="H20" s="52">
        <v>3</v>
      </c>
      <c r="I20" s="48">
        <v>86588.3</v>
      </c>
      <c r="J20" s="48"/>
      <c r="K20" s="40" t="s">
        <v>170</v>
      </c>
      <c r="L20" s="40"/>
      <c r="M20" s="40"/>
      <c r="N20" s="40"/>
      <c r="O20" s="40"/>
      <c r="P20" s="40"/>
      <c r="Q20" s="131">
        <v>6349</v>
      </c>
      <c r="R20" s="40"/>
      <c r="S20" s="40" t="s">
        <v>165</v>
      </c>
      <c r="T20" s="52"/>
      <c r="U20" s="48">
        <v>3619.61</v>
      </c>
      <c r="V20" s="53"/>
      <c r="W20" s="54"/>
      <c r="X20" s="48"/>
      <c r="Y20" s="48"/>
      <c r="Z20" s="39" t="s">
        <v>177</v>
      </c>
    </row>
    <row r="21" spans="1:26" s="39" customFormat="1" ht="11.1" customHeight="1" x14ac:dyDescent="0.2">
      <c r="B21" s="51"/>
      <c r="C21" s="51"/>
      <c r="D21" s="39" t="s">
        <v>179</v>
      </c>
      <c r="E21" s="52"/>
      <c r="F21" s="48"/>
      <c r="G21" s="56"/>
      <c r="H21" s="52">
        <v>4</v>
      </c>
      <c r="I21" s="48">
        <v>5767</v>
      </c>
      <c r="J21" s="48"/>
      <c r="K21" s="40" t="s">
        <v>173</v>
      </c>
      <c r="L21" s="40"/>
      <c r="M21" s="40"/>
      <c r="N21" s="40"/>
      <c r="O21" s="40"/>
      <c r="P21" s="40"/>
      <c r="Q21" s="131">
        <v>3671</v>
      </c>
      <c r="R21" s="131"/>
      <c r="S21" s="40" t="s">
        <v>178</v>
      </c>
      <c r="T21" s="52"/>
      <c r="U21" s="48"/>
      <c r="V21" s="56"/>
      <c r="W21" s="52"/>
      <c r="X21" s="48">
        <v>0</v>
      </c>
      <c r="Y21" s="48"/>
      <c r="Z21" s="39" t="s">
        <v>166</v>
      </c>
    </row>
    <row r="22" spans="1:26" s="39" customFormat="1" ht="11.1" customHeight="1" x14ac:dyDescent="0.2">
      <c r="B22" s="51"/>
      <c r="C22" s="51"/>
      <c r="D22" s="39" t="s">
        <v>179</v>
      </c>
      <c r="E22" s="52"/>
      <c r="F22" s="48"/>
      <c r="G22" s="56"/>
      <c r="H22" s="52">
        <v>5</v>
      </c>
      <c r="I22" s="48">
        <v>128144.31</v>
      </c>
      <c r="J22" s="48"/>
      <c r="K22" s="40" t="s">
        <v>175</v>
      </c>
      <c r="L22" s="40"/>
      <c r="M22" s="40"/>
      <c r="N22" s="40"/>
      <c r="O22" s="40"/>
      <c r="P22" s="40"/>
      <c r="Q22" s="131">
        <v>4069</v>
      </c>
      <c r="R22" s="131"/>
      <c r="S22" s="40" t="s">
        <v>178</v>
      </c>
      <c r="T22" s="52"/>
      <c r="U22" s="48"/>
      <c r="V22" s="56"/>
      <c r="W22" s="52"/>
      <c r="X22" s="48">
        <v>1365481.31</v>
      </c>
      <c r="Y22" s="48"/>
      <c r="Z22" s="39" t="s">
        <v>168</v>
      </c>
    </row>
    <row r="23" spans="1:26" s="39" customFormat="1" ht="11.1" customHeight="1" x14ac:dyDescent="0.2">
      <c r="B23" s="51"/>
      <c r="C23" s="51"/>
      <c r="D23" s="39" t="s">
        <v>179</v>
      </c>
      <c r="E23" s="52"/>
      <c r="F23" s="48"/>
      <c r="G23" s="56"/>
      <c r="H23" s="52">
        <v>6</v>
      </c>
      <c r="I23" s="48">
        <f>167772.85+168000.02</f>
        <v>335772.87</v>
      </c>
      <c r="J23" s="48"/>
      <c r="K23" s="40" t="s">
        <v>176</v>
      </c>
      <c r="L23" s="40"/>
      <c r="M23" s="40"/>
      <c r="N23" s="40"/>
      <c r="O23" s="40"/>
      <c r="P23" s="40"/>
      <c r="Q23" s="131">
        <v>4069</v>
      </c>
      <c r="R23" s="131"/>
      <c r="S23" s="40" t="s">
        <v>178</v>
      </c>
      <c r="T23" s="52"/>
      <c r="U23" s="48"/>
      <c r="V23" s="56"/>
      <c r="W23" s="52"/>
      <c r="X23" s="48">
        <v>428877.91</v>
      </c>
      <c r="Y23" s="48"/>
      <c r="Z23" s="39" t="s">
        <v>170</v>
      </c>
    </row>
    <row r="24" spans="1:26" s="39" customFormat="1" ht="11.1" customHeight="1" thickBot="1" x14ac:dyDescent="0.25">
      <c r="B24" s="114" t="s">
        <v>180</v>
      </c>
      <c r="C24" s="51"/>
      <c r="E24" s="58"/>
      <c r="F24" s="59">
        <f>SUM(F12:F23)</f>
        <v>976435.32</v>
      </c>
      <c r="G24" s="60"/>
      <c r="H24" s="58"/>
      <c r="I24" s="59">
        <f>SUM(I12:I23)</f>
        <v>976435.32</v>
      </c>
      <c r="J24" s="40"/>
      <c r="K24" s="40"/>
      <c r="L24" s="40"/>
      <c r="M24" s="40"/>
      <c r="N24" s="40"/>
      <c r="O24" s="40"/>
      <c r="P24" s="40"/>
      <c r="Q24" s="131">
        <v>4069</v>
      </c>
      <c r="R24" s="131"/>
      <c r="S24" s="40" t="s">
        <v>179</v>
      </c>
      <c r="T24" s="52"/>
      <c r="U24" s="48"/>
      <c r="V24" s="56"/>
      <c r="W24" s="52"/>
      <c r="X24" s="48">
        <v>542436.76</v>
      </c>
      <c r="Y24" s="48"/>
      <c r="Z24" s="39" t="s">
        <v>173</v>
      </c>
    </row>
    <row r="25" spans="1:26" s="39" customFormat="1" ht="11.1" customHeight="1" thickTop="1" x14ac:dyDescent="0.2">
      <c r="B25" s="51"/>
      <c r="C25" s="51"/>
      <c r="E25" s="52"/>
      <c r="F25" s="48"/>
      <c r="G25" s="56"/>
      <c r="H25" s="52"/>
      <c r="I25" s="48"/>
      <c r="J25" s="40"/>
      <c r="K25" s="40"/>
      <c r="L25" s="40"/>
      <c r="M25" s="40"/>
      <c r="N25" s="40"/>
      <c r="O25" s="40"/>
      <c r="P25" s="40"/>
      <c r="Q25" s="131">
        <v>5389</v>
      </c>
      <c r="R25" s="131"/>
      <c r="S25" s="40" t="s">
        <v>179</v>
      </c>
      <c r="T25" s="52"/>
      <c r="U25" s="48"/>
      <c r="V25" s="56"/>
      <c r="W25" s="52"/>
      <c r="X25" s="48">
        <v>459261.59</v>
      </c>
      <c r="Y25" s="48"/>
      <c r="Z25" s="39" t="s">
        <v>175</v>
      </c>
    </row>
    <row r="26" spans="1:26" s="55" customFormat="1" ht="11.1" customHeight="1" x14ac:dyDescent="0.2">
      <c r="B26" s="61"/>
      <c r="C26" s="61"/>
      <c r="E26" s="62"/>
      <c r="F26" s="50"/>
      <c r="G26" s="54"/>
      <c r="H26" s="62"/>
      <c r="I26" s="50"/>
      <c r="J26" s="72"/>
      <c r="K26" s="72"/>
      <c r="L26" s="72"/>
      <c r="M26" s="72"/>
      <c r="N26" s="40"/>
      <c r="O26" s="40"/>
      <c r="P26" s="40"/>
      <c r="Q26" s="131">
        <v>5389</v>
      </c>
      <c r="R26" s="131"/>
      <c r="S26" s="40" t="s">
        <v>179</v>
      </c>
      <c r="T26" s="52"/>
      <c r="U26" s="48"/>
      <c r="V26" s="56"/>
      <c r="W26" s="52"/>
      <c r="X26" s="48">
        <v>1627.06</v>
      </c>
      <c r="Y26" s="48"/>
      <c r="Z26" s="39" t="s">
        <v>176</v>
      </c>
    </row>
    <row r="27" spans="1:26" s="39" customFormat="1" ht="11.1" customHeight="1" x14ac:dyDescent="0.2">
      <c r="A27" s="55"/>
      <c r="B27" s="61"/>
      <c r="C27" s="61"/>
      <c r="D27" s="55"/>
      <c r="E27" s="62"/>
      <c r="F27" s="50"/>
      <c r="G27" s="54"/>
      <c r="H27" s="62"/>
      <c r="I27" s="50"/>
      <c r="J27" s="40"/>
      <c r="K27" s="40" t="s">
        <v>173</v>
      </c>
      <c r="L27" s="40"/>
      <c r="M27" s="40"/>
      <c r="N27" s="40"/>
      <c r="O27" s="40"/>
      <c r="P27" s="40"/>
      <c r="Q27" s="131">
        <v>3681</v>
      </c>
      <c r="R27" s="131"/>
      <c r="S27" s="40" t="s">
        <v>178</v>
      </c>
      <c r="T27" s="52"/>
      <c r="U27" s="48"/>
      <c r="V27" s="56"/>
      <c r="W27" s="52"/>
      <c r="X27" s="48">
        <v>3619.61</v>
      </c>
      <c r="Y27" s="48"/>
      <c r="Z27" s="39" t="s">
        <v>177</v>
      </c>
    </row>
    <row r="28" spans="1:26" s="39" customFormat="1" ht="11.1" customHeight="1" thickBot="1" x14ac:dyDescent="0.25">
      <c r="A28" s="55"/>
      <c r="B28" s="61"/>
      <c r="C28" s="61"/>
      <c r="D28" s="55"/>
      <c r="E28" s="62"/>
      <c r="F28" s="50"/>
      <c r="G28" s="54"/>
      <c r="H28" s="62"/>
      <c r="I28" s="50"/>
      <c r="J28" s="40"/>
      <c r="K28" s="40" t="s">
        <v>176</v>
      </c>
      <c r="L28" s="40"/>
      <c r="M28" s="40"/>
      <c r="N28" s="40"/>
      <c r="O28" s="40"/>
      <c r="P28" s="40"/>
      <c r="Q28" s="132" t="s">
        <v>180</v>
      </c>
      <c r="R28" s="131"/>
      <c r="S28" s="40"/>
      <c r="T28" s="58"/>
      <c r="U28" s="59">
        <f>SUM(U14:U26)</f>
        <v>2801304.2399999998</v>
      </c>
      <c r="V28" s="60"/>
      <c r="W28" s="58"/>
      <c r="X28" s="59">
        <f>SUM(X14:X27)</f>
        <v>2801304.2399999998</v>
      </c>
      <c r="Y28" s="48">
        <f>+U28-X28</f>
        <v>0</v>
      </c>
    </row>
    <row r="29" spans="1:26" s="39" customFormat="1" ht="9.75" customHeight="1" thickTop="1" x14ac:dyDescent="0.2">
      <c r="A29" s="55"/>
      <c r="B29" s="61"/>
      <c r="C29" s="61"/>
      <c r="D29" s="55"/>
      <c r="E29" s="62"/>
      <c r="F29" s="50"/>
      <c r="G29" s="54"/>
      <c r="H29" s="62"/>
      <c r="I29" s="50"/>
      <c r="J29" s="48"/>
      <c r="K29" s="40" t="s">
        <v>176</v>
      </c>
      <c r="L29" s="40"/>
      <c r="M29" s="40"/>
      <c r="N29" s="40"/>
      <c r="O29" s="40"/>
      <c r="P29" s="40"/>
      <c r="Q29" s="131"/>
      <c r="R29" s="131"/>
      <c r="S29" s="40"/>
      <c r="T29" s="52"/>
      <c r="U29" s="48">
        <f>U28-2801304.24</f>
        <v>0</v>
      </c>
      <c r="V29" s="56"/>
      <c r="W29" s="52"/>
      <c r="X29" s="48"/>
      <c r="Y29" s="40"/>
    </row>
    <row r="30" spans="1:26" s="39" customFormat="1" ht="9.75" customHeight="1" x14ac:dyDescent="0.25">
      <c r="A30" s="55"/>
      <c r="B30" s="61"/>
      <c r="C30" s="61"/>
      <c r="D30" s="55"/>
      <c r="E30" s="62"/>
      <c r="F30" s="50"/>
      <c r="G30" s="54"/>
      <c r="H30" s="62"/>
      <c r="I30" s="50"/>
      <c r="J30" s="48"/>
      <c r="K30" s="40" t="s">
        <v>173</v>
      </c>
      <c r="L30" s="40"/>
      <c r="M30" s="40"/>
      <c r="N30" s="40"/>
      <c r="O30" s="40"/>
      <c r="P30" s="72"/>
      <c r="Q30" s="129" t="s">
        <v>244</v>
      </c>
      <c r="R30" s="54"/>
      <c r="S30" s="72" t="s">
        <v>243</v>
      </c>
      <c r="T30" s="62"/>
      <c r="U30" s="50"/>
      <c r="V30" s="54"/>
      <c r="W30" s="62"/>
      <c r="X30" s="50"/>
      <c r="Y30" s="72"/>
      <c r="Z30" s="55"/>
    </row>
    <row r="31" spans="1:26" s="39" customFormat="1" ht="9.75" customHeight="1" x14ac:dyDescent="0.2">
      <c r="B31" s="51"/>
      <c r="C31" s="51"/>
      <c r="D31" s="63" t="s">
        <v>181</v>
      </c>
      <c r="E31" s="52"/>
      <c r="F31" s="48">
        <v>439810.2</v>
      </c>
      <c r="G31" s="53"/>
      <c r="H31" s="52"/>
      <c r="I31" s="48"/>
      <c r="J31" s="48"/>
      <c r="K31" s="40" t="s">
        <v>46</v>
      </c>
      <c r="L31" s="40"/>
      <c r="M31" s="40"/>
      <c r="N31" s="40"/>
      <c r="O31" s="40"/>
      <c r="P31" s="40"/>
      <c r="Q31" s="131"/>
      <c r="R31" s="131"/>
      <c r="S31" s="65" t="s">
        <v>181</v>
      </c>
      <c r="T31" s="52"/>
      <c r="U31" s="48">
        <v>360107.85</v>
      </c>
      <c r="V31" s="53"/>
      <c r="W31" s="52"/>
      <c r="X31" s="48"/>
      <c r="Y31" s="40"/>
      <c r="Z31" s="39" t="s">
        <v>173</v>
      </c>
    </row>
    <row r="32" spans="1:26" s="39" customFormat="1" ht="11.1" customHeight="1" x14ac:dyDescent="0.2">
      <c r="B32" s="51"/>
      <c r="C32" s="51"/>
      <c r="D32" s="63" t="s">
        <v>181</v>
      </c>
      <c r="E32" s="52"/>
      <c r="F32" s="48">
        <v>10758.03</v>
      </c>
      <c r="G32" s="53"/>
      <c r="H32" s="52"/>
      <c r="I32" s="48"/>
      <c r="J32" s="40"/>
      <c r="K32" s="40" t="s">
        <v>46</v>
      </c>
      <c r="L32" s="40"/>
      <c r="M32" s="40"/>
      <c r="N32" s="40"/>
      <c r="O32" s="40"/>
      <c r="P32" s="40"/>
      <c r="Q32" s="131"/>
      <c r="R32" s="131"/>
      <c r="S32" s="65" t="s">
        <v>181</v>
      </c>
      <c r="T32" s="52"/>
      <c r="U32" s="48">
        <v>0</v>
      </c>
      <c r="V32" s="53"/>
      <c r="W32" s="52"/>
      <c r="X32" s="48"/>
      <c r="Y32" s="40"/>
      <c r="Z32" s="39" t="s">
        <v>176</v>
      </c>
    </row>
    <row r="33" spans="2:26" s="39" customFormat="1" ht="11.1" customHeight="1" x14ac:dyDescent="0.2">
      <c r="B33" s="51"/>
      <c r="C33" s="51"/>
      <c r="D33" s="39" t="s">
        <v>182</v>
      </c>
      <c r="E33" s="52"/>
      <c r="F33" s="48"/>
      <c r="G33" s="56"/>
      <c r="H33" s="52"/>
      <c r="I33" s="48">
        <v>10758.03</v>
      </c>
      <c r="J33" s="40"/>
      <c r="K33" s="40" t="s">
        <v>46</v>
      </c>
      <c r="L33" s="40"/>
      <c r="M33" s="40"/>
      <c r="N33" s="40"/>
      <c r="O33" s="40"/>
      <c r="P33" s="40"/>
      <c r="Q33" s="131"/>
      <c r="R33" s="131"/>
      <c r="S33" s="40" t="s">
        <v>182</v>
      </c>
      <c r="T33" s="52"/>
      <c r="U33" s="48"/>
      <c r="V33" s="56"/>
      <c r="W33" s="52"/>
      <c r="X33" s="48">
        <v>0</v>
      </c>
      <c r="Y33" s="48"/>
      <c r="Z33" s="39" t="s">
        <v>176</v>
      </c>
    </row>
    <row r="34" spans="2:26" s="39" customFormat="1" ht="11.1" customHeight="1" x14ac:dyDescent="0.2">
      <c r="B34" s="51"/>
      <c r="C34" s="51"/>
      <c r="D34" s="39" t="s">
        <v>182</v>
      </c>
      <c r="E34" s="52"/>
      <c r="F34" s="48"/>
      <c r="G34" s="56"/>
      <c r="H34" s="52"/>
      <c r="I34" s="48">
        <v>439810.2</v>
      </c>
      <c r="J34" s="40"/>
      <c r="K34" s="40" t="s">
        <v>46</v>
      </c>
      <c r="L34" s="40"/>
      <c r="M34" s="40"/>
      <c r="N34" s="40"/>
      <c r="O34" s="40"/>
      <c r="P34" s="40"/>
      <c r="Q34" s="131"/>
      <c r="R34" s="131"/>
      <c r="S34" s="40" t="s">
        <v>182</v>
      </c>
      <c r="T34" s="52"/>
      <c r="U34" s="48"/>
      <c r="V34" s="56"/>
      <c r="W34" s="52"/>
      <c r="X34" s="48">
        <v>360107.85</v>
      </c>
      <c r="Y34" s="48"/>
      <c r="Z34" s="39" t="s">
        <v>173</v>
      </c>
    </row>
    <row r="35" spans="2:26" s="39" customFormat="1" ht="11.1" customHeight="1" x14ac:dyDescent="0.2">
      <c r="B35" s="51"/>
      <c r="C35" s="51"/>
      <c r="D35" s="39" t="s">
        <v>183</v>
      </c>
      <c r="E35" s="52"/>
      <c r="F35" s="48">
        <v>3086978</v>
      </c>
      <c r="G35" s="56"/>
      <c r="H35" s="52"/>
      <c r="I35" s="48"/>
      <c r="J35" s="40"/>
      <c r="K35" s="40"/>
      <c r="L35" s="40"/>
      <c r="M35" s="40"/>
      <c r="N35" s="40"/>
      <c r="O35" s="40"/>
      <c r="P35" s="40"/>
      <c r="Q35" s="131"/>
      <c r="R35" s="131"/>
      <c r="S35" s="40" t="s">
        <v>183</v>
      </c>
      <c r="T35" s="52"/>
      <c r="U35" s="48">
        <v>3086266.16</v>
      </c>
      <c r="V35" s="56"/>
      <c r="W35" s="52"/>
      <c r="X35" s="48"/>
      <c r="Y35" s="48"/>
      <c r="Z35" s="39" t="s">
        <v>46</v>
      </c>
    </row>
    <row r="36" spans="2:26" s="39" customFormat="1" ht="11.1" customHeight="1" x14ac:dyDescent="0.2">
      <c r="B36" s="51"/>
      <c r="D36" s="39" t="s">
        <v>184</v>
      </c>
      <c r="E36" s="52"/>
      <c r="F36" s="48">
        <v>711.98</v>
      </c>
      <c r="G36" s="53"/>
      <c r="H36" s="52"/>
      <c r="I36" s="48"/>
      <c r="J36" s="40"/>
      <c r="K36" s="40"/>
      <c r="L36" s="40"/>
      <c r="M36" s="40"/>
      <c r="N36" s="40"/>
      <c r="O36" s="40"/>
      <c r="P36" s="40"/>
      <c r="Q36" s="131"/>
      <c r="R36" s="40"/>
      <c r="S36" s="40" t="s">
        <v>184</v>
      </c>
      <c r="T36" s="52"/>
      <c r="U36" s="48">
        <v>711.98</v>
      </c>
      <c r="V36" s="53"/>
      <c r="W36" s="52"/>
      <c r="X36" s="48"/>
      <c r="Y36" s="40"/>
      <c r="Z36" s="39" t="s">
        <v>46</v>
      </c>
    </row>
    <row r="37" spans="2:26" s="39" customFormat="1" ht="11.1" customHeight="1" x14ac:dyDescent="0.2">
      <c r="B37" s="51"/>
      <c r="D37" s="39" t="s">
        <v>183</v>
      </c>
      <c r="E37" s="52"/>
      <c r="F37" s="48"/>
      <c r="G37" s="53"/>
      <c r="H37" s="52"/>
      <c r="I37" s="48">
        <v>3086978.14</v>
      </c>
      <c r="J37" s="40"/>
      <c r="K37" s="65" t="s">
        <v>187</v>
      </c>
      <c r="L37" s="40"/>
      <c r="M37" s="40"/>
      <c r="N37" s="40"/>
      <c r="O37" s="40"/>
      <c r="P37" s="40"/>
      <c r="Q37" s="131"/>
      <c r="R37" s="40"/>
      <c r="S37" s="40" t="s">
        <v>183</v>
      </c>
      <c r="T37" s="52"/>
      <c r="U37" s="48"/>
      <c r="V37" s="53"/>
      <c r="W37" s="52"/>
      <c r="X37" s="48">
        <v>3086978.14</v>
      </c>
      <c r="Y37" s="40"/>
      <c r="Z37" s="39" t="s">
        <v>46</v>
      </c>
    </row>
    <row r="38" spans="2:26" s="39" customFormat="1" ht="11.1" customHeight="1" x14ac:dyDescent="0.2">
      <c r="B38" s="51"/>
      <c r="C38" s="51"/>
      <c r="D38" s="39" t="s">
        <v>183</v>
      </c>
      <c r="E38" s="56"/>
      <c r="F38" s="48"/>
      <c r="G38" s="56"/>
      <c r="H38" s="52"/>
      <c r="I38" s="40">
        <v>711.98</v>
      </c>
      <c r="J38" s="40"/>
      <c r="K38" s="65" t="s">
        <v>188</v>
      </c>
      <c r="L38" s="40"/>
      <c r="M38" s="40"/>
      <c r="N38" s="40"/>
      <c r="O38" s="40"/>
      <c r="P38" s="40"/>
      <c r="Q38" s="131"/>
      <c r="R38" s="131"/>
      <c r="S38" s="40" t="s">
        <v>183</v>
      </c>
      <c r="T38" s="56"/>
      <c r="U38" s="48"/>
      <c r="V38" s="56"/>
      <c r="W38" s="52"/>
      <c r="X38" s="40"/>
      <c r="Y38" s="40"/>
      <c r="Z38" s="39" t="s">
        <v>46</v>
      </c>
    </row>
    <row r="39" spans="2:26" s="39" customFormat="1" ht="11.1" customHeight="1" thickBot="1" x14ac:dyDescent="0.25">
      <c r="B39" s="114" t="s">
        <v>185</v>
      </c>
      <c r="E39" s="58"/>
      <c r="F39" s="59">
        <f>SUM(F31:F38)</f>
        <v>3538258.21</v>
      </c>
      <c r="G39" s="60"/>
      <c r="H39" s="58"/>
      <c r="I39" s="59">
        <f>SUM(I31:I38)</f>
        <v>3538258.35</v>
      </c>
      <c r="J39" s="40"/>
      <c r="K39" s="65" t="s">
        <v>189</v>
      </c>
      <c r="L39" s="40"/>
      <c r="M39" s="40"/>
      <c r="N39" s="40"/>
      <c r="O39" s="40"/>
      <c r="P39" s="40"/>
      <c r="Q39" s="132" t="s">
        <v>185</v>
      </c>
      <c r="R39" s="40"/>
      <c r="S39" s="40"/>
      <c r="T39" s="58"/>
      <c r="U39" s="59">
        <f>SUM(U31:U38)</f>
        <v>3447085.99</v>
      </c>
      <c r="V39" s="60"/>
      <c r="W39" s="58"/>
      <c r="X39" s="59">
        <f>SUM(X31:X38)</f>
        <v>3447085.99</v>
      </c>
      <c r="Y39" s="40"/>
    </row>
    <row r="40" spans="2:26" s="39" customFormat="1" ht="11.1" customHeight="1" thickTop="1" x14ac:dyDescent="0.2">
      <c r="E40" s="52"/>
      <c r="F40" s="50"/>
      <c r="G40" s="54"/>
      <c r="H40" s="52"/>
      <c r="I40" s="50"/>
      <c r="J40" s="40"/>
      <c r="K40" s="65" t="s">
        <v>188</v>
      </c>
      <c r="L40" s="40"/>
      <c r="M40" s="40"/>
      <c r="N40" s="40"/>
      <c r="O40" s="40"/>
      <c r="P40" s="40"/>
      <c r="Q40" s="132"/>
      <c r="R40" s="40"/>
      <c r="S40" s="40"/>
      <c r="T40" s="62"/>
      <c r="U40" s="78"/>
      <c r="V40" s="79"/>
      <c r="W40" s="62"/>
      <c r="X40" s="78"/>
      <c r="Y40" s="40"/>
    </row>
    <row r="41" spans="2:26" s="39" customFormat="1" ht="11.1" customHeight="1" x14ac:dyDescent="0.25">
      <c r="B41" s="51"/>
      <c r="D41" s="39" t="s">
        <v>186</v>
      </c>
      <c r="E41" s="62"/>
      <c r="F41" s="50">
        <v>12375</v>
      </c>
      <c r="G41" s="53"/>
      <c r="H41" s="56"/>
      <c r="I41" s="48"/>
      <c r="J41" s="40"/>
      <c r="K41" s="65" t="s">
        <v>187</v>
      </c>
      <c r="L41" s="40"/>
      <c r="M41" s="40"/>
      <c r="N41" s="40"/>
      <c r="O41" s="40"/>
      <c r="P41" s="40"/>
      <c r="Q41" s="129" t="s">
        <v>245</v>
      </c>
      <c r="R41" s="54"/>
      <c r="S41" s="72" t="s">
        <v>243</v>
      </c>
      <c r="T41" s="52"/>
      <c r="U41" s="50"/>
      <c r="V41" s="54"/>
      <c r="W41" s="52"/>
      <c r="X41" s="50"/>
      <c r="Y41" s="40"/>
    </row>
    <row r="42" spans="2:26" s="39" customFormat="1" ht="11.1" customHeight="1" x14ac:dyDescent="0.2">
      <c r="B42" s="51"/>
      <c r="D42" s="39" t="s">
        <v>186</v>
      </c>
      <c r="E42" s="62"/>
      <c r="F42" s="50">
        <v>130144.17</v>
      </c>
      <c r="G42" s="53"/>
      <c r="H42" s="56"/>
      <c r="I42" s="48"/>
      <c r="J42" s="40"/>
      <c r="K42" s="65" t="s">
        <v>188</v>
      </c>
      <c r="L42" s="40"/>
      <c r="M42" s="40"/>
      <c r="N42" s="40"/>
      <c r="O42" s="40"/>
      <c r="P42" s="40"/>
      <c r="Q42" s="131"/>
      <c r="R42" s="40"/>
      <c r="S42" s="40" t="s">
        <v>186</v>
      </c>
      <c r="T42" s="62"/>
      <c r="U42" s="50">
        <v>12375</v>
      </c>
      <c r="V42" s="53"/>
      <c r="W42" s="56"/>
      <c r="X42" s="48"/>
      <c r="Y42" s="40"/>
      <c r="Z42" s="63" t="s">
        <v>187</v>
      </c>
    </row>
    <row r="43" spans="2:26" s="39" customFormat="1" ht="11.1" customHeight="1" x14ac:dyDescent="0.2">
      <c r="B43" s="51"/>
      <c r="D43" s="39" t="s">
        <v>186</v>
      </c>
      <c r="E43" s="62"/>
      <c r="F43" s="50">
        <v>6682.02</v>
      </c>
      <c r="G43" s="53"/>
      <c r="H43" s="62"/>
      <c r="I43" s="50"/>
      <c r="J43" s="40"/>
      <c r="K43" s="65" t="s">
        <v>189</v>
      </c>
      <c r="L43" s="40"/>
      <c r="M43" s="40"/>
      <c r="N43" s="40"/>
      <c r="O43" s="40"/>
      <c r="P43" s="40"/>
      <c r="Q43" s="131"/>
      <c r="R43" s="40"/>
      <c r="S43" s="40" t="s">
        <v>186</v>
      </c>
      <c r="T43" s="62"/>
      <c r="U43" s="50">
        <v>130144.17</v>
      </c>
      <c r="V43" s="53"/>
      <c r="W43" s="56"/>
      <c r="X43" s="48"/>
      <c r="Y43" s="40"/>
      <c r="Z43" s="63" t="s">
        <v>188</v>
      </c>
    </row>
    <row r="44" spans="2:26" s="39" customFormat="1" ht="11.1" customHeight="1" x14ac:dyDescent="0.2">
      <c r="B44" s="51"/>
      <c r="D44" s="39" t="s">
        <v>186</v>
      </c>
      <c r="E44" s="62"/>
      <c r="F44" s="50">
        <v>917.14</v>
      </c>
      <c r="G44" s="53"/>
      <c r="H44" s="62"/>
      <c r="I44" s="50"/>
      <c r="J44" s="40"/>
      <c r="K44" s="65" t="s">
        <v>188</v>
      </c>
      <c r="L44" s="40"/>
      <c r="M44" s="40"/>
      <c r="N44" s="40"/>
      <c r="O44" s="40"/>
      <c r="P44" s="40"/>
      <c r="Q44" s="131"/>
      <c r="R44" s="40"/>
      <c r="S44" s="40" t="s">
        <v>186</v>
      </c>
      <c r="T44" s="62"/>
      <c r="U44" s="50">
        <v>6682.02</v>
      </c>
      <c r="V44" s="53"/>
      <c r="W44" s="62"/>
      <c r="X44" s="50"/>
      <c r="Y44" s="40"/>
      <c r="Z44" s="63" t="s">
        <v>189</v>
      </c>
    </row>
    <row r="45" spans="2:26" s="39" customFormat="1" ht="11.1" customHeight="1" x14ac:dyDescent="0.2">
      <c r="B45" s="51"/>
      <c r="C45" s="51"/>
      <c r="D45" s="63" t="s">
        <v>187</v>
      </c>
      <c r="E45" s="54"/>
      <c r="F45" s="50"/>
      <c r="G45" s="54"/>
      <c r="H45" s="62"/>
      <c r="I45" s="50">
        <v>12375</v>
      </c>
      <c r="J45" s="40"/>
      <c r="K45" s="40"/>
      <c r="L45" s="40"/>
      <c r="M45" s="40"/>
      <c r="N45" s="40"/>
      <c r="O45" s="40"/>
      <c r="P45" s="40"/>
      <c r="Q45" s="131"/>
      <c r="R45" s="40"/>
      <c r="S45" s="40" t="s">
        <v>186</v>
      </c>
      <c r="T45" s="62"/>
      <c r="U45" s="50">
        <v>917.14</v>
      </c>
      <c r="V45" s="53"/>
      <c r="W45" s="62"/>
      <c r="X45" s="50"/>
      <c r="Y45" s="40"/>
      <c r="Z45" s="63" t="s">
        <v>188</v>
      </c>
    </row>
    <row r="46" spans="2:26" s="39" customFormat="1" ht="11.1" customHeight="1" x14ac:dyDescent="0.2">
      <c r="B46" s="51"/>
      <c r="C46" s="51"/>
      <c r="D46" s="63" t="s">
        <v>188</v>
      </c>
      <c r="E46" s="54"/>
      <c r="F46" s="50"/>
      <c r="G46" s="54"/>
      <c r="H46" s="62"/>
      <c r="I46" s="50">
        <v>130144.17</v>
      </c>
      <c r="J46" s="40"/>
      <c r="K46" s="40"/>
      <c r="L46" s="40"/>
      <c r="M46" s="40"/>
      <c r="N46" s="40"/>
      <c r="O46" s="40"/>
      <c r="P46" s="40"/>
      <c r="Q46" s="131"/>
      <c r="R46" s="131"/>
      <c r="S46" s="65" t="s">
        <v>187</v>
      </c>
      <c r="T46" s="54"/>
      <c r="U46" s="50"/>
      <c r="V46" s="54"/>
      <c r="W46" s="62"/>
      <c r="X46" s="50">
        <v>12375</v>
      </c>
      <c r="Y46" s="40"/>
      <c r="Z46" s="63" t="s">
        <v>187</v>
      </c>
    </row>
    <row r="47" spans="2:26" s="39" customFormat="1" ht="11.1" customHeight="1" x14ac:dyDescent="0.2">
      <c r="B47" s="51"/>
      <c r="C47" s="51"/>
      <c r="D47" s="63" t="s">
        <v>189</v>
      </c>
      <c r="E47" s="54"/>
      <c r="F47" s="50"/>
      <c r="G47" s="54"/>
      <c r="H47" s="62"/>
      <c r="I47" s="50">
        <v>6682.02</v>
      </c>
      <c r="J47" s="40"/>
      <c r="K47" s="40" t="s">
        <v>192</v>
      </c>
      <c r="L47" s="40"/>
      <c r="M47" s="40"/>
      <c r="N47" s="40"/>
      <c r="O47" s="40"/>
      <c r="P47" s="40"/>
      <c r="Q47" s="131"/>
      <c r="R47" s="131"/>
      <c r="S47" s="65" t="s">
        <v>188</v>
      </c>
      <c r="T47" s="54"/>
      <c r="U47" s="50"/>
      <c r="V47" s="54"/>
      <c r="W47" s="62"/>
      <c r="X47" s="50">
        <v>130144.17</v>
      </c>
      <c r="Y47" s="40"/>
      <c r="Z47" s="63" t="s">
        <v>188</v>
      </c>
    </row>
    <row r="48" spans="2:26" s="39" customFormat="1" ht="11.1" customHeight="1" x14ac:dyDescent="0.2">
      <c r="B48" s="51"/>
      <c r="C48" s="51"/>
      <c r="D48" s="63" t="s">
        <v>188</v>
      </c>
      <c r="E48" s="54"/>
      <c r="F48" s="50"/>
      <c r="G48" s="54"/>
      <c r="H48" s="62"/>
      <c r="I48" s="50">
        <v>917.14</v>
      </c>
      <c r="J48" s="40"/>
      <c r="K48" s="40" t="s">
        <v>192</v>
      </c>
      <c r="L48" s="40"/>
      <c r="M48" s="40"/>
      <c r="N48" s="40"/>
      <c r="O48" s="40"/>
      <c r="P48" s="40"/>
      <c r="Q48" s="131"/>
      <c r="R48" s="131"/>
      <c r="S48" s="65" t="s">
        <v>189</v>
      </c>
      <c r="T48" s="54"/>
      <c r="U48" s="50"/>
      <c r="V48" s="54"/>
      <c r="W48" s="62"/>
      <c r="X48" s="50">
        <v>6682.02</v>
      </c>
      <c r="Y48" s="40"/>
      <c r="Z48" s="63" t="s">
        <v>189</v>
      </c>
    </row>
    <row r="49" spans="2:26" s="39" customFormat="1" ht="11.1" customHeight="1" thickBot="1" x14ac:dyDescent="0.25">
      <c r="B49" s="114" t="s">
        <v>190</v>
      </c>
      <c r="E49" s="58"/>
      <c r="F49" s="59">
        <f>SUM(F41:F48)</f>
        <v>150118.32999999999</v>
      </c>
      <c r="G49" s="60"/>
      <c r="H49" s="58"/>
      <c r="I49" s="59">
        <f>SUM(I41:I48)</f>
        <v>150118.32999999999</v>
      </c>
      <c r="J49" s="40"/>
      <c r="K49" s="40"/>
      <c r="L49" s="40"/>
      <c r="M49" s="40"/>
      <c r="N49" s="40"/>
      <c r="O49" s="40"/>
      <c r="P49" s="40"/>
      <c r="Q49" s="131"/>
      <c r="R49" s="131"/>
      <c r="S49" s="65" t="s">
        <v>188</v>
      </c>
      <c r="T49" s="54"/>
      <c r="U49" s="50"/>
      <c r="V49" s="54"/>
      <c r="W49" s="62"/>
      <c r="X49" s="50">
        <v>917.14</v>
      </c>
      <c r="Y49" s="40"/>
      <c r="Z49" s="63" t="s">
        <v>188</v>
      </c>
    </row>
    <row r="50" spans="2:26" s="39" customFormat="1" ht="11.1" customHeight="1" thickTop="1" thickBot="1" x14ac:dyDescent="0.25">
      <c r="B50" s="114"/>
      <c r="E50" s="62"/>
      <c r="F50" s="78"/>
      <c r="G50" s="79"/>
      <c r="H50" s="62"/>
      <c r="I50" s="78"/>
      <c r="J50" s="40"/>
      <c r="K50" s="40"/>
      <c r="L50" s="40"/>
      <c r="M50" s="40"/>
      <c r="N50" s="40"/>
      <c r="O50" s="40"/>
      <c r="P50" s="40"/>
      <c r="Q50" s="132" t="s">
        <v>190</v>
      </c>
      <c r="R50" s="40"/>
      <c r="S50" s="40"/>
      <c r="T50" s="58"/>
      <c r="U50" s="59">
        <f>SUM(U42:U49)</f>
        <v>150118.32999999999</v>
      </c>
      <c r="V50" s="60"/>
      <c r="W50" s="58"/>
      <c r="X50" s="59">
        <f>SUM(X42:X49)</f>
        <v>150118.32999999999</v>
      </c>
      <c r="Y50" s="40"/>
    </row>
    <row r="51" spans="2:26" s="39" customFormat="1" ht="11.1" customHeight="1" thickTop="1" x14ac:dyDescent="0.2">
      <c r="B51" s="114"/>
      <c r="E51" s="62"/>
      <c r="F51" s="78"/>
      <c r="G51" s="79"/>
      <c r="H51" s="62"/>
      <c r="I51" s="78"/>
      <c r="J51" s="40"/>
      <c r="K51" s="40" t="s">
        <v>107</v>
      </c>
      <c r="L51" s="40"/>
      <c r="M51" s="133">
        <v>909505</v>
      </c>
      <c r="N51" s="40">
        <f>+M51/F58</f>
        <v>7.644826426830293</v>
      </c>
      <c r="O51" s="40"/>
      <c r="P51" s="40"/>
      <c r="Q51" s="132"/>
      <c r="R51" s="40"/>
      <c r="S51" s="40"/>
      <c r="T51" s="62"/>
      <c r="U51" s="78"/>
      <c r="V51" s="79"/>
      <c r="W51" s="62"/>
      <c r="X51" s="78"/>
      <c r="Y51" s="40"/>
    </row>
    <row r="52" spans="2:26" s="39" customFormat="1" ht="11.1" customHeight="1" x14ac:dyDescent="0.25">
      <c r="E52" s="56"/>
      <c r="F52" s="48"/>
      <c r="G52" s="56"/>
      <c r="H52" s="56"/>
      <c r="I52" s="48"/>
      <c r="J52" s="40"/>
      <c r="K52" s="40" t="s">
        <v>193</v>
      </c>
      <c r="L52" s="40"/>
      <c r="M52" s="40"/>
      <c r="N52" s="40"/>
      <c r="O52" s="40"/>
      <c r="P52" s="40"/>
      <c r="Q52" s="129" t="s">
        <v>246</v>
      </c>
      <c r="R52" s="54"/>
      <c r="S52" s="72" t="s">
        <v>243</v>
      </c>
      <c r="T52" s="56"/>
      <c r="U52" s="48"/>
      <c r="V52" s="56"/>
      <c r="W52" s="56"/>
      <c r="X52" s="48"/>
      <c r="Y52" s="40"/>
    </row>
    <row r="53" spans="2:26" s="39" customFormat="1" ht="11.1" customHeight="1" x14ac:dyDescent="0.2">
      <c r="B53" s="51"/>
      <c r="C53" s="51"/>
      <c r="D53" s="39" t="s">
        <v>191</v>
      </c>
      <c r="E53" s="52"/>
      <c r="F53" s="48">
        <v>28059.99</v>
      </c>
      <c r="G53" s="53"/>
      <c r="H53" s="56"/>
      <c r="I53" s="48"/>
      <c r="J53" s="40"/>
      <c r="K53" s="40" t="s">
        <v>193</v>
      </c>
      <c r="L53" s="40"/>
      <c r="M53" s="40"/>
      <c r="N53" s="40"/>
      <c r="O53" s="40"/>
      <c r="P53" s="40"/>
      <c r="Q53" s="131"/>
      <c r="R53" s="131"/>
      <c r="S53" s="40" t="s">
        <v>191</v>
      </c>
      <c r="T53" s="52"/>
      <c r="U53" s="48">
        <v>80319</v>
      </c>
      <c r="V53" s="53"/>
      <c r="W53" s="56"/>
      <c r="X53" s="48"/>
      <c r="Y53" s="40"/>
      <c r="Z53" s="39" t="s">
        <v>192</v>
      </c>
    </row>
    <row r="54" spans="2:26" s="39" customFormat="1" ht="10.5" customHeight="1" x14ac:dyDescent="0.2">
      <c r="B54" s="51"/>
      <c r="D54" s="39" t="s">
        <v>184</v>
      </c>
      <c r="E54" s="62"/>
      <c r="F54" s="48"/>
      <c r="G54" s="56"/>
      <c r="H54" s="52"/>
      <c r="I54" s="48">
        <v>28059.99</v>
      </c>
      <c r="J54" s="134">
        <f>+I61-I60</f>
        <v>89227</v>
      </c>
      <c r="K54" s="40" t="s">
        <v>107</v>
      </c>
      <c r="L54" s="40"/>
      <c r="M54" s="40"/>
      <c r="N54" s="40"/>
      <c r="O54" s="40"/>
      <c r="P54" s="40"/>
      <c r="Q54" s="131"/>
      <c r="R54" s="40"/>
      <c r="S54" s="115" t="s">
        <v>184</v>
      </c>
      <c r="T54" s="116"/>
      <c r="U54" s="117"/>
      <c r="V54" s="118"/>
      <c r="W54" s="119"/>
      <c r="X54" s="117">
        <f>+U53-X55</f>
        <v>52259.009999999995</v>
      </c>
      <c r="Y54" s="40"/>
      <c r="Z54" s="39" t="s">
        <v>192</v>
      </c>
    </row>
    <row r="55" spans="2:26" s="39" customFormat="1" ht="11.1" customHeight="1" thickBot="1" x14ac:dyDescent="0.25">
      <c r="B55" s="114" t="s">
        <v>192</v>
      </c>
      <c r="E55" s="58"/>
      <c r="F55" s="59">
        <f>SUM(F53:F54)</f>
        <v>28059.99</v>
      </c>
      <c r="G55" s="60"/>
      <c r="H55" s="58"/>
      <c r="I55" s="59">
        <f>SUM(I53:I54)</f>
        <v>28059.99</v>
      </c>
      <c r="J55" s="40"/>
      <c r="K55" s="40"/>
      <c r="L55" s="40"/>
      <c r="M55" s="40"/>
      <c r="N55" s="40"/>
      <c r="O55" s="40"/>
      <c r="P55" s="40"/>
      <c r="Q55" s="131"/>
      <c r="R55" s="40"/>
      <c r="S55" s="115" t="s">
        <v>195</v>
      </c>
      <c r="T55" s="116"/>
      <c r="U55" s="117"/>
      <c r="V55" s="118"/>
      <c r="W55" s="119"/>
      <c r="X55" s="117">
        <f>+I54</f>
        <v>28059.99</v>
      </c>
      <c r="Y55" s="40"/>
    </row>
    <row r="56" spans="2:26" s="39" customFormat="1" ht="11.1" customHeight="1" thickTop="1" thickBot="1" x14ac:dyDescent="0.25">
      <c r="B56" s="114"/>
      <c r="E56" s="62"/>
      <c r="F56" s="78"/>
      <c r="G56" s="79"/>
      <c r="H56" s="62"/>
      <c r="I56" s="78"/>
      <c r="J56" s="40"/>
      <c r="K56" s="40"/>
      <c r="L56" s="40"/>
      <c r="M56" s="40"/>
      <c r="N56" s="40"/>
      <c r="O56" s="40"/>
      <c r="P56" s="40"/>
      <c r="Q56" s="132" t="s">
        <v>192</v>
      </c>
      <c r="R56" s="40"/>
      <c r="S56" s="40"/>
      <c r="T56" s="58"/>
      <c r="U56" s="59">
        <f>SUM(U53:U54)</f>
        <v>80319</v>
      </c>
      <c r="V56" s="60"/>
      <c r="W56" s="58"/>
      <c r="X56" s="59">
        <f>SUM(X53:X54)</f>
        <v>52259.009999999995</v>
      </c>
      <c r="Y56" s="40"/>
    </row>
    <row r="57" spans="2:26" s="39" customFormat="1" ht="11.1" customHeight="1" thickTop="1" x14ac:dyDescent="0.2">
      <c r="B57" s="114"/>
      <c r="E57" s="62"/>
      <c r="F57" s="78"/>
      <c r="G57" s="79"/>
      <c r="H57" s="62"/>
      <c r="I57" s="78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52"/>
      <c r="U57" s="48"/>
      <c r="V57" s="54"/>
      <c r="W57" s="62"/>
      <c r="X57" s="50"/>
      <c r="Y57" s="40"/>
      <c r="Z57" s="39" t="s">
        <v>107</v>
      </c>
    </row>
    <row r="58" spans="2:26" s="39" customFormat="1" ht="11.1" customHeight="1" x14ac:dyDescent="0.2">
      <c r="B58" s="51"/>
      <c r="D58" s="39" t="s">
        <v>315</v>
      </c>
      <c r="E58" s="52"/>
      <c r="F58" s="48">
        <v>118970</v>
      </c>
      <c r="G58" s="53"/>
      <c r="H58" s="52"/>
      <c r="I58" s="48"/>
      <c r="J58" s="40"/>
      <c r="K58" s="40" t="s">
        <v>197</v>
      </c>
      <c r="L58" s="40"/>
      <c r="M58" s="40"/>
      <c r="N58" s="40"/>
      <c r="O58" s="40"/>
      <c r="P58" s="40"/>
      <c r="Q58" s="40" t="s">
        <v>316</v>
      </c>
      <c r="R58" s="40"/>
      <c r="S58" s="115" t="s">
        <v>317</v>
      </c>
      <c r="T58" s="119"/>
      <c r="U58" s="117">
        <f>+F58</f>
        <v>118970</v>
      </c>
      <c r="V58" s="54"/>
      <c r="W58" s="62"/>
      <c r="X58" s="50"/>
      <c r="Y58" s="40"/>
    </row>
    <row r="59" spans="2:26" s="39" customFormat="1" ht="11.1" customHeight="1" x14ac:dyDescent="0.2">
      <c r="B59" s="51"/>
      <c r="D59" s="39" t="s">
        <v>184</v>
      </c>
      <c r="E59" s="52"/>
      <c r="F59" s="48">
        <v>29743</v>
      </c>
      <c r="G59" s="53"/>
      <c r="H59" s="52"/>
      <c r="I59" s="48"/>
      <c r="J59" s="40">
        <f>+F71/I73</f>
        <v>0.28227769654957435</v>
      </c>
      <c r="K59" s="40" t="s">
        <v>193</v>
      </c>
      <c r="L59" s="40"/>
      <c r="M59" s="40"/>
      <c r="N59" s="40"/>
      <c r="O59" s="40"/>
      <c r="P59" s="40"/>
      <c r="Q59" s="40"/>
      <c r="R59" s="40"/>
      <c r="S59" s="40"/>
      <c r="T59" s="52"/>
      <c r="U59" s="48"/>
      <c r="V59" s="54"/>
      <c r="W59" s="62"/>
      <c r="X59" s="50"/>
      <c r="Y59" s="40"/>
    </row>
    <row r="60" spans="2:26" s="39" customFormat="1" ht="11.1" customHeight="1" x14ac:dyDescent="0.2">
      <c r="B60" s="51"/>
      <c r="D60" s="39" t="s">
        <v>194</v>
      </c>
      <c r="E60" s="52"/>
      <c r="F60" s="48"/>
      <c r="G60" s="53"/>
      <c r="H60" s="52"/>
      <c r="I60" s="48">
        <v>29743</v>
      </c>
      <c r="J60" s="40">
        <f>+F72/I75</f>
        <v>0.1557266057693375</v>
      </c>
      <c r="K60" s="40" t="s">
        <v>193</v>
      </c>
      <c r="L60" s="40"/>
      <c r="M60" s="40"/>
      <c r="N60" s="40"/>
      <c r="O60" s="40"/>
      <c r="P60" s="40"/>
      <c r="Q60" s="40"/>
      <c r="R60" s="40"/>
      <c r="S60" s="39" t="s">
        <v>194</v>
      </c>
      <c r="T60" s="52"/>
      <c r="U60" s="48"/>
      <c r="V60" s="53"/>
      <c r="W60" s="52"/>
      <c r="X60" s="48">
        <v>29743</v>
      </c>
      <c r="Y60" s="40"/>
    </row>
    <row r="61" spans="2:26" s="39" customFormat="1" ht="11.1" customHeight="1" x14ac:dyDescent="0.2">
      <c r="B61" s="51"/>
      <c r="D61" s="39" t="s">
        <v>195</v>
      </c>
      <c r="E61" s="52"/>
      <c r="F61" s="48"/>
      <c r="G61" s="56"/>
      <c r="H61" s="52"/>
      <c r="I61" s="48">
        <v>118970</v>
      </c>
      <c r="J61" s="40"/>
      <c r="K61" s="40" t="s">
        <v>197</v>
      </c>
      <c r="L61" s="40"/>
      <c r="M61" s="40"/>
      <c r="N61" s="40"/>
      <c r="O61" s="40"/>
      <c r="P61" s="40">
        <f>+F71/I73</f>
        <v>0.28227769654957435</v>
      </c>
      <c r="Q61" s="40"/>
      <c r="R61" s="40"/>
      <c r="S61" s="39" t="s">
        <v>195</v>
      </c>
      <c r="T61" s="52"/>
      <c r="U61" s="48"/>
      <c r="V61" s="56"/>
      <c r="W61" s="52"/>
      <c r="X61" s="48">
        <f>+U58-X60</f>
        <v>89227</v>
      </c>
      <c r="Y61" s="40"/>
    </row>
    <row r="62" spans="2:26" s="39" customFormat="1" ht="10.5" customHeight="1" thickBot="1" x14ac:dyDescent="0.25">
      <c r="B62" s="114" t="s">
        <v>293</v>
      </c>
      <c r="E62" s="58"/>
      <c r="F62" s="59">
        <f>SUM(F58:F61)</f>
        <v>148713</v>
      </c>
      <c r="G62" s="60"/>
      <c r="H62" s="58"/>
      <c r="I62" s="59">
        <f>SUM(I58:I61)</f>
        <v>148713</v>
      </c>
      <c r="J62" s="40"/>
      <c r="K62" s="40" t="s">
        <v>197</v>
      </c>
      <c r="L62" s="40"/>
      <c r="M62" s="40"/>
      <c r="N62" s="40"/>
      <c r="O62" s="40"/>
      <c r="P62" s="40"/>
      <c r="Q62" s="40"/>
      <c r="R62" s="40"/>
      <c r="S62" s="40"/>
      <c r="T62" s="52"/>
      <c r="U62" s="48"/>
      <c r="V62" s="54"/>
      <c r="W62" s="62"/>
      <c r="X62" s="50"/>
      <c r="Y62" s="40"/>
    </row>
    <row r="63" spans="2:26" s="39" customFormat="1" ht="11.1" customHeight="1" thickTop="1" x14ac:dyDescent="0.2">
      <c r="B63" s="114"/>
      <c r="E63" s="62"/>
      <c r="F63" s="78"/>
      <c r="G63" s="79"/>
      <c r="H63" s="62"/>
      <c r="I63" s="78"/>
      <c r="J63" s="40"/>
      <c r="K63" s="40"/>
      <c r="L63" s="40"/>
      <c r="M63" s="40"/>
      <c r="N63" s="40"/>
      <c r="O63" s="40"/>
      <c r="P63" s="40"/>
      <c r="Q63" s="131" t="s">
        <v>318</v>
      </c>
      <c r="R63" s="40"/>
      <c r="S63" s="115"/>
      <c r="T63" s="119"/>
      <c r="U63" s="117"/>
      <c r="V63" s="122"/>
      <c r="W63" s="119"/>
      <c r="X63" s="117"/>
      <c r="Y63" s="40"/>
      <c r="Z63" s="39" t="s">
        <v>193</v>
      </c>
    </row>
    <row r="64" spans="2:26" s="39" customFormat="1" ht="11.1" customHeight="1" x14ac:dyDescent="0.2">
      <c r="E64" s="52"/>
      <c r="F64" s="48"/>
      <c r="G64" s="54"/>
      <c r="H64" s="62"/>
      <c r="I64" s="50"/>
      <c r="J64" s="40">
        <f>+I75/F70</f>
        <v>0.25000008324364292</v>
      </c>
      <c r="K64" s="40" t="s">
        <v>193</v>
      </c>
      <c r="L64" s="40"/>
      <c r="M64" s="40"/>
      <c r="N64" s="40"/>
      <c r="O64" s="40"/>
      <c r="P64" s="40">
        <f>+I75/F70</f>
        <v>0.25000008324364292</v>
      </c>
      <c r="Q64" s="131"/>
      <c r="R64" s="40"/>
      <c r="S64" s="39" t="s">
        <v>194</v>
      </c>
      <c r="T64" s="119"/>
      <c r="U64" s="117">
        <f>+X60</f>
        <v>29743</v>
      </c>
      <c r="V64" s="122"/>
      <c r="W64" s="119"/>
      <c r="X64" s="117"/>
      <c r="Y64" s="40"/>
      <c r="Z64" s="39" t="s">
        <v>193</v>
      </c>
    </row>
    <row r="65" spans="2:26" s="39" customFormat="1" ht="11.1" customHeight="1" x14ac:dyDescent="0.2">
      <c r="E65" s="52"/>
      <c r="F65" s="48"/>
      <c r="G65" s="54"/>
      <c r="H65" s="62"/>
      <c r="I65" s="50"/>
      <c r="J65" s="40"/>
      <c r="K65" s="40"/>
      <c r="L65" s="40"/>
      <c r="M65" s="40"/>
      <c r="N65" s="40"/>
      <c r="O65" s="40"/>
      <c r="P65" s="40"/>
      <c r="Q65" s="131"/>
      <c r="R65" s="40"/>
      <c r="S65" s="115" t="s">
        <v>319</v>
      </c>
      <c r="T65" s="119"/>
      <c r="U65" s="117"/>
      <c r="V65" s="122"/>
      <c r="W65" s="119"/>
      <c r="X65" s="117">
        <f>+U64</f>
        <v>29743</v>
      </c>
      <c r="Y65" s="40"/>
      <c r="Z65" s="39" t="s">
        <v>107</v>
      </c>
    </row>
    <row r="66" spans="2:26" s="39" customFormat="1" ht="11.1" customHeight="1" x14ac:dyDescent="0.2">
      <c r="E66" s="52"/>
      <c r="F66" s="48"/>
      <c r="G66" s="54"/>
      <c r="H66" s="62"/>
      <c r="I66" s="50"/>
      <c r="J66" s="40"/>
      <c r="K66" s="40"/>
      <c r="L66" s="40"/>
      <c r="M66" s="40"/>
      <c r="N66" s="40"/>
      <c r="O66" s="40"/>
      <c r="P66" s="40">
        <v>209937</v>
      </c>
      <c r="Q66" s="131"/>
      <c r="R66" s="40"/>
      <c r="S66" s="115"/>
      <c r="T66" s="119"/>
      <c r="U66" s="117"/>
      <c r="V66" s="118"/>
      <c r="W66" s="119"/>
      <c r="X66" s="117"/>
      <c r="Y66" s="40"/>
    </row>
    <row r="67" spans="2:26" s="39" customFormat="1" ht="11.1" customHeight="1" thickBot="1" x14ac:dyDescent="0.25">
      <c r="E67" s="52"/>
      <c r="F67" s="48"/>
      <c r="G67" s="54"/>
      <c r="H67" s="62"/>
      <c r="I67" s="50"/>
      <c r="J67" s="40"/>
      <c r="K67" s="40" t="s">
        <v>199</v>
      </c>
      <c r="L67" s="40"/>
      <c r="M67" s="40"/>
      <c r="N67" s="40"/>
      <c r="O67" s="40"/>
      <c r="P67" s="134">
        <f>+P66-I75</f>
        <v>29743</v>
      </c>
      <c r="Q67" s="132" t="s">
        <v>320</v>
      </c>
      <c r="R67" s="40"/>
      <c r="S67" s="40"/>
      <c r="T67" s="58"/>
      <c r="U67" s="59">
        <f>SUM(U63:U66)</f>
        <v>29743</v>
      </c>
      <c r="V67" s="60"/>
      <c r="W67" s="58"/>
      <c r="X67" s="59">
        <f>SUM(X63:X66)</f>
        <v>29743</v>
      </c>
      <c r="Y67" s="40"/>
    </row>
    <row r="68" spans="2:26" s="39" customFormat="1" ht="11.1" customHeight="1" thickTop="1" x14ac:dyDescent="0.2">
      <c r="E68" s="52"/>
      <c r="F68" s="48"/>
      <c r="G68" s="54"/>
      <c r="H68" s="62"/>
      <c r="I68" s="50"/>
      <c r="J68" s="40"/>
      <c r="K68" s="40" t="s">
        <v>200</v>
      </c>
      <c r="L68" s="40"/>
      <c r="M68" s="40"/>
      <c r="N68" s="40"/>
      <c r="O68" s="40"/>
      <c r="P68" s="40"/>
      <c r="Q68" s="132"/>
      <c r="R68" s="40"/>
      <c r="S68" s="40"/>
      <c r="T68" s="62"/>
      <c r="U68" s="78"/>
      <c r="V68" s="79"/>
      <c r="W68" s="62"/>
      <c r="X68" s="78"/>
      <c r="Y68" s="40"/>
    </row>
    <row r="69" spans="2:26" s="39" customFormat="1" ht="11.1" customHeight="1" x14ac:dyDescent="0.25">
      <c r="E69" s="52"/>
      <c r="F69" s="48"/>
      <c r="G69" s="54"/>
      <c r="H69" s="62"/>
      <c r="I69" s="50"/>
      <c r="J69" s="40"/>
      <c r="K69" s="40" t="s">
        <v>200</v>
      </c>
      <c r="L69" s="40"/>
      <c r="M69" s="40"/>
      <c r="N69" s="40"/>
      <c r="O69" s="40"/>
      <c r="P69" s="40"/>
      <c r="Q69" s="129" t="s">
        <v>247</v>
      </c>
      <c r="R69" s="54"/>
      <c r="S69" s="72" t="s">
        <v>243</v>
      </c>
      <c r="T69" s="52"/>
      <c r="U69" s="48"/>
      <c r="V69" s="54"/>
      <c r="W69" s="62"/>
      <c r="X69" s="50"/>
      <c r="Y69" s="40"/>
      <c r="Z69" s="39" t="s">
        <v>197</v>
      </c>
    </row>
    <row r="70" spans="2:26" s="39" customFormat="1" ht="11.1" customHeight="1" x14ac:dyDescent="0.2">
      <c r="B70" s="51"/>
      <c r="C70" s="51"/>
      <c r="D70" s="63" t="s">
        <v>196</v>
      </c>
      <c r="E70" s="52"/>
      <c r="F70" s="48">
        <v>720775.76</v>
      </c>
      <c r="G70" s="53"/>
      <c r="H70" s="52"/>
      <c r="I70" s="48"/>
      <c r="J70" s="40"/>
      <c r="K70" s="40" t="s">
        <v>193</v>
      </c>
      <c r="L70" s="40"/>
      <c r="M70" s="40"/>
      <c r="N70" s="40"/>
      <c r="O70" s="40"/>
      <c r="P70" s="40"/>
      <c r="Q70" s="131"/>
      <c r="R70" s="131"/>
      <c r="S70" s="65" t="s">
        <v>196</v>
      </c>
      <c r="T70" s="52"/>
      <c r="U70" s="48">
        <f>840663.48-8576.54</f>
        <v>832086.94</v>
      </c>
      <c r="V70" s="53"/>
      <c r="W70" s="52"/>
      <c r="X70" s="48"/>
      <c r="Y70" s="40"/>
      <c r="Z70" s="39" t="s">
        <v>193</v>
      </c>
    </row>
    <row r="71" spans="2:26" s="39" customFormat="1" ht="10.5" customHeight="1" x14ac:dyDescent="0.2">
      <c r="B71" s="51"/>
      <c r="D71" s="39" t="s">
        <v>195</v>
      </c>
      <c r="E71" s="52"/>
      <c r="F71" s="48">
        <v>152133</v>
      </c>
      <c r="G71" s="53"/>
      <c r="H71" s="52"/>
      <c r="I71" s="48"/>
      <c r="J71" s="40"/>
      <c r="K71" s="40" t="s">
        <v>193</v>
      </c>
      <c r="L71" s="40"/>
      <c r="M71" s="40"/>
      <c r="N71" s="40"/>
      <c r="O71" s="40"/>
      <c r="P71" s="40"/>
      <c r="Q71" s="131"/>
      <c r="R71" s="40"/>
      <c r="S71" s="40" t="s">
        <v>195</v>
      </c>
      <c r="T71" s="52"/>
      <c r="U71" s="48">
        <f>7292.77+20552.79+39675.28+40393.12+44219.44+45456.39-17396.39</f>
        <v>180193.39999999997</v>
      </c>
      <c r="V71" s="48"/>
      <c r="W71" s="48"/>
      <c r="X71" s="48"/>
      <c r="Y71" s="40"/>
      <c r="Z71" s="39" t="s">
        <v>193</v>
      </c>
    </row>
    <row r="72" spans="2:26" s="39" customFormat="1" ht="10.5" customHeight="1" x14ac:dyDescent="0.2">
      <c r="B72" s="51"/>
      <c r="D72" s="39" t="s">
        <v>184</v>
      </c>
      <c r="E72" s="52"/>
      <c r="F72" s="48">
        <v>28061</v>
      </c>
      <c r="G72" s="53"/>
      <c r="H72" s="52"/>
      <c r="I72" s="48"/>
      <c r="J72" s="40"/>
      <c r="K72" s="40" t="s">
        <v>200</v>
      </c>
      <c r="L72" s="40"/>
      <c r="M72" s="40"/>
      <c r="N72" s="40"/>
      <c r="O72" s="40"/>
      <c r="P72" s="40"/>
      <c r="Q72" s="131"/>
      <c r="R72" s="40"/>
      <c r="S72" s="40" t="s">
        <v>321</v>
      </c>
      <c r="T72" s="52"/>
      <c r="U72" s="48">
        <f>29971.93-2144.13</f>
        <v>27827.8</v>
      </c>
      <c r="V72" s="48"/>
      <c r="W72" s="48"/>
      <c r="X72" s="48"/>
      <c r="Y72" s="40">
        <f>+U71/X73</f>
        <v>0.24999925080721355</v>
      </c>
      <c r="Z72" s="39" t="s">
        <v>197</v>
      </c>
    </row>
    <row r="73" spans="2:26" s="39" customFormat="1" ht="11.1" customHeight="1" x14ac:dyDescent="0.2">
      <c r="B73" s="51"/>
      <c r="D73" s="39" t="s">
        <v>195</v>
      </c>
      <c r="E73" s="52"/>
      <c r="F73" s="48"/>
      <c r="G73" s="56"/>
      <c r="H73" s="52"/>
      <c r="I73" s="48">
        <v>538948</v>
      </c>
      <c r="J73" s="40"/>
      <c r="K73" s="40" t="s">
        <v>199</v>
      </c>
      <c r="L73" s="40"/>
      <c r="M73" s="40"/>
      <c r="N73" s="40"/>
      <c r="O73" s="40"/>
      <c r="P73" s="40"/>
      <c r="Q73" s="131"/>
      <c r="R73" s="40"/>
      <c r="S73" s="40" t="s">
        <v>195</v>
      </c>
      <c r="T73" s="52"/>
      <c r="U73" s="48"/>
      <c r="V73" s="48"/>
      <c r="W73" s="48"/>
      <c r="X73" s="48">
        <f>23525.08+66299.32+127984.79+144261.13+176877.75+181827.69</f>
        <v>720775.76</v>
      </c>
      <c r="Y73" s="40">
        <f>+U72/X74</f>
        <v>0.25000004491911787</v>
      </c>
      <c r="Z73" s="39" t="s">
        <v>197</v>
      </c>
    </row>
    <row r="74" spans="2:26" s="39" customFormat="1" ht="11.1" customHeight="1" x14ac:dyDescent="0.2">
      <c r="B74" s="51"/>
      <c r="D74" s="39" t="s">
        <v>184</v>
      </c>
      <c r="E74" s="52"/>
      <c r="F74" s="48"/>
      <c r="G74" s="53"/>
      <c r="H74" s="52"/>
      <c r="I74" s="48">
        <f>+F70-I73</f>
        <v>181827.76</v>
      </c>
      <c r="J74" s="40"/>
      <c r="K74" s="40" t="s">
        <v>200</v>
      </c>
      <c r="L74" s="40"/>
      <c r="M74" s="40"/>
      <c r="N74" s="40"/>
      <c r="O74" s="40"/>
      <c r="P74" s="40"/>
      <c r="Q74" s="131"/>
      <c r="R74" s="40"/>
      <c r="S74" s="40" t="s">
        <v>184</v>
      </c>
      <c r="T74" s="52"/>
      <c r="U74" s="48"/>
      <c r="V74" s="48"/>
      <c r="W74" s="48"/>
      <c r="X74" s="48">
        <f>+U70-X73</f>
        <v>111311.17999999993</v>
      </c>
      <c r="Y74" s="135">
        <f>+I75+U72</f>
        <v>208021.8</v>
      </c>
      <c r="Z74" s="39" t="s">
        <v>193</v>
      </c>
    </row>
    <row r="75" spans="2:26" s="39" customFormat="1" ht="11.1" customHeight="1" x14ac:dyDescent="0.2">
      <c r="B75" s="51"/>
      <c r="D75" s="39" t="s">
        <v>194</v>
      </c>
      <c r="E75" s="52"/>
      <c r="F75" s="48"/>
      <c r="G75" s="56"/>
      <c r="H75" s="52"/>
      <c r="I75" s="48">
        <v>180194</v>
      </c>
      <c r="J75" s="40"/>
      <c r="K75" s="40"/>
      <c r="L75" s="40"/>
      <c r="M75" s="40"/>
      <c r="N75" s="40"/>
      <c r="O75" s="40"/>
      <c r="P75" s="40"/>
      <c r="Q75" s="131"/>
      <c r="R75" s="40"/>
      <c r="S75" s="40" t="s">
        <v>194</v>
      </c>
      <c r="T75" s="52"/>
      <c r="U75" s="48"/>
      <c r="V75" s="48"/>
      <c r="W75" s="48"/>
      <c r="X75" s="48">
        <f>7292.77+20552.79+39675.28+40393.12+44219.44+45456.39-17396.39+29971.93-2144.13</f>
        <v>208021.19999999995</v>
      </c>
      <c r="Y75" s="48">
        <f>+U76-X76</f>
        <v>0</v>
      </c>
    </row>
    <row r="76" spans="2:26" s="39" customFormat="1" ht="11.1" customHeight="1" thickBot="1" x14ac:dyDescent="0.25">
      <c r="B76" s="114" t="s">
        <v>322</v>
      </c>
      <c r="E76" s="58"/>
      <c r="F76" s="59">
        <f>SUM(F70:F75)</f>
        <v>900969.76</v>
      </c>
      <c r="G76" s="60"/>
      <c r="H76" s="58"/>
      <c r="I76" s="59">
        <f>SUM(I70:I75)</f>
        <v>900969.76</v>
      </c>
      <c r="J76" s="40"/>
      <c r="K76" s="40"/>
      <c r="L76" s="40"/>
      <c r="M76" s="40"/>
      <c r="N76" s="40"/>
      <c r="O76" s="40"/>
      <c r="P76" s="40"/>
      <c r="Q76" s="132" t="s">
        <v>198</v>
      </c>
      <c r="R76" s="40"/>
      <c r="S76" s="40"/>
      <c r="T76" s="58"/>
      <c r="U76" s="59">
        <f>SUM(U70:U75)</f>
        <v>1040108.1399999999</v>
      </c>
      <c r="V76" s="60"/>
      <c r="W76" s="58"/>
      <c r="X76" s="59">
        <f>SUM(X70:X75)</f>
        <v>1040108.1399999999</v>
      </c>
      <c r="Y76" s="48"/>
    </row>
    <row r="77" spans="2:26" s="39" customFormat="1" ht="11.1" customHeight="1" thickTop="1" x14ac:dyDescent="0.2">
      <c r="E77" s="52"/>
      <c r="F77" s="48"/>
      <c r="G77" s="54"/>
      <c r="H77" s="62"/>
      <c r="I77" s="50"/>
      <c r="J77" s="40"/>
      <c r="K77" s="40" t="s">
        <v>205</v>
      </c>
      <c r="L77" s="40"/>
      <c r="M77" s="40"/>
      <c r="N77" s="40"/>
      <c r="O77" s="40"/>
      <c r="P77" s="40"/>
      <c r="Q77" s="132"/>
      <c r="R77" s="40"/>
      <c r="S77" s="40"/>
      <c r="T77" s="62"/>
      <c r="U77" s="78"/>
      <c r="V77" s="79"/>
      <c r="W77" s="62"/>
      <c r="X77" s="78"/>
      <c r="Y77" s="40"/>
    </row>
    <row r="78" spans="2:26" s="39" customFormat="1" ht="10.5" customHeight="1" x14ac:dyDescent="0.2">
      <c r="B78" s="51"/>
      <c r="D78" s="39" t="s">
        <v>184</v>
      </c>
      <c r="E78" s="52"/>
      <c r="F78" s="48">
        <v>176228</v>
      </c>
      <c r="G78" s="53"/>
      <c r="H78" s="52"/>
      <c r="I78" s="48"/>
      <c r="J78" s="40"/>
      <c r="K78" s="40" t="s">
        <v>193</v>
      </c>
      <c r="L78" s="40"/>
      <c r="M78" s="40"/>
      <c r="N78" s="40"/>
      <c r="O78" s="40"/>
      <c r="P78" s="40"/>
      <c r="Q78" s="123" t="s">
        <v>316</v>
      </c>
      <c r="R78" s="115"/>
      <c r="S78" s="115" t="s">
        <v>323</v>
      </c>
      <c r="T78" s="116"/>
      <c r="U78" s="121">
        <f>+F78+F79+F80</f>
        <v>650853</v>
      </c>
      <c r="V78" s="120"/>
      <c r="W78" s="136"/>
      <c r="X78" s="121">
        <f>+U79</f>
        <v>105943</v>
      </c>
      <c r="Y78" s="134"/>
    </row>
    <row r="79" spans="2:26" s="39" customFormat="1" ht="11.1" customHeight="1" x14ac:dyDescent="0.2">
      <c r="B79" s="51"/>
      <c r="D79" s="39" t="s">
        <v>184</v>
      </c>
      <c r="E79" s="52"/>
      <c r="F79" s="48">
        <v>423772</v>
      </c>
      <c r="G79" s="53"/>
      <c r="H79" s="52"/>
      <c r="I79" s="48"/>
      <c r="J79" s="40"/>
      <c r="K79" s="40" t="s">
        <v>193</v>
      </c>
      <c r="L79" s="40"/>
      <c r="M79" s="40"/>
      <c r="N79" s="40"/>
      <c r="O79" s="40"/>
      <c r="P79" s="40"/>
      <c r="Q79" s="123"/>
      <c r="R79" s="115"/>
      <c r="S79" s="115" t="str">
        <f>+D81</f>
        <v>Impuesto s/la Renta x Cobrar  Diferido</v>
      </c>
      <c r="T79" s="116"/>
      <c r="U79" s="121">
        <f>+F81</f>
        <v>105943</v>
      </c>
      <c r="V79" s="120"/>
      <c r="W79" s="136"/>
      <c r="X79" s="121"/>
      <c r="Y79" s="40"/>
    </row>
    <row r="80" spans="2:26" s="39" customFormat="1" ht="11.1" customHeight="1" x14ac:dyDescent="0.2">
      <c r="B80" s="51"/>
      <c r="D80" s="39" t="s">
        <v>184</v>
      </c>
      <c r="E80" s="52"/>
      <c r="F80" s="48">
        <v>50853</v>
      </c>
      <c r="G80" s="53"/>
      <c r="H80" s="52"/>
      <c r="I80" s="48"/>
      <c r="J80" s="40"/>
      <c r="K80" s="40" t="s">
        <v>205</v>
      </c>
      <c r="L80" s="40"/>
      <c r="M80" s="40"/>
      <c r="N80" s="40"/>
      <c r="O80" s="40"/>
      <c r="P80" s="40"/>
      <c r="Q80" s="123"/>
      <c r="R80" s="115"/>
      <c r="S80" s="115" t="s">
        <v>203</v>
      </c>
      <c r="T80" s="116"/>
      <c r="U80" s="121"/>
      <c r="V80" s="120"/>
      <c r="W80" s="136"/>
      <c r="X80" s="121">
        <f>+I84</f>
        <v>176228</v>
      </c>
      <c r="Y80" s="135">
        <f>+U79-X79</f>
        <v>105943</v>
      </c>
    </row>
    <row r="81" spans="2:25" s="39" customFormat="1" ht="12" x14ac:dyDescent="0.2">
      <c r="B81" s="51"/>
      <c r="D81" s="39" t="s">
        <v>201</v>
      </c>
      <c r="E81" s="52"/>
      <c r="F81" s="48">
        <v>105943</v>
      </c>
      <c r="G81" s="53"/>
      <c r="H81" s="52"/>
      <c r="I81" s="48"/>
      <c r="J81" s="40"/>
      <c r="K81" s="40"/>
      <c r="L81" s="40"/>
      <c r="M81" s="40"/>
      <c r="N81" s="40"/>
      <c r="O81" s="40"/>
      <c r="P81" s="40"/>
      <c r="Q81" s="123"/>
      <c r="R81" s="115"/>
      <c r="S81" s="137" t="s">
        <v>204</v>
      </c>
      <c r="T81" s="116"/>
      <c r="U81" s="121"/>
      <c r="V81" s="120"/>
      <c r="W81" s="136"/>
      <c r="X81" s="121">
        <f>+I85</f>
        <v>423772</v>
      </c>
      <c r="Y81" s="40">
        <f>+Y80/X81</f>
        <v>0.25</v>
      </c>
    </row>
    <row r="82" spans="2:25" s="39" customFormat="1" ht="12" x14ac:dyDescent="0.2">
      <c r="B82" s="51"/>
      <c r="D82" s="39" t="s">
        <v>184</v>
      </c>
      <c r="E82" s="52"/>
      <c r="F82" s="48"/>
      <c r="G82" s="53"/>
      <c r="H82" s="52"/>
      <c r="I82" s="48">
        <v>105943</v>
      </c>
      <c r="J82" s="40"/>
      <c r="K82" s="40"/>
      <c r="L82" s="40"/>
      <c r="M82" s="40"/>
      <c r="N82" s="40"/>
      <c r="O82" s="40"/>
      <c r="P82" s="40">
        <f>+I82/I85</f>
        <v>0.25</v>
      </c>
      <c r="Q82" s="123"/>
      <c r="R82" s="115"/>
      <c r="S82" s="115" t="s">
        <v>202</v>
      </c>
      <c r="T82" s="115"/>
      <c r="U82" s="115"/>
      <c r="V82" s="115"/>
      <c r="W82" s="115"/>
      <c r="X82" s="138">
        <f>+X81*0.12+0.36</f>
        <v>50853</v>
      </c>
      <c r="Y82" s="40"/>
    </row>
    <row r="83" spans="2:25" s="39" customFormat="1" thickBot="1" x14ac:dyDescent="0.25">
      <c r="B83" s="51"/>
      <c r="D83" s="39" t="s">
        <v>202</v>
      </c>
      <c r="E83" s="52"/>
      <c r="F83" s="48"/>
      <c r="G83" s="53"/>
      <c r="H83" s="52"/>
      <c r="I83" s="48">
        <v>50853</v>
      </c>
      <c r="J83" s="40"/>
      <c r="K83" s="40"/>
      <c r="L83" s="40"/>
      <c r="M83" s="40"/>
      <c r="N83" s="40"/>
      <c r="O83" s="40"/>
      <c r="P83" s="40">
        <f>+I83/I85</f>
        <v>0.12000084951341759</v>
      </c>
      <c r="Q83" s="123"/>
      <c r="R83" s="115"/>
      <c r="S83" s="115"/>
      <c r="T83" s="124"/>
      <c r="U83" s="125">
        <f>SUM(U78:U82)</f>
        <v>756796</v>
      </c>
      <c r="V83" s="126"/>
      <c r="W83" s="124"/>
      <c r="X83" s="125">
        <f>SUM(X78:X82)</f>
        <v>756796</v>
      </c>
      <c r="Y83" s="40"/>
    </row>
    <row r="84" spans="2:25" s="39" customFormat="1" ht="12" thickTop="1" x14ac:dyDescent="0.2">
      <c r="B84" s="51"/>
      <c r="C84" s="51"/>
      <c r="D84" s="39" t="s">
        <v>203</v>
      </c>
      <c r="E84" s="52"/>
      <c r="F84" s="48"/>
      <c r="G84" s="56"/>
      <c r="H84" s="52"/>
      <c r="I84" s="48">
        <v>176228</v>
      </c>
      <c r="J84" s="40"/>
      <c r="K84" s="40"/>
      <c r="L84" s="40"/>
      <c r="M84" s="40"/>
      <c r="N84" s="40"/>
      <c r="O84" s="40"/>
      <c r="P84" s="40"/>
      <c r="Q84" s="123"/>
      <c r="R84" s="115"/>
      <c r="S84" s="115"/>
      <c r="T84" s="115"/>
      <c r="U84" s="115"/>
      <c r="V84" s="115"/>
      <c r="W84" s="115"/>
      <c r="X84" s="115"/>
      <c r="Y84" s="40"/>
    </row>
    <row r="85" spans="2:25" s="39" customFormat="1" ht="11.1" customHeight="1" x14ac:dyDescent="0.2">
      <c r="B85" s="51"/>
      <c r="D85" s="63" t="s">
        <v>204</v>
      </c>
      <c r="E85" s="52"/>
      <c r="F85" s="48"/>
      <c r="G85" s="56"/>
      <c r="H85" s="52"/>
      <c r="I85" s="48">
        <v>423772</v>
      </c>
      <c r="J85" s="40"/>
      <c r="K85" s="40" t="s">
        <v>208</v>
      </c>
      <c r="L85" s="40"/>
      <c r="M85" s="40"/>
      <c r="N85" s="40"/>
      <c r="O85" s="40"/>
      <c r="P85" s="40"/>
      <c r="Q85" s="123" t="s">
        <v>318</v>
      </c>
      <c r="R85" s="115"/>
      <c r="S85" s="137" t="s">
        <v>204</v>
      </c>
      <c r="T85" s="116"/>
      <c r="U85" s="139">
        <f>+X89</f>
        <v>387274</v>
      </c>
      <c r="V85" s="140"/>
      <c r="W85" s="141"/>
      <c r="X85" s="140"/>
      <c r="Y85" s="40"/>
    </row>
    <row r="86" spans="2:25" s="39" customFormat="1" ht="12" thickBot="1" x14ac:dyDescent="0.25">
      <c r="B86" s="114" t="s">
        <v>324</v>
      </c>
      <c r="E86" s="58"/>
      <c r="F86" s="59">
        <f>SUM(F78:F85)</f>
        <v>756796</v>
      </c>
      <c r="G86" s="60"/>
      <c r="H86" s="58"/>
      <c r="I86" s="59">
        <f>SUM(I78:I85)</f>
        <v>756796</v>
      </c>
      <c r="J86" s="40"/>
      <c r="K86" s="40" t="s">
        <v>208</v>
      </c>
      <c r="L86" s="40"/>
      <c r="M86" s="40"/>
      <c r="N86" s="40"/>
      <c r="O86" s="40"/>
      <c r="P86" s="40"/>
      <c r="Q86" s="123"/>
      <c r="R86" s="115"/>
      <c r="S86" s="115" t="s">
        <v>325</v>
      </c>
      <c r="T86" s="115"/>
      <c r="U86" s="138">
        <f>+X89*0.25</f>
        <v>96818.5</v>
      </c>
      <c r="V86" s="138"/>
      <c r="W86" s="138"/>
      <c r="X86" s="138"/>
      <c r="Y86" s="134"/>
    </row>
    <row r="87" spans="2:25" s="39" customFormat="1" ht="12" thickTop="1" x14ac:dyDescent="0.2">
      <c r="B87" s="114"/>
      <c r="E87" s="62"/>
      <c r="F87" s="78"/>
      <c r="G87" s="79"/>
      <c r="H87" s="62"/>
      <c r="I87" s="78"/>
      <c r="J87" s="40"/>
      <c r="K87" s="40"/>
      <c r="L87" s="40"/>
      <c r="M87" s="40"/>
      <c r="N87" s="40"/>
      <c r="O87" s="40"/>
      <c r="P87" s="40"/>
      <c r="Q87" s="123"/>
      <c r="R87" s="115"/>
      <c r="S87" s="115" t="s">
        <v>202</v>
      </c>
      <c r="T87" s="115"/>
      <c r="U87" s="115">
        <f>+U85*0.12</f>
        <v>46472.88</v>
      </c>
      <c r="V87" s="115"/>
      <c r="W87" s="115"/>
      <c r="X87" s="115"/>
      <c r="Y87" s="40"/>
    </row>
    <row r="88" spans="2:25" s="39" customFormat="1" ht="11.25" x14ac:dyDescent="0.2">
      <c r="B88" s="114"/>
      <c r="E88" s="62"/>
      <c r="F88" s="78"/>
      <c r="G88" s="79"/>
      <c r="H88" s="62"/>
      <c r="I88" s="78"/>
      <c r="J88" s="40"/>
      <c r="K88" s="40"/>
      <c r="L88" s="40"/>
      <c r="M88" s="40"/>
      <c r="N88" s="40"/>
      <c r="O88" s="40"/>
      <c r="P88" s="40"/>
      <c r="Q88" s="123"/>
      <c r="R88" s="115"/>
      <c r="S88" s="115" t="s">
        <v>326</v>
      </c>
      <c r="T88" s="115"/>
      <c r="U88" s="138"/>
      <c r="V88" s="138"/>
      <c r="W88" s="138"/>
      <c r="X88" s="138">
        <f>+U86</f>
        <v>96818.5</v>
      </c>
      <c r="Y88" s="40"/>
    </row>
    <row r="89" spans="2:25" s="39" customFormat="1" ht="11.25" x14ac:dyDescent="0.2">
      <c r="B89" s="114"/>
      <c r="E89" s="62"/>
      <c r="F89" s="78"/>
      <c r="G89" s="79"/>
      <c r="H89" s="62"/>
      <c r="I89" s="78"/>
      <c r="J89" s="40"/>
      <c r="K89" s="40"/>
      <c r="L89" s="40"/>
      <c r="M89" s="40"/>
      <c r="N89" s="40"/>
      <c r="O89" s="40"/>
      <c r="P89" s="40"/>
      <c r="Q89" s="123"/>
      <c r="R89" s="115"/>
      <c r="S89" s="115" t="s">
        <v>327</v>
      </c>
      <c r="T89" s="115"/>
      <c r="U89" s="138"/>
      <c r="V89" s="139"/>
      <c r="W89" s="142"/>
      <c r="X89" s="139">
        <v>387274</v>
      </c>
      <c r="Y89" s="40"/>
    </row>
    <row r="90" spans="2:25" s="39" customFormat="1" ht="11.25" x14ac:dyDescent="0.2">
      <c r="B90" s="114"/>
      <c r="E90" s="62"/>
      <c r="F90" s="78"/>
      <c r="G90" s="79"/>
      <c r="H90" s="62"/>
      <c r="I90" s="78"/>
      <c r="J90" s="40"/>
      <c r="K90" s="40"/>
      <c r="L90" s="40"/>
      <c r="M90" s="40"/>
      <c r="N90" s="40"/>
      <c r="O90" s="40"/>
      <c r="P90" s="40"/>
      <c r="Q90" s="123"/>
      <c r="R90" s="115"/>
      <c r="S90" s="115" t="s">
        <v>328</v>
      </c>
      <c r="T90" s="116"/>
      <c r="U90" s="140"/>
      <c r="V90" s="140"/>
      <c r="W90" s="141"/>
      <c r="X90" s="139">
        <f>+U87</f>
        <v>46472.88</v>
      </c>
      <c r="Y90" s="40"/>
    </row>
    <row r="91" spans="2:25" s="39" customFormat="1" ht="12" thickBot="1" x14ac:dyDescent="0.25">
      <c r="B91" s="114"/>
      <c r="E91" s="62"/>
      <c r="F91" s="78"/>
      <c r="G91" s="79"/>
      <c r="H91" s="62"/>
      <c r="I91" s="78"/>
      <c r="J91" s="40"/>
      <c r="K91" s="40"/>
      <c r="L91" s="40"/>
      <c r="M91" s="40"/>
      <c r="N91" s="40"/>
      <c r="O91" s="40"/>
      <c r="P91" s="40"/>
      <c r="Q91" s="123"/>
      <c r="R91" s="115"/>
      <c r="S91" s="115"/>
      <c r="T91" s="124"/>
      <c r="U91" s="125">
        <f>SUM(U85:U90)</f>
        <v>530565.38</v>
      </c>
      <c r="V91" s="126"/>
      <c r="W91" s="124"/>
      <c r="X91" s="125">
        <f>SUM(X85:X90)</f>
        <v>530565.38</v>
      </c>
      <c r="Y91" s="40"/>
    </row>
    <row r="92" spans="2:25" s="39" customFormat="1" ht="12" thickTop="1" x14ac:dyDescent="0.2">
      <c r="B92" s="114"/>
      <c r="E92" s="62"/>
      <c r="F92" s="78"/>
      <c r="G92" s="79"/>
      <c r="H92" s="62"/>
      <c r="I92" s="78"/>
      <c r="J92" s="40"/>
      <c r="K92" s="40"/>
      <c r="L92" s="40"/>
      <c r="M92" s="40"/>
      <c r="N92" s="40"/>
      <c r="O92" s="40"/>
      <c r="P92" s="40"/>
      <c r="Q92" s="132"/>
      <c r="R92" s="40"/>
      <c r="Y92" s="40"/>
    </row>
    <row r="93" spans="2:25" s="39" customFormat="1" ht="11.25" x14ac:dyDescent="0.2">
      <c r="E93" s="52"/>
      <c r="F93" s="48"/>
      <c r="G93" s="54"/>
      <c r="H93" s="62"/>
      <c r="I93" s="50"/>
      <c r="J93" s="40"/>
      <c r="K93" s="40"/>
      <c r="L93" s="40"/>
      <c r="M93" s="40"/>
      <c r="N93" s="40"/>
      <c r="O93" s="40"/>
      <c r="P93" s="40"/>
      <c r="Q93" s="132"/>
      <c r="R93" s="40"/>
      <c r="Y93" s="40"/>
    </row>
    <row r="94" spans="2:25" s="39" customFormat="1" ht="12" x14ac:dyDescent="0.2">
      <c r="B94" s="51"/>
      <c r="D94" s="39" t="s">
        <v>184</v>
      </c>
      <c r="E94" s="52"/>
      <c r="F94" s="48">
        <v>313089</v>
      </c>
      <c r="G94" s="53"/>
      <c r="H94" s="52"/>
      <c r="I94" s="48"/>
      <c r="J94" s="40"/>
      <c r="K94" s="40"/>
      <c r="L94" s="40"/>
      <c r="M94" s="40"/>
      <c r="N94" s="40"/>
      <c r="O94" s="40"/>
      <c r="P94" s="40"/>
      <c r="Q94" s="132"/>
      <c r="R94" s="40"/>
      <c r="S94" s="39" t="s">
        <v>323</v>
      </c>
      <c r="U94" s="47">
        <f>+F94</f>
        <v>313089</v>
      </c>
      <c r="X94" s="47">
        <f>+I96</f>
        <v>53693</v>
      </c>
      <c r="Y94" s="40"/>
    </row>
    <row r="95" spans="2:25" s="39" customFormat="1" ht="12" x14ac:dyDescent="0.2">
      <c r="B95" s="51"/>
      <c r="D95" s="39" t="s">
        <v>201</v>
      </c>
      <c r="E95" s="52"/>
      <c r="F95" s="48">
        <v>53693</v>
      </c>
      <c r="G95" s="53"/>
      <c r="H95" s="52"/>
      <c r="I95" s="48"/>
      <c r="J95" s="40"/>
      <c r="K95" s="40"/>
      <c r="L95" s="40"/>
      <c r="M95" s="40"/>
      <c r="N95" s="40"/>
      <c r="O95" s="40"/>
      <c r="P95" s="40"/>
      <c r="Q95" s="132"/>
      <c r="R95" s="40"/>
      <c r="S95" s="39" t="s">
        <v>201</v>
      </c>
      <c r="U95" s="47">
        <f>+F95</f>
        <v>53693</v>
      </c>
      <c r="Y95" s="40"/>
    </row>
    <row r="96" spans="2:25" s="39" customFormat="1" ht="12" x14ac:dyDescent="0.2">
      <c r="B96" s="51"/>
      <c r="D96" s="39" t="s">
        <v>184</v>
      </c>
      <c r="E96" s="52"/>
      <c r="F96" s="48"/>
      <c r="G96" s="53"/>
      <c r="H96" s="52"/>
      <c r="I96" s="48">
        <v>53693</v>
      </c>
      <c r="J96" s="40"/>
      <c r="K96" s="40"/>
      <c r="L96" s="40"/>
      <c r="M96" s="40"/>
      <c r="N96" s="40"/>
      <c r="O96" s="40"/>
      <c r="P96" s="40"/>
      <c r="Q96" s="132"/>
      <c r="R96" s="40"/>
      <c r="S96" s="39" t="s">
        <v>184</v>
      </c>
      <c r="Y96" s="40"/>
    </row>
    <row r="97" spans="2:28" s="39" customFormat="1" ht="11.25" x14ac:dyDescent="0.2">
      <c r="B97" s="51"/>
      <c r="D97" s="63" t="s">
        <v>206</v>
      </c>
      <c r="E97" s="52"/>
      <c r="F97" s="48"/>
      <c r="G97" s="56"/>
      <c r="H97" s="52"/>
      <c r="I97" s="48">
        <v>313089</v>
      </c>
      <c r="J97" s="40"/>
      <c r="K97" s="40"/>
      <c r="L97" s="40"/>
      <c r="M97" s="40"/>
      <c r="N97" s="40"/>
      <c r="O97" s="40"/>
      <c r="P97" s="40">
        <f>+I96/I97</f>
        <v>0.17149436741629376</v>
      </c>
      <c r="Q97" s="132"/>
      <c r="R97" s="40"/>
      <c r="S97" s="63" t="s">
        <v>329</v>
      </c>
      <c r="X97" s="47">
        <f>+U94</f>
        <v>313089</v>
      </c>
      <c r="Y97" s="40"/>
    </row>
    <row r="98" spans="2:28" ht="13.5" thickBot="1" x14ac:dyDescent="0.25">
      <c r="B98" s="114" t="s">
        <v>207</v>
      </c>
      <c r="E98" s="58"/>
      <c r="F98" s="59">
        <f>SUM(F94:F97)</f>
        <v>366782</v>
      </c>
      <c r="G98" s="60"/>
      <c r="H98" s="58"/>
      <c r="I98" s="59">
        <f>SUM(I94:I97)</f>
        <v>366782</v>
      </c>
      <c r="J98" s="40"/>
      <c r="K98" s="40"/>
      <c r="L98" s="40"/>
      <c r="M98" s="40"/>
      <c r="N98" s="40"/>
      <c r="O98" s="40"/>
      <c r="Q98" s="132"/>
      <c r="S98" s="38"/>
      <c r="T98" s="38"/>
      <c r="U98" s="38"/>
      <c r="V98" s="39"/>
      <c r="W98" s="39"/>
      <c r="X98" s="39"/>
      <c r="Y98" s="40"/>
      <c r="Z98" s="39"/>
      <c r="AA98" s="39"/>
      <c r="AB98" s="39"/>
    </row>
    <row r="99" spans="2:28" ht="13.5" thickTop="1" x14ac:dyDescent="0.2">
      <c r="B99" s="114"/>
      <c r="E99" s="62"/>
      <c r="F99" s="78"/>
      <c r="G99" s="79"/>
      <c r="H99" s="62"/>
      <c r="I99" s="78"/>
      <c r="J99" s="40"/>
      <c r="K99" s="40"/>
      <c r="L99" s="40"/>
      <c r="M99" s="40"/>
      <c r="N99" s="40"/>
      <c r="O99" s="40"/>
      <c r="Q99" s="132"/>
      <c r="S99" s="39"/>
      <c r="T99" s="39"/>
      <c r="U99" s="39"/>
      <c r="V99" s="39"/>
      <c r="W99" s="39"/>
      <c r="X99" s="39"/>
      <c r="Y99" s="40"/>
      <c r="Z99" s="39"/>
      <c r="AA99" s="39"/>
      <c r="AB99" s="39"/>
    </row>
    <row r="100" spans="2:28" x14ac:dyDescent="0.2">
      <c r="B100" s="114"/>
      <c r="E100" s="62"/>
      <c r="F100" s="78"/>
      <c r="G100" s="79"/>
      <c r="H100" s="62"/>
      <c r="I100" s="78"/>
      <c r="J100" s="40"/>
      <c r="K100" s="40"/>
      <c r="L100" s="40"/>
      <c r="M100" s="40"/>
      <c r="N100" s="40"/>
      <c r="O100" s="40"/>
      <c r="Q100" s="132"/>
      <c r="S100" s="39" t="s">
        <v>330</v>
      </c>
      <c r="T100" s="39"/>
      <c r="U100" s="47">
        <f>+U95</f>
        <v>53693</v>
      </c>
      <c r="V100" s="39"/>
      <c r="W100" s="39"/>
      <c r="X100" s="39"/>
      <c r="Y100" s="40"/>
      <c r="Z100" s="39"/>
      <c r="AA100" s="39"/>
      <c r="AB100" s="39"/>
    </row>
    <row r="101" spans="2:28" x14ac:dyDescent="0.2">
      <c r="B101" s="114"/>
      <c r="E101" s="62"/>
      <c r="F101" s="78"/>
      <c r="G101" s="79"/>
      <c r="H101" s="62"/>
      <c r="I101" s="78"/>
      <c r="J101" s="40"/>
      <c r="K101" s="40"/>
      <c r="L101" s="40"/>
      <c r="M101" s="40"/>
      <c r="N101" s="40"/>
      <c r="O101" s="40"/>
      <c r="Q101" s="132"/>
      <c r="S101" s="39" t="s">
        <v>201</v>
      </c>
      <c r="T101" s="39"/>
      <c r="U101" s="39"/>
      <c r="V101" s="39"/>
      <c r="W101" s="39"/>
      <c r="X101" s="47">
        <f>+U100</f>
        <v>53693</v>
      </c>
      <c r="Y101" s="40"/>
      <c r="Z101" s="39"/>
      <c r="AA101" s="39"/>
      <c r="AB101" s="39"/>
    </row>
    <row r="102" spans="2:28" x14ac:dyDescent="0.2">
      <c r="B102" s="51"/>
      <c r="D102" s="39" t="s">
        <v>184</v>
      </c>
      <c r="E102" s="52"/>
      <c r="F102" s="48">
        <f>213705+58878</f>
        <v>272583</v>
      </c>
      <c r="G102" s="53"/>
      <c r="H102" s="54"/>
      <c r="I102" s="54"/>
      <c r="J102" s="40"/>
      <c r="K102" s="40"/>
      <c r="L102" s="40"/>
      <c r="M102" s="40"/>
      <c r="N102" s="40"/>
      <c r="O102" s="40"/>
      <c r="Q102" s="132"/>
      <c r="S102" s="39"/>
      <c r="T102" s="39"/>
      <c r="U102" s="39"/>
      <c r="V102" s="39"/>
      <c r="W102" s="39"/>
      <c r="X102" s="39"/>
      <c r="Y102" s="40"/>
      <c r="Z102" s="39"/>
      <c r="AA102" s="39"/>
      <c r="AB102" s="39"/>
    </row>
    <row r="103" spans="2:28" x14ac:dyDescent="0.2">
      <c r="B103" s="51"/>
      <c r="D103" s="40" t="s">
        <v>209</v>
      </c>
      <c r="E103" s="46"/>
      <c r="F103" s="54"/>
      <c r="G103" s="54"/>
      <c r="H103" s="52"/>
      <c r="I103" s="48">
        <f>213705+58878</f>
        <v>272583</v>
      </c>
      <c r="J103" s="40"/>
      <c r="K103" s="40"/>
      <c r="L103" s="40"/>
      <c r="M103" s="40"/>
      <c r="N103" s="40"/>
      <c r="O103" s="40"/>
      <c r="Q103" s="132"/>
      <c r="S103" s="39"/>
      <c r="T103" s="39"/>
      <c r="U103" s="39"/>
      <c r="V103" s="39"/>
      <c r="W103" s="39"/>
      <c r="X103" s="39"/>
      <c r="Y103" s="40"/>
      <c r="Z103" s="39"/>
      <c r="AA103" s="39"/>
      <c r="AB103" s="39"/>
    </row>
    <row r="104" spans="2:28" ht="13.5" thickBot="1" x14ac:dyDescent="0.25">
      <c r="B104" s="114" t="s">
        <v>210</v>
      </c>
      <c r="E104" s="46"/>
      <c r="F104" s="64">
        <f>SUM(F102:F102)</f>
        <v>272583</v>
      </c>
      <c r="G104" s="64"/>
      <c r="H104" s="64"/>
      <c r="I104" s="64">
        <f>SUM(I102:I103)</f>
        <v>272583</v>
      </c>
      <c r="J104" s="40"/>
      <c r="K104" s="40"/>
      <c r="L104" s="40"/>
      <c r="M104" s="40"/>
      <c r="N104" s="40"/>
      <c r="O104" s="40"/>
      <c r="Q104" s="132"/>
      <c r="S104" s="39"/>
      <c r="T104" s="39"/>
      <c r="U104" s="39"/>
      <c r="V104" s="39"/>
      <c r="W104" s="39"/>
      <c r="X104" s="39"/>
      <c r="Y104" s="40"/>
      <c r="Z104" s="39"/>
      <c r="AA104" s="39"/>
      <c r="AB104" s="39"/>
    </row>
    <row r="105" spans="2:28" ht="13.5" thickTop="1" x14ac:dyDescent="0.2">
      <c r="B105" s="114"/>
      <c r="E105" s="62"/>
      <c r="F105" s="78"/>
      <c r="G105" s="79"/>
      <c r="H105" s="62"/>
      <c r="I105" s="78"/>
      <c r="J105" s="40"/>
      <c r="K105" s="40"/>
      <c r="L105" s="40"/>
      <c r="M105" s="40"/>
      <c r="N105" s="40"/>
      <c r="O105" s="40"/>
      <c r="Q105" s="132"/>
      <c r="S105" s="39"/>
      <c r="T105" s="39"/>
      <c r="U105" s="39"/>
      <c r="V105" s="39"/>
      <c r="W105" s="39"/>
      <c r="X105" s="39"/>
      <c r="Y105" s="40"/>
      <c r="Z105" s="39"/>
      <c r="AA105" s="39"/>
      <c r="AB105" s="39"/>
    </row>
    <row r="106" spans="2:28" x14ac:dyDescent="0.2">
      <c r="B106" s="38"/>
      <c r="C106" s="38"/>
      <c r="D106" s="38"/>
      <c r="E106" s="38"/>
      <c r="F106" s="38"/>
      <c r="G106" s="38"/>
      <c r="H106" s="38"/>
      <c r="I106" s="38"/>
      <c r="J106" s="40"/>
      <c r="K106" s="40"/>
      <c r="L106" s="40"/>
      <c r="M106" s="40"/>
      <c r="N106" s="40"/>
      <c r="O106" s="40"/>
      <c r="Q106" s="132"/>
      <c r="S106" s="39"/>
      <c r="T106" s="39"/>
      <c r="U106" s="39"/>
      <c r="V106" s="39"/>
      <c r="W106" s="39"/>
      <c r="X106" s="39"/>
      <c r="Y106" s="40"/>
      <c r="Z106" s="39"/>
      <c r="AA106" s="39"/>
      <c r="AB106" s="39"/>
    </row>
    <row r="107" spans="2:28" ht="15.75" x14ac:dyDescent="0.25">
      <c r="B107" s="38"/>
      <c r="C107" s="38"/>
      <c r="D107" s="38"/>
      <c r="E107" s="38"/>
      <c r="F107" s="38"/>
      <c r="G107" s="38"/>
      <c r="H107" s="38"/>
      <c r="I107" s="38"/>
      <c r="J107" s="40"/>
      <c r="K107" s="40"/>
      <c r="L107" s="40"/>
      <c r="M107" s="40"/>
      <c r="N107" s="40"/>
      <c r="O107" s="40"/>
      <c r="Q107" s="129" t="s">
        <v>248</v>
      </c>
      <c r="R107" s="54"/>
      <c r="S107" s="72" t="s">
        <v>243</v>
      </c>
      <c r="T107" s="52"/>
      <c r="U107" s="48"/>
      <c r="V107" s="54"/>
      <c r="W107" s="62"/>
      <c r="X107" s="50"/>
      <c r="Y107" s="40"/>
      <c r="Z107" s="39" t="s">
        <v>199</v>
      </c>
      <c r="AA107" s="39"/>
    </row>
    <row r="108" spans="2:28" x14ac:dyDescent="0.2">
      <c r="B108" s="38"/>
      <c r="C108" s="38"/>
      <c r="D108" s="38"/>
      <c r="E108" s="38"/>
      <c r="F108" s="38"/>
      <c r="G108" s="38"/>
      <c r="H108" s="38"/>
      <c r="I108" s="38"/>
      <c r="Q108" s="131"/>
      <c r="S108" s="40" t="s">
        <v>184</v>
      </c>
      <c r="T108" s="52"/>
      <c r="U108" s="48">
        <v>273130</v>
      </c>
      <c r="V108" s="53"/>
      <c r="W108" s="52"/>
      <c r="X108" s="48"/>
      <c r="Y108" s="40"/>
      <c r="Z108" s="39" t="s">
        <v>200</v>
      </c>
      <c r="AA108" s="39"/>
    </row>
    <row r="109" spans="2:28" x14ac:dyDescent="0.2">
      <c r="B109" s="38"/>
      <c r="C109" s="38"/>
      <c r="D109" s="38"/>
      <c r="E109" s="38"/>
      <c r="F109" s="38"/>
      <c r="G109" s="38"/>
      <c r="H109" s="38"/>
      <c r="I109" s="38"/>
      <c r="Q109" s="131"/>
      <c r="S109" s="40" t="s">
        <v>184</v>
      </c>
      <c r="T109" s="52"/>
      <c r="U109" s="48">
        <v>266944.13</v>
      </c>
      <c r="V109" s="53"/>
      <c r="W109" s="52"/>
      <c r="X109" s="48"/>
      <c r="Y109" s="40"/>
      <c r="Z109" s="39" t="s">
        <v>200</v>
      </c>
      <c r="AA109" s="39"/>
    </row>
    <row r="110" spans="2:28" x14ac:dyDescent="0.2">
      <c r="B110" s="38"/>
      <c r="C110" s="38"/>
      <c r="D110" s="38"/>
      <c r="E110" s="38"/>
      <c r="F110" s="38"/>
      <c r="G110" s="38"/>
      <c r="H110" s="38"/>
      <c r="I110" s="38"/>
      <c r="Q110" s="131"/>
      <c r="S110" s="40" t="s">
        <v>184</v>
      </c>
      <c r="T110" s="52"/>
      <c r="U110" s="48">
        <f>X113</f>
        <v>32033.295599999998</v>
      </c>
      <c r="V110" s="53"/>
      <c r="W110" s="52"/>
      <c r="X110" s="48"/>
      <c r="Y110" s="40"/>
      <c r="Z110" s="39" t="s">
        <v>193</v>
      </c>
      <c r="AA110" s="39"/>
    </row>
    <row r="111" spans="2:28" x14ac:dyDescent="0.2">
      <c r="B111" s="38"/>
      <c r="C111" s="38"/>
      <c r="D111" s="38"/>
      <c r="E111" s="38"/>
      <c r="F111" s="38"/>
      <c r="G111" s="38"/>
      <c r="H111" s="38"/>
      <c r="I111" s="38"/>
      <c r="Q111" s="131"/>
      <c r="S111" s="40" t="s">
        <v>201</v>
      </c>
      <c r="T111" s="52"/>
      <c r="U111" s="48">
        <v>87674.28</v>
      </c>
      <c r="V111" s="53"/>
      <c r="W111" s="52"/>
      <c r="X111" s="48"/>
      <c r="Y111" s="40"/>
      <c r="Z111" s="39" t="s">
        <v>193</v>
      </c>
      <c r="AA111" s="39"/>
    </row>
    <row r="112" spans="2:28" x14ac:dyDescent="0.2">
      <c r="B112" s="114"/>
      <c r="E112" s="62"/>
      <c r="F112" s="78"/>
      <c r="G112" s="79"/>
      <c r="H112" s="62"/>
      <c r="I112" s="78"/>
      <c r="Q112" s="131"/>
      <c r="S112" s="40" t="s">
        <v>184</v>
      </c>
      <c r="T112" s="52"/>
      <c r="U112" s="48"/>
      <c r="V112" s="53"/>
      <c r="W112" s="52"/>
      <c r="X112" s="48">
        <f>U111</f>
        <v>87674.28</v>
      </c>
      <c r="Y112" s="40"/>
      <c r="Z112" s="39" t="s">
        <v>200</v>
      </c>
      <c r="AA112" s="39"/>
    </row>
    <row r="113" spans="1:27" x14ac:dyDescent="0.2">
      <c r="E113" s="52"/>
      <c r="F113" s="48"/>
      <c r="G113" s="54"/>
      <c r="H113" s="62"/>
      <c r="I113" s="50"/>
      <c r="Q113" s="131"/>
      <c r="S113" s="40" t="s">
        <v>202</v>
      </c>
      <c r="T113" s="52"/>
      <c r="U113" s="48"/>
      <c r="V113" s="53"/>
      <c r="W113" s="52"/>
      <c r="X113" s="48">
        <f>U109*0.12</f>
        <v>32033.295599999998</v>
      </c>
      <c r="Y113" s="40"/>
      <c r="Z113" s="39" t="s">
        <v>199</v>
      </c>
      <c r="AA113" s="39"/>
    </row>
    <row r="114" spans="1:27" x14ac:dyDescent="0.2">
      <c r="A114" s="38"/>
      <c r="B114" s="38"/>
      <c r="C114" s="38"/>
      <c r="D114" s="38"/>
      <c r="E114" s="38"/>
      <c r="F114" s="38"/>
      <c r="G114" s="38"/>
      <c r="H114" s="38"/>
      <c r="I114" s="38"/>
      <c r="Q114" s="131"/>
      <c r="R114" s="131"/>
      <c r="S114" s="40" t="s">
        <v>203</v>
      </c>
      <c r="T114" s="52"/>
      <c r="U114" s="48"/>
      <c r="V114" s="56"/>
      <c r="W114" s="52"/>
      <c r="X114" s="48">
        <f>U108</f>
        <v>273130</v>
      </c>
      <c r="Y114" s="40"/>
      <c r="Z114" s="39" t="s">
        <v>200</v>
      </c>
      <c r="AA114" s="39"/>
    </row>
    <row r="115" spans="1:27" x14ac:dyDescent="0.2">
      <c r="A115" s="38"/>
      <c r="B115" s="38"/>
      <c r="C115" s="38"/>
      <c r="D115" s="38"/>
      <c r="E115" s="38"/>
      <c r="F115" s="38"/>
      <c r="G115" s="38"/>
      <c r="H115" s="38"/>
      <c r="I115" s="38"/>
      <c r="Q115" s="131"/>
      <c r="S115" s="65" t="s">
        <v>204</v>
      </c>
      <c r="T115" s="52"/>
      <c r="U115" s="48"/>
      <c r="V115" s="56"/>
      <c r="W115" s="52"/>
      <c r="X115" s="48">
        <f>U109</f>
        <v>266944.13</v>
      </c>
      <c r="Y115" s="40"/>
      <c r="Z115" s="39"/>
    </row>
    <row r="116" spans="1:27" ht="13.5" thickBot="1" x14ac:dyDescent="0.25">
      <c r="A116" s="38"/>
      <c r="B116" s="38"/>
      <c r="C116" s="38"/>
      <c r="D116" s="38"/>
      <c r="E116" s="38"/>
      <c r="F116" s="38"/>
      <c r="G116" s="38"/>
      <c r="H116" s="38"/>
      <c r="I116" s="38"/>
      <c r="Q116" s="132" t="s">
        <v>211</v>
      </c>
      <c r="T116" s="58"/>
      <c r="U116" s="59">
        <f>SUM(U108:U115)</f>
        <v>659781.70559999999</v>
      </c>
      <c r="V116" s="60"/>
      <c r="W116" s="58"/>
      <c r="X116" s="59">
        <f>SUM(X108:X115)</f>
        <v>659781.70559999999</v>
      </c>
      <c r="Y116" s="40"/>
      <c r="Z116" s="39"/>
    </row>
    <row r="117" spans="1:27" ht="13.5" thickTop="1" x14ac:dyDescent="0.2">
      <c r="E117" s="46"/>
      <c r="F117" s="54"/>
      <c r="G117" s="54"/>
      <c r="H117" s="54"/>
      <c r="I117" s="54"/>
      <c r="Q117" s="132"/>
      <c r="T117" s="62"/>
      <c r="U117" s="78"/>
      <c r="V117" s="79"/>
      <c r="W117" s="62"/>
      <c r="X117" s="78"/>
      <c r="Y117" s="40"/>
      <c r="Z117" s="39"/>
    </row>
    <row r="118" spans="1:27" ht="15.75" x14ac:dyDescent="0.25">
      <c r="B118" s="114"/>
      <c r="E118" s="52"/>
      <c r="F118" s="50"/>
      <c r="G118" s="54"/>
      <c r="H118" s="62"/>
      <c r="I118" s="50"/>
      <c r="Q118" s="129" t="s">
        <v>249</v>
      </c>
      <c r="R118" s="54"/>
      <c r="S118" s="72" t="s">
        <v>243</v>
      </c>
      <c r="T118" s="52"/>
      <c r="U118" s="48"/>
      <c r="V118" s="54"/>
      <c r="W118" s="62"/>
      <c r="X118" s="50"/>
      <c r="Y118" s="40"/>
      <c r="Z118" s="39" t="s">
        <v>205</v>
      </c>
    </row>
    <row r="119" spans="1:27" x14ac:dyDescent="0.2">
      <c r="E119" s="46"/>
      <c r="F119" s="54"/>
      <c r="G119" s="54"/>
      <c r="H119" s="54"/>
      <c r="I119" s="54"/>
      <c r="Q119" s="131"/>
      <c r="S119" s="115" t="s">
        <v>331</v>
      </c>
      <c r="T119" s="52"/>
      <c r="U119" s="48">
        <v>446478.76</v>
      </c>
      <c r="V119" s="53"/>
      <c r="W119" s="52"/>
      <c r="X119" s="48"/>
      <c r="Y119" s="40"/>
      <c r="Z119" s="39" t="s">
        <v>193</v>
      </c>
    </row>
    <row r="120" spans="1:27" x14ac:dyDescent="0.2">
      <c r="Q120" s="131"/>
      <c r="S120" s="40" t="s">
        <v>201</v>
      </c>
      <c r="T120" s="52"/>
      <c r="U120" s="48">
        <v>66736.03</v>
      </c>
      <c r="V120" s="53"/>
      <c r="W120" s="186"/>
      <c r="X120" s="48"/>
      <c r="Y120" s="40"/>
      <c r="Z120" s="39" t="s">
        <v>193</v>
      </c>
    </row>
    <row r="121" spans="1:27" x14ac:dyDescent="0.2">
      <c r="Q121" s="131"/>
      <c r="S121" s="40" t="s">
        <v>184</v>
      </c>
      <c r="T121" s="52"/>
      <c r="U121" s="48"/>
      <c r="V121" s="53"/>
      <c r="W121" s="52"/>
      <c r="X121" s="48">
        <f>U120</f>
        <v>66736.03</v>
      </c>
      <c r="Y121" s="40"/>
      <c r="Z121" s="39" t="s">
        <v>205</v>
      </c>
    </row>
    <row r="122" spans="1:27" x14ac:dyDescent="0.2">
      <c r="Q122" s="131"/>
      <c r="S122" s="65" t="s">
        <v>206</v>
      </c>
      <c r="T122" s="52"/>
      <c r="U122" s="48"/>
      <c r="V122" s="56"/>
      <c r="W122" s="52"/>
      <c r="X122" s="48">
        <f>U119</f>
        <v>446478.76</v>
      </c>
      <c r="Y122" s="40"/>
      <c r="Z122" s="39"/>
    </row>
    <row r="123" spans="1:27" ht="13.5" thickBot="1" x14ac:dyDescent="0.25">
      <c r="Q123" s="132" t="s">
        <v>207</v>
      </c>
      <c r="T123" s="58"/>
      <c r="U123" s="59">
        <f>SUM(U119:U122)</f>
        <v>513214.79000000004</v>
      </c>
      <c r="V123" s="60"/>
      <c r="W123" s="58"/>
      <c r="X123" s="59">
        <f>SUM(X119:X122)</f>
        <v>513214.79000000004</v>
      </c>
      <c r="Y123" s="40"/>
      <c r="Z123" s="39"/>
    </row>
    <row r="124" spans="1:27" ht="13.5" thickTop="1" x14ac:dyDescent="0.2">
      <c r="Q124" s="132"/>
      <c r="T124" s="62"/>
      <c r="U124" s="78"/>
      <c r="V124" s="79"/>
      <c r="W124" s="62"/>
      <c r="X124" s="78"/>
      <c r="Y124" s="40"/>
      <c r="Z124" s="39"/>
    </row>
    <row r="125" spans="1:27" ht="15.75" x14ac:dyDescent="0.25">
      <c r="Q125" s="129" t="s">
        <v>250</v>
      </c>
      <c r="R125" s="54"/>
      <c r="S125" s="72" t="s">
        <v>243</v>
      </c>
      <c r="T125" s="52"/>
      <c r="U125" s="48"/>
      <c r="V125" s="54"/>
      <c r="W125" s="62"/>
      <c r="X125" s="50"/>
      <c r="Y125" s="40"/>
      <c r="Z125" s="39" t="s">
        <v>208</v>
      </c>
    </row>
    <row r="126" spans="1:27" x14ac:dyDescent="0.2">
      <c r="Q126" s="131"/>
      <c r="S126" s="40" t="s">
        <v>184</v>
      </c>
      <c r="T126" s="52"/>
      <c r="U126" s="48">
        <f>70875.36+26517.37+66880.55+16286.07</f>
        <v>180559.35</v>
      </c>
      <c r="V126" s="53"/>
      <c r="W126" s="54"/>
      <c r="X126" s="54"/>
      <c r="Y126" s="40"/>
      <c r="Z126" s="39" t="s">
        <v>208</v>
      </c>
    </row>
    <row r="127" spans="1:27" x14ac:dyDescent="0.2">
      <c r="Q127" s="131"/>
      <c r="S127" s="40" t="s">
        <v>209</v>
      </c>
      <c r="T127" s="56"/>
      <c r="U127" s="54"/>
      <c r="V127" s="54"/>
      <c r="W127" s="52"/>
      <c r="X127" s="48">
        <f>U126</f>
        <v>180559.35</v>
      </c>
      <c r="Y127" s="40"/>
      <c r="Z127" s="39"/>
    </row>
    <row r="128" spans="1:27" ht="13.5" thickBot="1" x14ac:dyDescent="0.25">
      <c r="Q128" s="132" t="s">
        <v>210</v>
      </c>
      <c r="T128" s="56"/>
      <c r="U128" s="64">
        <f>SUM(U126:U126)</f>
        <v>180559.35</v>
      </c>
      <c r="V128" s="64"/>
      <c r="W128" s="64"/>
      <c r="X128" s="64">
        <f>SUM(X126:X127)</f>
        <v>180559.35</v>
      </c>
      <c r="Y128" s="40"/>
      <c r="Z128" s="39"/>
    </row>
    <row r="129" spans="17:26" ht="13.5" thickTop="1" x14ac:dyDescent="0.2">
      <c r="T129" s="56"/>
      <c r="U129" s="54"/>
      <c r="V129" s="54"/>
      <c r="W129" s="54"/>
      <c r="X129" s="54"/>
      <c r="Y129" s="40"/>
      <c r="Z129" s="39"/>
    </row>
    <row r="130" spans="17:26" ht="15.75" x14ac:dyDescent="0.25">
      <c r="Q130" s="129" t="s">
        <v>251</v>
      </c>
      <c r="R130" s="54"/>
      <c r="S130" s="72" t="s">
        <v>243</v>
      </c>
      <c r="T130" s="52"/>
      <c r="U130" s="50"/>
      <c r="V130" s="54"/>
      <c r="W130" s="62"/>
      <c r="X130" s="50"/>
      <c r="Y130" s="40"/>
      <c r="Z130" s="39"/>
    </row>
    <row r="131" spans="17:26" ht="15" x14ac:dyDescent="0.25">
      <c r="Q131" s="67"/>
      <c r="R131" s="67"/>
      <c r="S131" s="40" t="s">
        <v>212</v>
      </c>
      <c r="T131" s="67"/>
      <c r="U131" s="48">
        <v>2316.25</v>
      </c>
      <c r="V131" s="48"/>
      <c r="W131" s="48"/>
      <c r="X131" s="48"/>
      <c r="Y131" s="40"/>
      <c r="Z131" s="39"/>
    </row>
    <row r="132" spans="17:26" ht="15" x14ac:dyDescent="0.25">
      <c r="Q132" s="67"/>
      <c r="R132" s="67"/>
      <c r="S132" s="40" t="s">
        <v>214</v>
      </c>
      <c r="T132" s="67"/>
      <c r="U132" s="48">
        <v>15095.89</v>
      </c>
      <c r="V132" s="48"/>
      <c r="W132" s="48"/>
      <c r="X132" s="48"/>
      <c r="Y132" s="40"/>
      <c r="Z132" s="39"/>
    </row>
    <row r="133" spans="17:26" ht="15" x14ac:dyDescent="0.25">
      <c r="Q133" s="67"/>
      <c r="R133" s="67"/>
      <c r="S133" s="40" t="s">
        <v>217</v>
      </c>
      <c r="T133" s="67"/>
      <c r="U133" s="48">
        <v>91.74</v>
      </c>
      <c r="V133" s="48"/>
      <c r="W133" s="48"/>
      <c r="X133" s="48"/>
      <c r="Y133" s="40"/>
      <c r="Z133" s="39"/>
    </row>
    <row r="134" spans="17:26" ht="15" x14ac:dyDescent="0.25">
      <c r="Q134" s="67"/>
      <c r="R134" s="67"/>
      <c r="S134" s="40" t="s">
        <v>213</v>
      </c>
      <c r="T134" s="67"/>
      <c r="U134" s="48"/>
      <c r="V134" s="48"/>
      <c r="W134" s="48"/>
      <c r="X134" s="48">
        <v>91.74</v>
      </c>
    </row>
    <row r="135" spans="17:26" x14ac:dyDescent="0.2">
      <c r="S135" s="40" t="s">
        <v>215</v>
      </c>
      <c r="U135" s="48"/>
      <c r="V135" s="48"/>
      <c r="W135" s="48"/>
      <c r="X135" s="48">
        <v>2316.25</v>
      </c>
    </row>
    <row r="136" spans="17:26" x14ac:dyDescent="0.2">
      <c r="S136" s="40" t="s">
        <v>216</v>
      </c>
      <c r="U136" s="48"/>
      <c r="V136" s="48"/>
      <c r="W136" s="48"/>
      <c r="X136" s="48">
        <v>15095.89</v>
      </c>
    </row>
    <row r="137" spans="17:26" ht="13.5" thickBot="1" x14ac:dyDescent="0.25">
      <c r="Q137" s="143" t="s">
        <v>218</v>
      </c>
      <c r="R137" s="143"/>
      <c r="S137" s="143"/>
      <c r="U137" s="64">
        <f>SUM(U131:U136)</f>
        <v>17503.88</v>
      </c>
      <c r="V137" s="64"/>
      <c r="W137" s="64"/>
      <c r="X137" s="64">
        <f>SUM(X131:X136)</f>
        <v>17503.879999999997</v>
      </c>
    </row>
    <row r="138" spans="17:26" ht="13.5" thickTop="1" x14ac:dyDescent="0.2">
      <c r="Q138" s="143"/>
      <c r="R138" s="143"/>
      <c r="S138" s="143"/>
      <c r="U138" s="54"/>
      <c r="V138" s="54"/>
      <c r="W138" s="54"/>
      <c r="X138" s="54"/>
    </row>
    <row r="139" spans="17:26" ht="15.75" x14ac:dyDescent="0.25">
      <c r="Q139" s="129" t="s">
        <v>252</v>
      </c>
      <c r="R139" s="54"/>
      <c r="S139" s="72" t="s">
        <v>243</v>
      </c>
    </row>
    <row r="140" spans="17:26" x14ac:dyDescent="0.2">
      <c r="S140" s="27" t="s">
        <v>12</v>
      </c>
      <c r="U140" s="25">
        <v>1630.42</v>
      </c>
    </row>
    <row r="141" spans="17:26" x14ac:dyDescent="0.2">
      <c r="S141" s="27" t="s">
        <v>38</v>
      </c>
      <c r="U141" s="25">
        <v>1628.89</v>
      </c>
    </row>
    <row r="142" spans="17:26" x14ac:dyDescent="0.2">
      <c r="S142" s="27" t="s">
        <v>155</v>
      </c>
      <c r="X142" s="25">
        <v>3258</v>
      </c>
    </row>
    <row r="143" spans="17:26" x14ac:dyDescent="0.2">
      <c r="S143" s="40" t="s">
        <v>184</v>
      </c>
      <c r="X143" s="40">
        <v>1.31</v>
      </c>
    </row>
    <row r="144" spans="17:26" ht="13.5" thickBot="1" x14ac:dyDescent="0.25">
      <c r="U144" s="64">
        <f>SUM(U140:U143)</f>
        <v>3259.3100000000004</v>
      </c>
      <c r="V144" s="64"/>
      <c r="W144" s="64"/>
      <c r="X144" s="64">
        <f>SUM(X140:X143)</f>
        <v>3259.31</v>
      </c>
    </row>
    <row r="145" spans="17:25" ht="13.5" thickTop="1" x14ac:dyDescent="0.2"/>
    <row r="147" spans="17:25" ht="15.75" x14ac:dyDescent="0.25">
      <c r="Q147" s="129" t="s">
        <v>253</v>
      </c>
      <c r="R147" s="54"/>
      <c r="S147" s="214" t="s">
        <v>243</v>
      </c>
      <c r="T147" s="215"/>
      <c r="U147" s="215"/>
      <c r="V147" s="215"/>
      <c r="W147" s="215"/>
      <c r="X147" s="215"/>
      <c r="Y147" s="216"/>
    </row>
    <row r="148" spans="17:25" x14ac:dyDescent="0.2">
      <c r="S148" s="215" t="s">
        <v>184</v>
      </c>
      <c r="T148" s="215"/>
      <c r="U148" s="217">
        <f>100000-20000</f>
        <v>80000</v>
      </c>
      <c r="V148" s="215"/>
      <c r="W148" s="215"/>
      <c r="X148" s="215"/>
      <c r="Y148" s="216"/>
    </row>
    <row r="149" spans="17:25" x14ac:dyDescent="0.2">
      <c r="S149" s="215" t="s">
        <v>219</v>
      </c>
      <c r="T149" s="215"/>
      <c r="U149" s="215"/>
      <c r="V149" s="215"/>
      <c r="W149" s="215"/>
      <c r="X149" s="217">
        <f>100000-20000</f>
        <v>80000</v>
      </c>
      <c r="Y149" s="216"/>
    </row>
    <row r="150" spans="17:25" ht="13.5" thickBot="1" x14ac:dyDescent="0.25">
      <c r="Q150" s="40" t="s">
        <v>222</v>
      </c>
      <c r="S150" s="215"/>
      <c r="T150" s="215"/>
      <c r="U150" s="218">
        <f>SUM(U148:U149)</f>
        <v>80000</v>
      </c>
      <c r="V150" s="218"/>
      <c r="W150" s="218"/>
      <c r="X150" s="218">
        <f>SUM(X148:X149)</f>
        <v>80000</v>
      </c>
      <c r="Y150" s="216"/>
    </row>
    <row r="151" spans="17:25" ht="13.5" thickTop="1" x14ac:dyDescent="0.2"/>
    <row r="152" spans="17:25" ht="15.75" x14ac:dyDescent="0.25">
      <c r="Q152" s="129" t="s">
        <v>254</v>
      </c>
      <c r="R152" s="54"/>
      <c r="S152" s="72" t="s">
        <v>243</v>
      </c>
    </row>
    <row r="153" spans="17:25" x14ac:dyDescent="0.2">
      <c r="S153" s="40" t="s">
        <v>184</v>
      </c>
      <c r="U153" s="48">
        <v>250000</v>
      </c>
    </row>
    <row r="154" spans="17:25" x14ac:dyDescent="0.2">
      <c r="S154" s="40" t="s">
        <v>93</v>
      </c>
      <c r="X154" s="48">
        <v>250000</v>
      </c>
    </row>
    <row r="155" spans="17:25" ht="13.5" thickBot="1" x14ac:dyDescent="0.25">
      <c r="Q155" s="40" t="s">
        <v>220</v>
      </c>
      <c r="U155" s="64">
        <f>SUM(U152:U154)</f>
        <v>250000</v>
      </c>
      <c r="V155" s="64"/>
      <c r="W155" s="64"/>
      <c r="X155" s="64">
        <f>SUM(X152:X154)</f>
        <v>250000</v>
      </c>
    </row>
    <row r="156" spans="17:25" ht="13.5" thickTop="1" x14ac:dyDescent="0.2"/>
    <row r="157" spans="17:25" ht="15.75" x14ac:dyDescent="0.25">
      <c r="Q157" s="129" t="s">
        <v>255</v>
      </c>
      <c r="R157" s="54"/>
      <c r="S157" s="72" t="s">
        <v>243</v>
      </c>
    </row>
    <row r="158" spans="17:25" x14ac:dyDescent="0.2">
      <c r="S158" s="40" t="s">
        <v>47</v>
      </c>
      <c r="U158" s="48">
        <v>93914</v>
      </c>
    </row>
    <row r="159" spans="17:25" x14ac:dyDescent="0.2">
      <c r="S159" s="40" t="s">
        <v>195</v>
      </c>
      <c r="X159" s="48">
        <v>93914</v>
      </c>
    </row>
    <row r="160" spans="17:25" ht="13.5" thickBot="1" x14ac:dyDescent="0.25">
      <c r="Q160" s="40" t="s">
        <v>221</v>
      </c>
      <c r="U160" s="64">
        <f>SUM(U157:U159)</f>
        <v>93914</v>
      </c>
      <c r="V160" s="64"/>
      <c r="W160" s="64"/>
      <c r="X160" s="64">
        <f>SUM(X157:X159)</f>
        <v>93914</v>
      </c>
    </row>
    <row r="161" spans="17:26" ht="13.5" thickTop="1" x14ac:dyDescent="0.2"/>
    <row r="162" spans="17:26" ht="15.75" x14ac:dyDescent="0.25">
      <c r="Q162" s="129" t="s">
        <v>256</v>
      </c>
      <c r="R162" s="54"/>
      <c r="S162" s="72" t="s">
        <v>243</v>
      </c>
      <c r="Z162" s="39" t="s">
        <v>224</v>
      </c>
    </row>
    <row r="163" spans="17:26" x14ac:dyDescent="0.2">
      <c r="S163" s="40" t="s">
        <v>223</v>
      </c>
      <c r="U163" s="56">
        <v>205000</v>
      </c>
      <c r="V163" s="56"/>
      <c r="W163" s="56"/>
      <c r="X163" s="56"/>
      <c r="Z163" s="39" t="s">
        <v>226</v>
      </c>
    </row>
    <row r="164" spans="17:26" x14ac:dyDescent="0.2">
      <c r="S164" s="40" t="s">
        <v>225</v>
      </c>
      <c r="U164" s="56">
        <v>465000</v>
      </c>
      <c r="V164" s="56"/>
      <c r="W164" s="56"/>
      <c r="X164" s="56"/>
      <c r="Z164" s="39" t="s">
        <v>228</v>
      </c>
    </row>
    <row r="165" spans="17:26" x14ac:dyDescent="0.2">
      <c r="S165" s="40" t="s">
        <v>227</v>
      </c>
      <c r="U165" s="56">
        <v>10000</v>
      </c>
      <c r="V165" s="56"/>
      <c r="W165" s="56"/>
      <c r="X165" s="56"/>
      <c r="Z165" s="39" t="s">
        <v>230</v>
      </c>
    </row>
    <row r="166" spans="17:26" x14ac:dyDescent="0.2">
      <c r="S166" s="40" t="s">
        <v>229</v>
      </c>
      <c r="U166" s="56">
        <v>90000</v>
      </c>
      <c r="V166" s="56"/>
      <c r="W166" s="56"/>
      <c r="X166" s="56"/>
      <c r="Z166" s="39" t="s">
        <v>232</v>
      </c>
    </row>
    <row r="167" spans="17:26" x14ac:dyDescent="0.2">
      <c r="S167" s="40" t="s">
        <v>231</v>
      </c>
      <c r="U167" s="56">
        <v>50000</v>
      </c>
      <c r="V167" s="56"/>
      <c r="W167" s="56"/>
      <c r="X167" s="56"/>
      <c r="Z167" s="39" t="s">
        <v>234</v>
      </c>
    </row>
    <row r="168" spans="17:26" x14ac:dyDescent="0.2">
      <c r="S168" s="40" t="s">
        <v>233</v>
      </c>
      <c r="U168" s="56">
        <v>130000</v>
      </c>
      <c r="V168" s="56"/>
      <c r="W168" s="56"/>
      <c r="X168" s="56"/>
      <c r="Z168" s="39" t="s">
        <v>236</v>
      </c>
    </row>
    <row r="169" spans="17:26" x14ac:dyDescent="0.2">
      <c r="S169" s="40" t="s">
        <v>235</v>
      </c>
      <c r="U169" s="56">
        <v>25000</v>
      </c>
      <c r="V169" s="56"/>
      <c r="W169" s="56"/>
      <c r="X169" s="56"/>
      <c r="Z169" s="39"/>
    </row>
    <row r="170" spans="17:26" x14ac:dyDescent="0.2">
      <c r="S170" s="40" t="s">
        <v>184</v>
      </c>
      <c r="U170" s="56">
        <v>9776</v>
      </c>
      <c r="V170" s="56"/>
      <c r="W170" s="56"/>
      <c r="X170" s="56"/>
      <c r="Z170" s="39" t="s">
        <v>237</v>
      </c>
    </row>
    <row r="171" spans="17:26" x14ac:dyDescent="0.2">
      <c r="S171" s="27" t="s">
        <v>87</v>
      </c>
      <c r="U171" s="56"/>
      <c r="V171" s="56"/>
      <c r="W171" s="56"/>
      <c r="X171" s="56">
        <f>U172</f>
        <v>984776</v>
      </c>
      <c r="Z171" s="39"/>
    </row>
    <row r="172" spans="17:26" x14ac:dyDescent="0.2">
      <c r="Q172" s="378" t="s">
        <v>238</v>
      </c>
      <c r="R172" s="378"/>
      <c r="S172" s="378"/>
      <c r="T172" s="144"/>
      <c r="U172" s="81">
        <f>SUM(U163:U170)</f>
        <v>984776</v>
      </c>
      <c r="V172" s="81"/>
      <c r="W172" s="81"/>
      <c r="X172" s="81">
        <f>SUM(X163:X171)</f>
        <v>984776</v>
      </c>
      <c r="Z172" s="39"/>
    </row>
    <row r="173" spans="17:26" x14ac:dyDescent="0.2">
      <c r="Q173" s="132"/>
      <c r="R173" s="132"/>
      <c r="S173" s="132"/>
      <c r="T173" s="145"/>
      <c r="U173" s="79"/>
      <c r="V173" s="79"/>
      <c r="W173" s="79"/>
      <c r="X173" s="79"/>
      <c r="Z173" s="39"/>
    </row>
    <row r="174" spans="17:26" ht="15.75" x14ac:dyDescent="0.25">
      <c r="Q174" s="129" t="s">
        <v>257</v>
      </c>
      <c r="R174" s="54"/>
      <c r="S174" s="72" t="s">
        <v>243</v>
      </c>
      <c r="T174" s="145"/>
      <c r="U174" s="79"/>
      <c r="V174" s="79"/>
      <c r="W174" s="79"/>
      <c r="X174" s="79"/>
      <c r="Z174" s="39"/>
    </row>
    <row r="175" spans="17:26" x14ac:dyDescent="0.2">
      <c r="S175" s="40" t="s">
        <v>184</v>
      </c>
      <c r="U175" s="48">
        <v>959</v>
      </c>
      <c r="Z175" s="39"/>
    </row>
    <row r="176" spans="17:26" x14ac:dyDescent="0.2">
      <c r="S176" s="40" t="s">
        <v>240</v>
      </c>
      <c r="X176" s="48">
        <v>959</v>
      </c>
      <c r="Z176" s="39"/>
    </row>
    <row r="177" spans="16:26" ht="13.5" thickBot="1" x14ac:dyDescent="0.25">
      <c r="Q177" s="40" t="s">
        <v>241</v>
      </c>
      <c r="U177" s="60">
        <f>SUM(U174:U176)</f>
        <v>959</v>
      </c>
      <c r="V177" s="60"/>
      <c r="W177" s="60"/>
      <c r="X177" s="60">
        <f>SUM(X174:X176)</f>
        <v>959</v>
      </c>
      <c r="Z177" s="39"/>
    </row>
    <row r="178" spans="16:26" ht="13.5" thickTop="1" x14ac:dyDescent="0.2">
      <c r="Q178" s="132"/>
      <c r="R178" s="132"/>
      <c r="S178" s="132"/>
      <c r="T178" s="145"/>
      <c r="U178" s="79"/>
      <c r="V178" s="79"/>
      <c r="W178" s="79"/>
      <c r="X178" s="79"/>
      <c r="Z178" s="39"/>
    </row>
    <row r="179" spans="16:26" ht="15.75" x14ac:dyDescent="0.25">
      <c r="Q179" s="129" t="s">
        <v>258</v>
      </c>
      <c r="R179" s="54"/>
      <c r="S179" s="72" t="s">
        <v>243</v>
      </c>
      <c r="T179" s="145"/>
      <c r="U179" s="79"/>
      <c r="V179" s="79"/>
      <c r="W179" s="79"/>
      <c r="X179" s="79"/>
      <c r="Z179" s="39"/>
    </row>
    <row r="180" spans="16:26" x14ac:dyDescent="0.2">
      <c r="Q180" s="132"/>
      <c r="R180" s="132"/>
      <c r="S180" s="131" t="s">
        <v>259</v>
      </c>
      <c r="T180" s="145"/>
      <c r="U180" s="54">
        <v>540074</v>
      </c>
      <c r="V180" s="54"/>
      <c r="W180" s="54"/>
      <c r="X180" s="54"/>
      <c r="Z180" s="39"/>
    </row>
    <row r="181" spans="16:26" x14ac:dyDescent="0.2">
      <c r="Q181" s="132"/>
      <c r="R181" s="132"/>
      <c r="S181" s="40" t="s">
        <v>260</v>
      </c>
      <c r="T181" s="145"/>
      <c r="U181" s="54"/>
      <c r="V181" s="54"/>
      <c r="W181" s="54"/>
      <c r="X181" s="54">
        <v>540074</v>
      </c>
      <c r="Z181" s="39"/>
    </row>
    <row r="182" spans="16:26" ht="13.5" thickBot="1" x14ac:dyDescent="0.25">
      <c r="Q182" s="132" t="s">
        <v>261</v>
      </c>
      <c r="R182" s="132"/>
      <c r="S182" s="132"/>
      <c r="T182" s="145"/>
      <c r="U182" s="60">
        <f>SUM(U179:U181)</f>
        <v>540074</v>
      </c>
      <c r="V182" s="60"/>
      <c r="W182" s="60"/>
      <c r="X182" s="60">
        <f>SUM(X179:X181)</f>
        <v>540074</v>
      </c>
      <c r="Z182" s="39"/>
    </row>
    <row r="183" spans="16:26" ht="13.5" thickTop="1" x14ac:dyDescent="0.2">
      <c r="Q183" s="132"/>
      <c r="R183" s="132"/>
      <c r="S183" s="132"/>
      <c r="T183" s="145"/>
      <c r="U183" s="79"/>
      <c r="V183" s="79"/>
      <c r="W183" s="79"/>
      <c r="X183" s="79"/>
      <c r="Z183" s="39"/>
    </row>
    <row r="184" spans="16:26" ht="15.75" x14ac:dyDescent="0.25">
      <c r="Q184" s="129" t="s">
        <v>262</v>
      </c>
      <c r="R184" s="54"/>
      <c r="S184" s="72" t="s">
        <v>243</v>
      </c>
      <c r="T184" s="145"/>
      <c r="U184" s="79"/>
      <c r="V184" s="79"/>
      <c r="W184" s="79"/>
      <c r="X184" s="79"/>
      <c r="Z184" s="39"/>
    </row>
    <row r="185" spans="16:26" x14ac:dyDescent="0.2">
      <c r="Q185" s="132"/>
      <c r="R185" s="132"/>
      <c r="S185" s="131" t="s">
        <v>259</v>
      </c>
      <c r="T185" s="145"/>
      <c r="U185" s="50">
        <v>98070</v>
      </c>
      <c r="V185" s="79"/>
      <c r="W185" s="79"/>
      <c r="X185" s="79"/>
      <c r="Z185" s="39"/>
    </row>
    <row r="186" spans="16:26" x14ac:dyDescent="0.2">
      <c r="Q186" s="132"/>
      <c r="R186" s="132"/>
      <c r="S186" s="40" t="s">
        <v>263</v>
      </c>
      <c r="T186" s="145"/>
      <c r="U186" s="79"/>
      <c r="V186" s="79"/>
      <c r="W186" s="79"/>
      <c r="X186" s="50">
        <v>98070</v>
      </c>
      <c r="Z186" s="39"/>
    </row>
    <row r="187" spans="16:26" ht="13.5" thickBot="1" x14ac:dyDescent="0.25">
      <c r="Q187" s="132" t="s">
        <v>264</v>
      </c>
      <c r="R187" s="132"/>
      <c r="S187" s="132"/>
      <c r="T187" s="145"/>
      <c r="U187" s="60">
        <f>SUM(U184:U186)</f>
        <v>98070</v>
      </c>
      <c r="V187" s="60"/>
      <c r="W187" s="60"/>
      <c r="X187" s="60">
        <f>SUM(X184:X186)</f>
        <v>98070</v>
      </c>
      <c r="Z187" s="39"/>
    </row>
    <row r="188" spans="16:26" ht="13.5" thickTop="1" x14ac:dyDescent="0.2">
      <c r="Q188" s="132"/>
      <c r="R188" s="132"/>
      <c r="S188" s="132"/>
      <c r="T188" s="145"/>
      <c r="U188" s="79"/>
      <c r="V188" s="79"/>
      <c r="W188" s="79"/>
      <c r="X188" s="79"/>
      <c r="Z188" s="39"/>
    </row>
    <row r="189" spans="16:26" ht="15.75" x14ac:dyDescent="0.25">
      <c r="Q189" s="129" t="s">
        <v>265</v>
      </c>
      <c r="R189" s="54"/>
      <c r="S189" s="72" t="s">
        <v>243</v>
      </c>
      <c r="T189" s="145"/>
      <c r="U189" s="79"/>
      <c r="V189" s="79"/>
      <c r="W189" s="79"/>
      <c r="X189" s="79"/>
      <c r="Z189" s="39"/>
    </row>
    <row r="190" spans="16:26" x14ac:dyDescent="0.2">
      <c r="Q190" s="132"/>
      <c r="R190" s="132"/>
      <c r="S190" s="27" t="s">
        <v>112</v>
      </c>
      <c r="T190" s="145"/>
      <c r="U190" s="25">
        <v>3827</v>
      </c>
      <c r="V190" s="79"/>
      <c r="W190" s="79"/>
      <c r="X190" s="79"/>
      <c r="Z190" s="39"/>
    </row>
    <row r="191" spans="16:26" x14ac:dyDescent="0.2">
      <c r="Q191" s="132"/>
      <c r="R191" s="132"/>
      <c r="S191" s="27" t="s">
        <v>113</v>
      </c>
      <c r="T191" s="145"/>
      <c r="U191" s="25">
        <v>8194</v>
      </c>
      <c r="V191" s="79"/>
      <c r="W191" s="79"/>
      <c r="X191" s="79"/>
      <c r="Z191" s="39"/>
    </row>
    <row r="192" spans="16:26" x14ac:dyDescent="0.2">
      <c r="P192" s="72"/>
      <c r="Q192" s="132"/>
      <c r="R192" s="132"/>
      <c r="S192" s="40" t="s">
        <v>260</v>
      </c>
      <c r="T192" s="145"/>
      <c r="U192" s="79"/>
      <c r="V192" s="79"/>
      <c r="W192" s="79"/>
      <c r="X192" s="79">
        <f>U191+U190</f>
        <v>12021</v>
      </c>
      <c r="Z192" s="39"/>
    </row>
    <row r="193" spans="16:26" ht="13.5" thickBot="1" x14ac:dyDescent="0.25">
      <c r="P193" s="72"/>
      <c r="Q193" s="132"/>
      <c r="R193" s="132"/>
      <c r="S193" s="132"/>
      <c r="T193" s="145"/>
      <c r="U193" s="60">
        <f>SUM(U190:U192)</f>
        <v>12021</v>
      </c>
      <c r="V193" s="60"/>
      <c r="W193" s="60"/>
      <c r="X193" s="60">
        <f>SUM(X190:X192)</f>
        <v>12021</v>
      </c>
      <c r="Z193" s="39"/>
    </row>
    <row r="194" spans="16:26" ht="13.5" thickTop="1" x14ac:dyDescent="0.2">
      <c r="P194" s="72"/>
      <c r="Q194" s="132"/>
      <c r="R194" s="132"/>
      <c r="S194" s="132"/>
      <c r="T194" s="145"/>
      <c r="U194" s="79"/>
      <c r="V194" s="79"/>
      <c r="W194" s="79"/>
      <c r="X194" s="79"/>
      <c r="Z194" s="39"/>
    </row>
    <row r="195" spans="16:26" ht="15.75" x14ac:dyDescent="0.25">
      <c r="P195" s="72"/>
      <c r="Q195" s="129" t="s">
        <v>268</v>
      </c>
      <c r="R195" s="54"/>
      <c r="S195" s="72" t="s">
        <v>243</v>
      </c>
      <c r="T195" s="145"/>
      <c r="U195" s="79"/>
      <c r="V195" s="79"/>
      <c r="W195" s="79"/>
      <c r="X195" s="79"/>
      <c r="Z195" s="39"/>
    </row>
    <row r="196" spans="16:26" x14ac:dyDescent="0.2">
      <c r="P196" s="72"/>
      <c r="Q196" s="132"/>
      <c r="R196" s="132"/>
      <c r="S196" s="132" t="s">
        <v>266</v>
      </c>
      <c r="T196" s="145"/>
      <c r="U196" s="79">
        <v>77313.239999999991</v>
      </c>
      <c r="V196" s="79"/>
      <c r="W196" s="79"/>
      <c r="X196" s="79"/>
      <c r="Z196" s="39"/>
    </row>
    <row r="197" spans="16:26" x14ac:dyDescent="0.2">
      <c r="Q197" s="132"/>
      <c r="R197" s="132"/>
      <c r="S197" s="40" t="s">
        <v>260</v>
      </c>
      <c r="T197" s="145"/>
      <c r="U197" s="79"/>
      <c r="V197" s="79"/>
      <c r="W197" s="79"/>
      <c r="X197" s="79">
        <v>77313.239999999991</v>
      </c>
      <c r="Z197" s="39"/>
    </row>
    <row r="198" spans="16:26" ht="13.5" thickBot="1" x14ac:dyDescent="0.25">
      <c r="Q198" s="132" t="s">
        <v>267</v>
      </c>
      <c r="R198" s="132"/>
      <c r="S198" s="132"/>
      <c r="T198" s="145"/>
      <c r="U198" s="60">
        <f>SUM(U195:U197)</f>
        <v>77313.239999999991</v>
      </c>
      <c r="V198" s="60"/>
      <c r="W198" s="60"/>
      <c r="X198" s="60">
        <f>SUM(X195:X197)</f>
        <v>77313.239999999991</v>
      </c>
      <c r="Y198" s="100"/>
      <c r="Z198" s="39"/>
    </row>
    <row r="199" spans="16:26" ht="13.5" thickTop="1" x14ac:dyDescent="0.2">
      <c r="Q199" s="132"/>
      <c r="R199" s="132"/>
      <c r="S199" s="132"/>
      <c r="T199" s="145"/>
      <c r="U199" s="79"/>
      <c r="V199" s="79"/>
      <c r="W199" s="79"/>
      <c r="X199" s="79"/>
      <c r="Y199" s="100"/>
      <c r="Z199" s="39"/>
    </row>
    <row r="200" spans="16:26" x14ac:dyDescent="0.2">
      <c r="Q200" s="132"/>
      <c r="R200" s="132"/>
      <c r="S200" s="132"/>
      <c r="T200" s="145"/>
      <c r="U200" s="79"/>
      <c r="V200" s="79"/>
      <c r="W200" s="79"/>
      <c r="X200" s="79"/>
      <c r="Y200" s="110"/>
      <c r="Z200" s="73"/>
    </row>
    <row r="201" spans="16:26" x14ac:dyDescent="0.2">
      <c r="S201" s="72"/>
      <c r="T201" s="72"/>
      <c r="U201" s="72"/>
      <c r="V201" s="72"/>
      <c r="W201" s="72"/>
      <c r="X201" s="72"/>
    </row>
    <row r="202" spans="16:26" x14ac:dyDescent="0.2">
      <c r="X202" s="50"/>
      <c r="Y202" s="73"/>
    </row>
    <row r="203" spans="16:26" x14ac:dyDescent="0.2">
      <c r="Q203" s="72"/>
      <c r="R203" s="72"/>
      <c r="S203" s="72"/>
      <c r="T203" s="72"/>
      <c r="U203" s="50"/>
      <c r="V203" s="72"/>
      <c r="W203" s="72"/>
      <c r="X203" s="50"/>
      <c r="Y203" s="73" t="s">
        <v>269</v>
      </c>
    </row>
    <row r="204" spans="16:26" x14ac:dyDescent="0.2">
      <c r="Q204" s="72"/>
      <c r="R204" s="72"/>
      <c r="S204" s="145" t="s">
        <v>184</v>
      </c>
      <c r="T204" s="72">
        <v>3</v>
      </c>
      <c r="U204" s="72">
        <v>711.98</v>
      </c>
      <c r="V204" s="72"/>
      <c r="W204" s="72"/>
      <c r="X204" s="50"/>
      <c r="Y204" s="73" t="s">
        <v>270</v>
      </c>
    </row>
    <row r="205" spans="16:26" x14ac:dyDescent="0.2">
      <c r="Q205" s="72"/>
      <c r="R205" s="72"/>
      <c r="S205" s="72"/>
      <c r="T205" s="72"/>
      <c r="U205" s="72"/>
      <c r="V205" s="79"/>
      <c r="W205" s="72">
        <v>4</v>
      </c>
      <c r="X205" s="50">
        <v>80319</v>
      </c>
      <c r="Y205" s="73" t="s">
        <v>271</v>
      </c>
      <c r="Z205" s="73"/>
    </row>
    <row r="206" spans="16:26" x14ac:dyDescent="0.2">
      <c r="Q206" s="72"/>
      <c r="R206" s="72"/>
      <c r="S206" s="72" t="s">
        <v>276</v>
      </c>
      <c r="T206" s="72">
        <v>5</v>
      </c>
      <c r="U206" s="50">
        <v>27827.8</v>
      </c>
      <c r="V206" s="72"/>
      <c r="W206" s="72">
        <v>5</v>
      </c>
      <c r="X206" s="50">
        <v>111311.18</v>
      </c>
      <c r="Y206" s="72"/>
      <c r="Z206" s="72"/>
    </row>
    <row r="207" spans="16:26" x14ac:dyDescent="0.2">
      <c r="Q207" s="74"/>
      <c r="R207" s="75"/>
      <c r="S207" s="72" t="s">
        <v>272</v>
      </c>
      <c r="T207" s="72">
        <v>6</v>
      </c>
      <c r="U207" s="50">
        <v>273130</v>
      </c>
      <c r="V207" s="76"/>
      <c r="W207" s="72"/>
      <c r="X207" s="50"/>
      <c r="Y207" s="72" t="s">
        <v>273</v>
      </c>
      <c r="Z207" s="72"/>
    </row>
    <row r="208" spans="16:26" x14ac:dyDescent="0.2">
      <c r="Q208" s="74"/>
      <c r="R208" s="72"/>
      <c r="S208" s="72" t="s">
        <v>273</v>
      </c>
      <c r="T208" s="72">
        <v>6</v>
      </c>
      <c r="U208" s="50">
        <v>266944.13</v>
      </c>
      <c r="V208" s="54"/>
      <c r="W208" s="72"/>
      <c r="X208" s="50"/>
      <c r="Y208" s="72" t="s">
        <v>275</v>
      </c>
      <c r="Z208" s="80"/>
    </row>
    <row r="209" spans="17:26" x14ac:dyDescent="0.2">
      <c r="Q209" s="77"/>
      <c r="R209" s="72"/>
      <c r="S209" s="72" t="s">
        <v>274</v>
      </c>
      <c r="T209" s="72">
        <v>6</v>
      </c>
      <c r="U209" s="50">
        <v>32033.3</v>
      </c>
      <c r="V209" s="79"/>
      <c r="W209" s="72">
        <v>6</v>
      </c>
      <c r="X209" s="50">
        <v>87674.28</v>
      </c>
      <c r="Y209" s="72" t="s">
        <v>278</v>
      </c>
      <c r="Z209" s="73"/>
    </row>
    <row r="210" spans="17:26" x14ac:dyDescent="0.2">
      <c r="Q210" s="72"/>
      <c r="R210" s="72"/>
      <c r="S210" s="72" t="s">
        <v>277</v>
      </c>
      <c r="T210" s="72">
        <v>7</v>
      </c>
      <c r="U210" s="50">
        <v>446478.76</v>
      </c>
      <c r="V210" s="72"/>
      <c r="W210" s="72">
        <v>7</v>
      </c>
      <c r="X210" s="50">
        <v>66736.03</v>
      </c>
    </row>
    <row r="211" spans="17:26" x14ac:dyDescent="0.2">
      <c r="S211" s="40" t="s">
        <v>279</v>
      </c>
      <c r="T211" s="40">
        <v>8</v>
      </c>
      <c r="U211" s="50">
        <v>180559.35</v>
      </c>
      <c r="W211" s="72"/>
      <c r="X211" s="50"/>
      <c r="Y211" s="40" t="s">
        <v>280</v>
      </c>
    </row>
    <row r="212" spans="17:26" x14ac:dyDescent="0.2">
      <c r="S212" s="40" t="s">
        <v>280</v>
      </c>
      <c r="T212" s="40">
        <v>9</v>
      </c>
      <c r="U212" s="50">
        <v>91.74</v>
      </c>
      <c r="W212" s="72">
        <v>9</v>
      </c>
      <c r="X212" s="50">
        <v>2316.25</v>
      </c>
      <c r="Y212" s="40" t="s">
        <v>280</v>
      </c>
    </row>
    <row r="213" spans="17:26" x14ac:dyDescent="0.2">
      <c r="S213" s="40" t="s">
        <v>281</v>
      </c>
      <c r="T213" s="40">
        <v>11</v>
      </c>
      <c r="U213" s="50">
        <v>80000</v>
      </c>
      <c r="W213" s="72">
        <v>9</v>
      </c>
      <c r="X213" s="50">
        <v>15095.89</v>
      </c>
    </row>
    <row r="214" spans="17:26" x14ac:dyDescent="0.2">
      <c r="S214" s="40" t="s">
        <v>282</v>
      </c>
      <c r="T214" s="40">
        <v>12</v>
      </c>
      <c r="U214" s="50">
        <v>250000</v>
      </c>
      <c r="W214" s="72">
        <v>10</v>
      </c>
      <c r="X214" s="50">
        <v>1.31</v>
      </c>
    </row>
    <row r="215" spans="17:26" x14ac:dyDescent="0.2">
      <c r="S215" s="40" t="s">
        <v>283</v>
      </c>
      <c r="T215" s="40">
        <v>14</v>
      </c>
      <c r="U215" s="50">
        <v>9776</v>
      </c>
      <c r="W215" s="72"/>
      <c r="X215" s="50"/>
      <c r="Y215" s="41" t="s">
        <v>285</v>
      </c>
    </row>
    <row r="216" spans="17:26" x14ac:dyDescent="0.2">
      <c r="S216" s="40" t="s">
        <v>284</v>
      </c>
      <c r="T216" s="40">
        <v>15</v>
      </c>
      <c r="U216" s="40">
        <v>959</v>
      </c>
      <c r="W216" s="72">
        <v>17</v>
      </c>
      <c r="X216" s="50">
        <v>98070</v>
      </c>
      <c r="Y216" s="50"/>
    </row>
    <row r="217" spans="17:26" ht="13.5" thickBot="1" x14ac:dyDescent="0.25">
      <c r="T217" s="103"/>
      <c r="U217" s="102">
        <f>SUM(U204:U216)</f>
        <v>1568512.06</v>
      </c>
      <c r="V217" s="103"/>
      <c r="W217" s="103"/>
      <c r="X217" s="102">
        <f>SUM(X204:X216)</f>
        <v>461523.94</v>
      </c>
    </row>
    <row r="218" spans="17:26" ht="13.5" thickTop="1" x14ac:dyDescent="0.2">
      <c r="S218" s="72"/>
      <c r="U218" s="50"/>
      <c r="W218" s="72"/>
      <c r="X218" s="50"/>
      <c r="Y218" s="41" t="s">
        <v>286</v>
      </c>
    </row>
    <row r="219" spans="17:26" x14ac:dyDescent="0.2">
      <c r="S219" s="145" t="s">
        <v>239</v>
      </c>
      <c r="T219" s="40">
        <v>5</v>
      </c>
      <c r="U219" s="50">
        <v>180193.4</v>
      </c>
      <c r="W219" s="72"/>
      <c r="X219" s="50"/>
      <c r="Y219" s="41" t="s">
        <v>287</v>
      </c>
    </row>
    <row r="220" spans="17:26" x14ac:dyDescent="0.2">
      <c r="S220" s="72"/>
      <c r="U220" s="50"/>
      <c r="W220" s="72">
        <v>5</v>
      </c>
      <c r="X220" s="50">
        <v>720775.76</v>
      </c>
      <c r="Y220" s="41" t="s">
        <v>288</v>
      </c>
    </row>
    <row r="221" spans="17:26" x14ac:dyDescent="0.2">
      <c r="U221" s="50"/>
      <c r="W221" s="72">
        <v>13</v>
      </c>
      <c r="X221" s="50">
        <v>93914</v>
      </c>
      <c r="Y221" s="41" t="s">
        <v>289</v>
      </c>
    </row>
    <row r="222" spans="17:26" x14ac:dyDescent="0.2">
      <c r="U222" s="50"/>
      <c r="W222" s="72">
        <v>16</v>
      </c>
      <c r="X222" s="50">
        <v>540074</v>
      </c>
      <c r="Y222" s="41" t="s">
        <v>290</v>
      </c>
    </row>
    <row r="223" spans="17:26" x14ac:dyDescent="0.2">
      <c r="U223" s="50"/>
      <c r="W223" s="72">
        <v>18</v>
      </c>
      <c r="X223" s="50">
        <v>77313.240000000005</v>
      </c>
    </row>
    <row r="224" spans="17:26" ht="13.5" thickBot="1" x14ac:dyDescent="0.25">
      <c r="U224" s="102">
        <f>SUM(U219:U223)</f>
        <v>180193.4</v>
      </c>
      <c r="V224" s="103"/>
      <c r="W224" s="103"/>
      <c r="X224" s="102">
        <f>SUM(X219:X223)</f>
        <v>1432077</v>
      </c>
      <c r="Y224" s="221"/>
    </row>
    <row r="225" spans="23:23" ht="13.5" thickTop="1" x14ac:dyDescent="0.2">
      <c r="W225" s="72"/>
    </row>
    <row r="226" spans="23:23" x14ac:dyDescent="0.2">
      <c r="W226" s="72"/>
    </row>
    <row r="227" spans="23:23" x14ac:dyDescent="0.2">
      <c r="W227" s="72"/>
    </row>
    <row r="228" spans="23:23" x14ac:dyDescent="0.2">
      <c r="W228" s="72"/>
    </row>
    <row r="229" spans="23:23" x14ac:dyDescent="0.2">
      <c r="W229" s="72"/>
    </row>
  </sheetData>
  <mergeCells count="7">
    <mergeCell ref="Q172:S172"/>
    <mergeCell ref="D8:E8"/>
    <mergeCell ref="F8:I8"/>
    <mergeCell ref="S8:T8"/>
    <mergeCell ref="U8:X8"/>
    <mergeCell ref="D9:E9"/>
    <mergeCell ref="S9:T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2"/>
  <sheetViews>
    <sheetView topLeftCell="A457" workbookViewId="0">
      <selection activeCell="A2" sqref="A2:E492"/>
    </sheetView>
  </sheetViews>
  <sheetFormatPr baseColWidth="10" defaultColWidth="11.42578125" defaultRowHeight="15" x14ac:dyDescent="0.25"/>
  <cols>
    <col min="1" max="1" width="10.140625" style="184" customWidth="1"/>
    <col min="2" max="2" width="91.140625" style="184" customWidth="1"/>
    <col min="3" max="3" width="13.42578125" style="184" bestFit="1" customWidth="1"/>
    <col min="4" max="4" width="12.42578125" style="184" bestFit="1" customWidth="1"/>
    <col min="5" max="5" width="13.42578125" style="184" bestFit="1" customWidth="1"/>
    <col min="6" max="6" width="5.5703125" style="184" bestFit="1" customWidth="1"/>
    <col min="7" max="7" width="11.42578125" style="184"/>
    <col min="8" max="8" width="55.85546875" style="184" bestFit="1" customWidth="1"/>
    <col min="9" max="16384" width="11.42578125" style="184"/>
  </cols>
  <sheetData>
    <row r="1" spans="1:8" x14ac:dyDescent="0.25">
      <c r="A1" s="229" t="s">
        <v>509</v>
      </c>
      <c r="B1" s="229" t="s">
        <v>510</v>
      </c>
      <c r="C1" s="230" t="s">
        <v>382</v>
      </c>
      <c r="D1" s="230" t="s">
        <v>383</v>
      </c>
      <c r="E1" s="230" t="s">
        <v>384</v>
      </c>
      <c r="F1" s="230" t="s">
        <v>485</v>
      </c>
      <c r="G1" s="229" t="s">
        <v>393</v>
      </c>
      <c r="H1" s="22"/>
    </row>
    <row r="2" spans="1:8" x14ac:dyDescent="0.25">
      <c r="A2" s="231" t="s">
        <v>790</v>
      </c>
      <c r="B2" s="231"/>
      <c r="C2" s="232"/>
      <c r="D2" s="232"/>
      <c r="E2" s="232"/>
      <c r="F2" s="265" t="s">
        <v>486</v>
      </c>
      <c r="G2" s="231" t="s">
        <v>5</v>
      </c>
      <c r="H2" s="67"/>
    </row>
    <row r="3" spans="1:8" x14ac:dyDescent="0.25">
      <c r="A3" s="231">
        <v>5730090</v>
      </c>
      <c r="B3" s="231" t="s">
        <v>14</v>
      </c>
      <c r="C3" s="232">
        <v>365967.74</v>
      </c>
      <c r="D3" s="232">
        <v>365967.74</v>
      </c>
      <c r="E3" s="232">
        <v>0</v>
      </c>
      <c r="F3" s="265" t="s">
        <v>486</v>
      </c>
      <c r="G3" s="231" t="s">
        <v>5</v>
      </c>
      <c r="H3" s="67"/>
    </row>
    <row r="4" spans="1:8" x14ac:dyDescent="0.25">
      <c r="A4" s="231">
        <v>5730105</v>
      </c>
      <c r="B4" s="231" t="s">
        <v>17</v>
      </c>
      <c r="C4" s="232">
        <v>8559.19</v>
      </c>
      <c r="D4" s="232">
        <v>8559.19</v>
      </c>
      <c r="E4" s="232">
        <v>0</v>
      </c>
      <c r="F4" s="265" t="s">
        <v>486</v>
      </c>
      <c r="G4" s="231" t="s">
        <v>5</v>
      </c>
      <c r="H4" s="67"/>
    </row>
    <row r="5" spans="1:8" x14ac:dyDescent="0.25">
      <c r="A5" s="231">
        <v>5730110</v>
      </c>
      <c r="B5" s="231" t="s">
        <v>18</v>
      </c>
      <c r="C5" s="232">
        <v>629.15</v>
      </c>
      <c r="D5" s="232">
        <v>629.15</v>
      </c>
      <c r="E5" s="232">
        <v>0</v>
      </c>
      <c r="F5" s="265" t="s">
        <v>486</v>
      </c>
      <c r="G5" s="231" t="s">
        <v>5</v>
      </c>
      <c r="H5" s="67"/>
    </row>
    <row r="6" spans="1:8" x14ac:dyDescent="0.25">
      <c r="A6" s="231">
        <v>5730990</v>
      </c>
      <c r="B6" s="231" t="s">
        <v>21</v>
      </c>
      <c r="C6" s="232">
        <v>-262414.15000000002</v>
      </c>
      <c r="D6" s="232">
        <v>298063.28999999998</v>
      </c>
      <c r="E6" s="232">
        <v>-560477.43999999994</v>
      </c>
      <c r="F6" s="265" t="s">
        <v>486</v>
      </c>
      <c r="G6" s="231" t="s">
        <v>5</v>
      </c>
      <c r="H6" s="67"/>
    </row>
    <row r="7" spans="1:8" x14ac:dyDescent="0.25">
      <c r="A7" s="231">
        <v>5739105</v>
      </c>
      <c r="B7" s="231" t="s">
        <v>23</v>
      </c>
      <c r="C7" s="232">
        <v>267560.68</v>
      </c>
      <c r="D7" s="232">
        <v>109853.45</v>
      </c>
      <c r="E7" s="232">
        <v>157707.23000000001</v>
      </c>
      <c r="F7" s="265" t="s">
        <v>486</v>
      </c>
      <c r="G7" s="231" t="s">
        <v>5</v>
      </c>
      <c r="H7" s="67"/>
    </row>
    <row r="8" spans="1:8" x14ac:dyDescent="0.25">
      <c r="A8" s="231"/>
      <c r="B8" s="231"/>
      <c r="C8" s="232">
        <v>380302.61</v>
      </c>
      <c r="D8" s="232">
        <v>783072.82</v>
      </c>
      <c r="E8" s="232">
        <v>-402770.21</v>
      </c>
      <c r="F8" s="265" t="s">
        <v>486</v>
      </c>
      <c r="G8" s="231" t="s">
        <v>5</v>
      </c>
      <c r="H8" s="67"/>
    </row>
    <row r="9" spans="1:8" x14ac:dyDescent="0.25">
      <c r="A9" s="231"/>
      <c r="B9" s="231"/>
      <c r="C9" s="232">
        <v>380302.61</v>
      </c>
      <c r="D9" s="232">
        <v>783072.82</v>
      </c>
      <c r="E9" s="232">
        <v>-402770.21</v>
      </c>
      <c r="F9" s="265" t="s">
        <v>486</v>
      </c>
      <c r="G9" s="231" t="s">
        <v>5</v>
      </c>
      <c r="H9" s="67"/>
    </row>
    <row r="10" spans="1:8" x14ac:dyDescent="0.25">
      <c r="A10" s="231" t="s">
        <v>791</v>
      </c>
      <c r="B10" s="231"/>
      <c r="C10" s="232"/>
      <c r="D10" s="232"/>
      <c r="E10" s="232"/>
      <c r="F10" s="265" t="s">
        <v>486</v>
      </c>
      <c r="G10" s="231" t="s">
        <v>5</v>
      </c>
      <c r="H10" s="67"/>
    </row>
    <row r="11" spans="1:8" x14ac:dyDescent="0.25">
      <c r="A11" s="231" t="s">
        <v>791</v>
      </c>
      <c r="B11" s="231"/>
      <c r="C11" s="232"/>
      <c r="D11" s="232"/>
      <c r="E11" s="232"/>
      <c r="F11" s="265" t="s">
        <v>486</v>
      </c>
      <c r="G11" s="231" t="s">
        <v>5</v>
      </c>
      <c r="H11" s="67"/>
    </row>
    <row r="12" spans="1:8" x14ac:dyDescent="0.25">
      <c r="A12" s="231">
        <v>5730099</v>
      </c>
      <c r="B12" s="231" t="s">
        <v>15</v>
      </c>
      <c r="C12" s="232">
        <v>-1821.33</v>
      </c>
      <c r="D12" s="232">
        <v>-2112.38</v>
      </c>
      <c r="E12" s="232">
        <v>291.05</v>
      </c>
      <c r="F12" s="265" t="s">
        <v>486</v>
      </c>
      <c r="G12" s="231" t="s">
        <v>5</v>
      </c>
      <c r="H12" s="67"/>
    </row>
    <row r="13" spans="1:8" x14ac:dyDescent="0.25">
      <c r="A13" s="231">
        <v>5730100</v>
      </c>
      <c r="B13" s="231" t="s">
        <v>16</v>
      </c>
      <c r="C13" s="232">
        <v>49144.35</v>
      </c>
      <c r="D13" s="232">
        <v>49144.35</v>
      </c>
      <c r="E13" s="232">
        <v>0</v>
      </c>
      <c r="F13" s="265" t="s">
        <v>486</v>
      </c>
      <c r="G13" s="231" t="s">
        <v>5</v>
      </c>
      <c r="H13" s="67"/>
    </row>
    <row r="14" spans="1:8" x14ac:dyDescent="0.25">
      <c r="A14" s="231">
        <v>5739100</v>
      </c>
      <c r="B14" s="231" t="s">
        <v>22</v>
      </c>
      <c r="C14" s="232">
        <v>92320.06</v>
      </c>
      <c r="D14" s="232">
        <v>144367.10999999999</v>
      </c>
      <c r="E14" s="232">
        <v>-52047.05</v>
      </c>
      <c r="F14" s="265" t="s">
        <v>486</v>
      </c>
      <c r="G14" s="231" t="s">
        <v>5</v>
      </c>
      <c r="H14" s="67"/>
    </row>
    <row r="15" spans="1:8" x14ac:dyDescent="0.25">
      <c r="A15" s="231"/>
      <c r="B15" s="231"/>
      <c r="C15" s="232">
        <v>139643.07999999999</v>
      </c>
      <c r="D15" s="232">
        <v>191399.08</v>
      </c>
      <c r="E15" s="232">
        <v>-51756</v>
      </c>
      <c r="F15" s="265" t="s">
        <v>486</v>
      </c>
      <c r="G15" s="231" t="s">
        <v>5</v>
      </c>
      <c r="H15" s="67"/>
    </row>
    <row r="16" spans="1:8" x14ac:dyDescent="0.25">
      <c r="A16" s="231"/>
      <c r="B16" s="231"/>
      <c r="C16" s="232">
        <v>139643.07999999999</v>
      </c>
      <c r="D16" s="232">
        <v>191399.08</v>
      </c>
      <c r="E16" s="232">
        <v>-51756</v>
      </c>
      <c r="F16" s="265" t="s">
        <v>486</v>
      </c>
      <c r="G16" s="231" t="s">
        <v>5</v>
      </c>
      <c r="H16" s="67"/>
    </row>
    <row r="17" spans="1:8" x14ac:dyDescent="0.25">
      <c r="A17" s="231" t="s">
        <v>607</v>
      </c>
      <c r="B17" s="231"/>
      <c r="C17" s="232"/>
      <c r="D17" s="232"/>
      <c r="E17" s="232"/>
      <c r="F17" s="265" t="s">
        <v>486</v>
      </c>
      <c r="G17" s="231" t="s">
        <v>5</v>
      </c>
      <c r="H17" s="67"/>
    </row>
    <row r="18" spans="1:8" x14ac:dyDescent="0.25">
      <c r="A18" s="231">
        <v>5714001</v>
      </c>
      <c r="B18" s="231" t="s">
        <v>608</v>
      </c>
      <c r="C18" s="232">
        <v>2001.45</v>
      </c>
      <c r="D18" s="232">
        <v>2001.45</v>
      </c>
      <c r="E18" s="232">
        <v>0</v>
      </c>
      <c r="F18" s="265" t="s">
        <v>486</v>
      </c>
      <c r="G18" s="231" t="s">
        <v>5</v>
      </c>
      <c r="H18" s="67"/>
    </row>
    <row r="19" spans="1:8" x14ac:dyDescent="0.25">
      <c r="A19" s="231">
        <v>5714011</v>
      </c>
      <c r="B19" s="231" t="s">
        <v>10</v>
      </c>
      <c r="C19" s="232">
        <v>3718.45</v>
      </c>
      <c r="D19" s="232">
        <v>4541.46</v>
      </c>
      <c r="E19" s="232">
        <v>-823.01</v>
      </c>
      <c r="F19" s="265" t="s">
        <v>486</v>
      </c>
      <c r="G19" s="231" t="s">
        <v>5</v>
      </c>
      <c r="H19" s="67"/>
    </row>
    <row r="20" spans="1:8" x14ac:dyDescent="0.25">
      <c r="A20" s="231">
        <v>5714099</v>
      </c>
      <c r="B20" s="231" t="s">
        <v>11</v>
      </c>
      <c r="C20" s="232">
        <v>-31.86</v>
      </c>
      <c r="D20" s="232">
        <v>-35.33</v>
      </c>
      <c r="E20" s="232">
        <v>3.47</v>
      </c>
      <c r="F20" s="265" t="s">
        <v>486</v>
      </c>
      <c r="G20" s="231" t="s">
        <v>5</v>
      </c>
      <c r="H20" s="67"/>
    </row>
    <row r="21" spans="1:8" x14ac:dyDescent="0.25">
      <c r="A21" s="231"/>
      <c r="B21" s="231"/>
      <c r="C21" s="232">
        <v>5688.04</v>
      </c>
      <c r="D21" s="232">
        <v>6507.58</v>
      </c>
      <c r="E21" s="232">
        <v>-819.54</v>
      </c>
      <c r="F21" s="265" t="s">
        <v>486</v>
      </c>
      <c r="G21" s="231" t="s">
        <v>5</v>
      </c>
      <c r="H21" s="67"/>
    </row>
    <row r="22" spans="1:8" x14ac:dyDescent="0.25">
      <c r="A22" s="231"/>
      <c r="B22" s="231"/>
      <c r="C22" s="232">
        <v>525633.73</v>
      </c>
      <c r="D22" s="232">
        <v>980979.48</v>
      </c>
      <c r="E22" s="232">
        <v>-455345.75</v>
      </c>
      <c r="F22" s="265" t="s">
        <v>486</v>
      </c>
      <c r="G22" s="231" t="s">
        <v>5</v>
      </c>
      <c r="H22" s="67"/>
    </row>
    <row r="23" spans="1:8" x14ac:dyDescent="0.25">
      <c r="A23" s="231" t="s">
        <v>609</v>
      </c>
      <c r="B23" s="231"/>
      <c r="C23" s="232"/>
      <c r="D23" s="232"/>
      <c r="E23" s="232"/>
      <c r="F23" s="265" t="s">
        <v>486</v>
      </c>
      <c r="G23" s="231" t="s">
        <v>5</v>
      </c>
      <c r="H23" s="67"/>
    </row>
    <row r="24" spans="1:8" x14ac:dyDescent="0.25">
      <c r="A24" s="231" t="s">
        <v>610</v>
      </c>
      <c r="B24" s="231"/>
      <c r="C24" s="232"/>
      <c r="D24" s="232"/>
      <c r="E24" s="232"/>
      <c r="F24" s="265" t="s">
        <v>486</v>
      </c>
      <c r="G24" s="231" t="s">
        <v>5</v>
      </c>
      <c r="H24" s="67"/>
    </row>
    <row r="25" spans="1:8" x14ac:dyDescent="0.25">
      <c r="A25" s="231">
        <v>4300000</v>
      </c>
      <c r="B25" s="231" t="s">
        <v>25</v>
      </c>
      <c r="C25" s="232">
        <v>1467785.59</v>
      </c>
      <c r="D25" s="232">
        <v>1769549.24</v>
      </c>
      <c r="E25" s="232">
        <v>-301763.65000000002</v>
      </c>
      <c r="F25" s="265" t="s">
        <v>486</v>
      </c>
      <c r="G25" s="231" t="s">
        <v>5</v>
      </c>
      <c r="H25" s="67"/>
    </row>
    <row r="26" spans="1:8" x14ac:dyDescent="0.25">
      <c r="A26" s="231"/>
      <c r="B26" s="231"/>
      <c r="C26" s="232">
        <v>1467785.59</v>
      </c>
      <c r="D26" s="232">
        <v>1769549.24</v>
      </c>
      <c r="E26" s="232">
        <v>-301763.65000000002</v>
      </c>
      <c r="F26" s="265" t="s">
        <v>486</v>
      </c>
      <c r="G26" s="231" t="s">
        <v>5</v>
      </c>
      <c r="H26" s="67"/>
    </row>
    <row r="27" spans="1:8" x14ac:dyDescent="0.25">
      <c r="A27" s="231" t="s">
        <v>26</v>
      </c>
      <c r="B27" s="231"/>
      <c r="C27" s="232"/>
      <c r="D27" s="232"/>
      <c r="E27" s="232"/>
      <c r="F27" s="265" t="s">
        <v>486</v>
      </c>
      <c r="G27" s="231" t="s">
        <v>5</v>
      </c>
      <c r="H27" s="67"/>
    </row>
    <row r="28" spans="1:8" x14ac:dyDescent="0.25">
      <c r="A28" s="231">
        <v>4304000</v>
      </c>
      <c r="B28" s="231" t="s">
        <v>26</v>
      </c>
      <c r="C28" s="232">
        <v>1435721.06</v>
      </c>
      <c r="D28" s="232">
        <v>762743.95</v>
      </c>
      <c r="E28" s="232">
        <v>672977.11</v>
      </c>
      <c r="F28" s="265" t="s">
        <v>486</v>
      </c>
      <c r="G28" s="231" t="s">
        <v>5</v>
      </c>
      <c r="H28" s="67"/>
    </row>
    <row r="29" spans="1:8" x14ac:dyDescent="0.25">
      <c r="A29" s="231">
        <v>4304099</v>
      </c>
      <c r="B29" s="231" t="s">
        <v>792</v>
      </c>
      <c r="C29" s="232">
        <v>8.4700000000000006</v>
      </c>
      <c r="D29" s="232">
        <v>8.4700000000000006</v>
      </c>
      <c r="E29" s="232">
        <v>0</v>
      </c>
      <c r="F29" s="265" t="s">
        <v>486</v>
      </c>
      <c r="G29" s="231" t="s">
        <v>5</v>
      </c>
      <c r="H29" s="67"/>
    </row>
    <row r="30" spans="1:8" x14ac:dyDescent="0.25">
      <c r="A30" s="231"/>
      <c r="B30" s="231"/>
      <c r="C30" s="232">
        <v>1435729.53</v>
      </c>
      <c r="D30" s="232">
        <v>762752.42</v>
      </c>
      <c r="E30" s="232">
        <v>672977.11</v>
      </c>
      <c r="F30" s="265" t="s">
        <v>486</v>
      </c>
      <c r="G30" s="231" t="s">
        <v>5</v>
      </c>
      <c r="H30" s="67"/>
    </row>
    <row r="31" spans="1:8" x14ac:dyDescent="0.25">
      <c r="A31" s="231" t="s">
        <v>611</v>
      </c>
      <c r="B31" s="231"/>
      <c r="C31" s="232"/>
      <c r="D31" s="232"/>
      <c r="E31" s="232"/>
      <c r="F31" s="265" t="s">
        <v>486</v>
      </c>
      <c r="G31" s="231" t="s">
        <v>5</v>
      </c>
      <c r="H31" s="67"/>
    </row>
    <row r="32" spans="1:8" x14ac:dyDescent="0.25">
      <c r="A32" s="231">
        <v>4330001</v>
      </c>
      <c r="B32" s="231" t="s">
        <v>27</v>
      </c>
      <c r="C32" s="232">
        <v>405165.69</v>
      </c>
      <c r="D32" s="232">
        <v>202785.69</v>
      </c>
      <c r="E32" s="232">
        <v>202380</v>
      </c>
      <c r="F32" s="265" t="s">
        <v>486</v>
      </c>
      <c r="G32" s="231" t="s">
        <v>5</v>
      </c>
      <c r="H32" s="67"/>
    </row>
    <row r="33" spans="1:8" x14ac:dyDescent="0.25">
      <c r="A33" s="231"/>
      <c r="B33" s="231"/>
      <c r="C33" s="232">
        <v>405165.69</v>
      </c>
      <c r="D33" s="232">
        <v>202785.69</v>
      </c>
      <c r="E33" s="232">
        <v>202380</v>
      </c>
      <c r="F33" s="265" t="s">
        <v>486</v>
      </c>
      <c r="G33" s="231" t="s">
        <v>5</v>
      </c>
      <c r="H33" s="67"/>
    </row>
    <row r="34" spans="1:8" x14ac:dyDescent="0.25">
      <c r="A34" s="231" t="s">
        <v>612</v>
      </c>
      <c r="B34" s="231"/>
      <c r="C34" s="232"/>
      <c r="D34" s="232"/>
      <c r="E34" s="232"/>
      <c r="F34" s="265" t="s">
        <v>486</v>
      </c>
      <c r="G34" s="231" t="s">
        <v>5</v>
      </c>
      <c r="H34" s="67"/>
    </row>
    <row r="35" spans="1:8" x14ac:dyDescent="0.25">
      <c r="A35" s="231">
        <v>4330002</v>
      </c>
      <c r="B35" s="231" t="s">
        <v>28</v>
      </c>
      <c r="C35" s="232">
        <v>855607.54</v>
      </c>
      <c r="D35" s="232">
        <v>417494.3</v>
      </c>
      <c r="E35" s="232">
        <v>438113.24</v>
      </c>
      <c r="F35" s="265" t="s">
        <v>486</v>
      </c>
      <c r="G35" s="231" t="s">
        <v>5</v>
      </c>
      <c r="H35" s="67"/>
    </row>
    <row r="36" spans="1:8" x14ac:dyDescent="0.25">
      <c r="A36" s="231"/>
      <c r="B36" s="231"/>
      <c r="C36" s="232">
        <v>855607.54</v>
      </c>
      <c r="D36" s="232">
        <v>417494.3</v>
      </c>
      <c r="E36" s="232">
        <v>438113.24</v>
      </c>
      <c r="F36" s="265" t="s">
        <v>486</v>
      </c>
      <c r="G36" s="231" t="s">
        <v>5</v>
      </c>
      <c r="H36" s="67"/>
    </row>
    <row r="37" spans="1:8" x14ac:dyDescent="0.25">
      <c r="A37" s="231">
        <v>4900000</v>
      </c>
      <c r="B37" s="231" t="s">
        <v>613</v>
      </c>
      <c r="C37" s="232">
        <v>-131080.19</v>
      </c>
      <c r="D37" s="232">
        <v>-92461.01</v>
      </c>
      <c r="E37" s="232">
        <v>-38619.18</v>
      </c>
      <c r="F37" s="265" t="s">
        <v>486</v>
      </c>
      <c r="G37" s="231" t="s">
        <v>5</v>
      </c>
      <c r="H37" s="67"/>
    </row>
    <row r="38" spans="1:8" x14ac:dyDescent="0.25">
      <c r="A38" s="231"/>
      <c r="B38" s="231"/>
      <c r="C38" s="232">
        <v>-131080.19</v>
      </c>
      <c r="D38" s="232">
        <v>-92461.01</v>
      </c>
      <c r="E38" s="232">
        <v>-38619.18</v>
      </c>
      <c r="F38" s="265" t="s">
        <v>486</v>
      </c>
      <c r="G38" s="231" t="s">
        <v>5</v>
      </c>
      <c r="H38" s="67"/>
    </row>
    <row r="39" spans="1:8" x14ac:dyDescent="0.25">
      <c r="A39" s="231"/>
      <c r="B39" s="231"/>
      <c r="C39" s="232">
        <v>4033208.16</v>
      </c>
      <c r="D39" s="232">
        <v>3060120.64</v>
      </c>
      <c r="E39" s="232">
        <v>973087.52</v>
      </c>
      <c r="F39" s="265" t="s">
        <v>486</v>
      </c>
      <c r="G39" s="231" t="s">
        <v>5</v>
      </c>
      <c r="H39" s="67"/>
    </row>
    <row r="40" spans="1:8" x14ac:dyDescent="0.25">
      <c r="A40" s="231" t="s">
        <v>614</v>
      </c>
      <c r="B40" s="231"/>
      <c r="C40" s="232"/>
      <c r="D40" s="232"/>
      <c r="E40" s="232"/>
      <c r="F40" s="265" t="s">
        <v>486</v>
      </c>
      <c r="G40" s="231" t="s">
        <v>5</v>
      </c>
      <c r="H40" s="67"/>
    </row>
    <row r="41" spans="1:8" x14ac:dyDescent="0.25">
      <c r="A41" s="231" t="s">
        <v>794</v>
      </c>
      <c r="B41" s="231"/>
      <c r="C41" s="232"/>
      <c r="D41" s="232"/>
      <c r="E41" s="232"/>
      <c r="F41" s="265" t="s">
        <v>486</v>
      </c>
      <c r="G41" s="231" t="s">
        <v>5</v>
      </c>
      <c r="H41" s="67"/>
    </row>
    <row r="42" spans="1:8" x14ac:dyDescent="0.25">
      <c r="A42" s="231">
        <v>5430000</v>
      </c>
      <c r="B42" s="231" t="s">
        <v>795</v>
      </c>
      <c r="C42" s="232">
        <v>272413.53000000003</v>
      </c>
      <c r="D42" s="232">
        <v>154815.38</v>
      </c>
      <c r="E42" s="232">
        <v>117598.15</v>
      </c>
      <c r="F42" s="265" t="s">
        <v>486</v>
      </c>
      <c r="G42" s="231" t="s">
        <v>5</v>
      </c>
      <c r="H42" s="67"/>
    </row>
    <row r="43" spans="1:8" x14ac:dyDescent="0.25">
      <c r="A43" s="231"/>
      <c r="B43" s="231"/>
      <c r="C43" s="232">
        <v>272413.53000000003</v>
      </c>
      <c r="D43" s="232">
        <v>154815.38</v>
      </c>
      <c r="E43" s="232">
        <v>117598.15</v>
      </c>
      <c r="F43" s="265" t="s">
        <v>486</v>
      </c>
      <c r="G43" s="231" t="s">
        <v>5</v>
      </c>
      <c r="H43" s="67"/>
    </row>
    <row r="44" spans="1:8" x14ac:dyDescent="0.25">
      <c r="A44" s="231" t="s">
        <v>615</v>
      </c>
      <c r="B44" s="231"/>
      <c r="C44" s="232"/>
      <c r="D44" s="232"/>
      <c r="E44" s="232"/>
      <c r="F44" s="265" t="s">
        <v>486</v>
      </c>
      <c r="G44" s="231" t="s">
        <v>5</v>
      </c>
      <c r="H44" s="67"/>
    </row>
    <row r="45" spans="1:8" x14ac:dyDescent="0.25">
      <c r="A45" s="231">
        <v>4700000</v>
      </c>
      <c r="B45" s="231" t="s">
        <v>38</v>
      </c>
      <c r="C45" s="232">
        <v>537771.5</v>
      </c>
      <c r="D45" s="232">
        <v>692274.08</v>
      </c>
      <c r="E45" s="232">
        <v>-154502.57999999999</v>
      </c>
      <c r="F45" s="265" t="s">
        <v>486</v>
      </c>
      <c r="G45" s="231" t="s">
        <v>5</v>
      </c>
      <c r="H45" s="67"/>
    </row>
    <row r="46" spans="1:8" x14ac:dyDescent="0.25">
      <c r="A46" s="231">
        <v>4709030</v>
      </c>
      <c r="B46" s="231" t="s">
        <v>848</v>
      </c>
      <c r="C46" s="232">
        <v>-136.28</v>
      </c>
      <c r="D46" s="232">
        <v>-136.28</v>
      </c>
      <c r="E46" s="232">
        <v>0</v>
      </c>
      <c r="F46" s="265" t="s">
        <v>486</v>
      </c>
      <c r="G46" s="231" t="s">
        <v>5</v>
      </c>
      <c r="H46" s="67"/>
    </row>
    <row r="47" spans="1:8" x14ac:dyDescent="0.25">
      <c r="A47" s="231">
        <v>4709031</v>
      </c>
      <c r="B47" s="231" t="s">
        <v>39</v>
      </c>
      <c r="C47" s="232">
        <v>-20.28</v>
      </c>
      <c r="D47" s="232">
        <v>-20.28</v>
      </c>
      <c r="E47" s="232">
        <v>0</v>
      </c>
      <c r="F47" s="265" t="s">
        <v>486</v>
      </c>
      <c r="G47" s="231" t="s">
        <v>5</v>
      </c>
      <c r="H47" s="67"/>
    </row>
    <row r="48" spans="1:8" x14ac:dyDescent="0.25">
      <c r="A48" s="231">
        <v>4709032</v>
      </c>
      <c r="B48" s="231" t="s">
        <v>40</v>
      </c>
      <c r="C48" s="232">
        <v>88.94</v>
      </c>
      <c r="D48" s="232">
        <v>87.24</v>
      </c>
      <c r="E48" s="232">
        <v>1.7</v>
      </c>
      <c r="F48" s="265" t="s">
        <v>486</v>
      </c>
      <c r="G48" s="231" t="s">
        <v>5</v>
      </c>
      <c r="H48" s="67"/>
    </row>
    <row r="49" spans="1:8" x14ac:dyDescent="0.25">
      <c r="A49" s="231">
        <v>4720000</v>
      </c>
      <c r="B49" s="231" t="s">
        <v>41</v>
      </c>
      <c r="C49" s="232">
        <v>119.25</v>
      </c>
      <c r="D49" s="232">
        <v>56.62</v>
      </c>
      <c r="E49" s="232">
        <v>62.63</v>
      </c>
      <c r="F49" s="265" t="s">
        <v>486</v>
      </c>
      <c r="G49" s="231" t="s">
        <v>5</v>
      </c>
      <c r="H49" s="67"/>
    </row>
    <row r="50" spans="1:8" x14ac:dyDescent="0.25">
      <c r="A50" s="231">
        <v>4731023</v>
      </c>
      <c r="B50" s="231" t="s">
        <v>43</v>
      </c>
      <c r="C50" s="232">
        <v>157274.46</v>
      </c>
      <c r="D50" s="232">
        <v>157274.46</v>
      </c>
      <c r="E50" s="232">
        <v>0</v>
      </c>
      <c r="F50" s="265" t="s">
        <v>486</v>
      </c>
      <c r="G50" s="231" t="s">
        <v>5</v>
      </c>
      <c r="H50" s="67"/>
    </row>
    <row r="51" spans="1:8" x14ac:dyDescent="0.25">
      <c r="A51" s="231"/>
      <c r="B51" s="231"/>
      <c r="C51" s="232">
        <v>695097.59</v>
      </c>
      <c r="D51" s="232">
        <v>849535.84</v>
      </c>
      <c r="E51" s="232">
        <v>-154438.25</v>
      </c>
      <c r="F51" s="265" t="s">
        <v>486</v>
      </c>
      <c r="G51" s="231" t="s">
        <v>5</v>
      </c>
      <c r="H51" s="67"/>
    </row>
    <row r="52" spans="1:8" x14ac:dyDescent="0.25">
      <c r="A52" s="231" t="s">
        <v>616</v>
      </c>
      <c r="B52" s="231"/>
      <c r="C52" s="232"/>
      <c r="D52" s="232"/>
      <c r="E52" s="232"/>
      <c r="F52" s="265" t="s">
        <v>486</v>
      </c>
      <c r="G52" s="231" t="s">
        <v>5</v>
      </c>
      <c r="H52" s="67"/>
    </row>
    <row r="53" spans="1:8" x14ac:dyDescent="0.25">
      <c r="A53" s="231">
        <v>4070000</v>
      </c>
      <c r="B53" s="231" t="s">
        <v>31</v>
      </c>
      <c r="C53" s="232">
        <v>197862.9</v>
      </c>
      <c r="D53" s="232">
        <v>260360.81</v>
      </c>
      <c r="E53" s="232">
        <v>-62497.91</v>
      </c>
      <c r="F53" s="265" t="s">
        <v>486</v>
      </c>
      <c r="G53" s="231" t="s">
        <v>5</v>
      </c>
      <c r="H53" s="67"/>
    </row>
    <row r="54" spans="1:8" x14ac:dyDescent="0.25">
      <c r="A54" s="231">
        <v>4070001</v>
      </c>
      <c r="B54" s="231" t="s">
        <v>32</v>
      </c>
      <c r="C54" s="232">
        <v>389.46</v>
      </c>
      <c r="D54" s="232">
        <v>389.46</v>
      </c>
      <c r="E54" s="232">
        <v>0</v>
      </c>
      <c r="F54" s="265" t="s">
        <v>486</v>
      </c>
      <c r="G54" s="231" t="s">
        <v>5</v>
      </c>
      <c r="H54" s="67"/>
    </row>
    <row r="55" spans="1:8" x14ac:dyDescent="0.25">
      <c r="A55" s="231">
        <v>4170004</v>
      </c>
      <c r="B55" s="231" t="s">
        <v>34</v>
      </c>
      <c r="C55" s="232">
        <v>59009.93</v>
      </c>
      <c r="D55" s="232">
        <v>49270.46</v>
      </c>
      <c r="E55" s="232">
        <v>9739.4699999999993</v>
      </c>
      <c r="F55" s="265" t="s">
        <v>486</v>
      </c>
      <c r="G55" s="231" t="s">
        <v>5</v>
      </c>
      <c r="H55" s="67"/>
    </row>
    <row r="56" spans="1:8" x14ac:dyDescent="0.25">
      <c r="A56" s="231">
        <v>4800000</v>
      </c>
      <c r="B56" s="231" t="s">
        <v>44</v>
      </c>
      <c r="C56" s="232">
        <v>40022.019999999997</v>
      </c>
      <c r="D56" s="232">
        <v>-13170.24</v>
      </c>
      <c r="E56" s="232">
        <v>53192.26</v>
      </c>
      <c r="F56" s="265" t="s">
        <v>486</v>
      </c>
      <c r="G56" s="231" t="s">
        <v>5</v>
      </c>
      <c r="H56" s="67"/>
    </row>
    <row r="57" spans="1:8" x14ac:dyDescent="0.25">
      <c r="A57" s="231"/>
      <c r="B57" s="231"/>
      <c r="C57" s="232">
        <v>297284.31</v>
      </c>
      <c r="D57" s="232">
        <v>296850.49</v>
      </c>
      <c r="E57" s="232">
        <v>433.82</v>
      </c>
      <c r="F57" s="265" t="s">
        <v>486</v>
      </c>
      <c r="G57" s="231" t="s">
        <v>5</v>
      </c>
      <c r="H57" s="67"/>
    </row>
    <row r="58" spans="1:8" x14ac:dyDescent="0.25">
      <c r="A58" s="231" t="s">
        <v>798</v>
      </c>
      <c r="B58" s="231"/>
      <c r="C58" s="232"/>
      <c r="D58" s="232"/>
      <c r="E58" s="232"/>
      <c r="F58" s="265" t="s">
        <v>486</v>
      </c>
      <c r="G58" s="231" t="s">
        <v>5</v>
      </c>
      <c r="H58" s="67"/>
    </row>
    <row r="59" spans="1:8" x14ac:dyDescent="0.25">
      <c r="A59" s="231">
        <v>4600014</v>
      </c>
      <c r="B59" s="231" t="s">
        <v>35</v>
      </c>
      <c r="C59" s="232">
        <v>0.42</v>
      </c>
      <c r="D59" s="232">
        <v>0.42</v>
      </c>
      <c r="E59" s="232">
        <v>0</v>
      </c>
      <c r="F59" s="265" t="s">
        <v>486</v>
      </c>
      <c r="G59" s="231" t="s">
        <v>5</v>
      </c>
      <c r="H59" s="67"/>
    </row>
    <row r="60" spans="1:8" x14ac:dyDescent="0.25">
      <c r="A60" s="231"/>
      <c r="B60" s="231"/>
      <c r="C60" s="232">
        <v>0.42</v>
      </c>
      <c r="D60" s="232">
        <v>0.42</v>
      </c>
      <c r="E60" s="232">
        <v>0</v>
      </c>
      <c r="F60" s="265" t="s">
        <v>486</v>
      </c>
      <c r="G60" s="231" t="s">
        <v>5</v>
      </c>
      <c r="H60" s="67"/>
    </row>
    <row r="61" spans="1:8" x14ac:dyDescent="0.25">
      <c r="A61" s="231" t="s">
        <v>154</v>
      </c>
      <c r="B61" s="231"/>
      <c r="C61" s="232"/>
      <c r="D61" s="232"/>
      <c r="E61" s="232"/>
      <c r="F61" s="265" t="s">
        <v>486</v>
      </c>
      <c r="G61" s="231" t="s">
        <v>5</v>
      </c>
      <c r="H61" s="67"/>
    </row>
    <row r="62" spans="1:8" x14ac:dyDescent="0.25">
      <c r="A62" s="231">
        <v>4731000</v>
      </c>
      <c r="B62" s="231" t="s">
        <v>42</v>
      </c>
      <c r="C62" s="232">
        <v>87.37</v>
      </c>
      <c r="D62" s="232">
        <v>124.71</v>
      </c>
      <c r="E62" s="232">
        <v>-37.340000000000003</v>
      </c>
      <c r="F62" s="265" t="s">
        <v>486</v>
      </c>
      <c r="G62" s="231" t="s">
        <v>5</v>
      </c>
      <c r="H62" s="67"/>
    </row>
    <row r="63" spans="1:8" x14ac:dyDescent="0.25">
      <c r="A63" s="231"/>
      <c r="B63" s="231"/>
      <c r="C63" s="232">
        <v>87.37</v>
      </c>
      <c r="D63" s="232">
        <v>124.71</v>
      </c>
      <c r="E63" s="232">
        <v>-37.340000000000003</v>
      </c>
      <c r="F63" s="265" t="s">
        <v>486</v>
      </c>
      <c r="G63" s="231" t="s">
        <v>5</v>
      </c>
      <c r="H63" s="67"/>
    </row>
    <row r="64" spans="1:8" x14ac:dyDescent="0.25">
      <c r="A64" s="231"/>
      <c r="B64" s="231"/>
      <c r="C64" s="232">
        <v>1264883.22</v>
      </c>
      <c r="D64" s="232">
        <v>1301326.8400000001</v>
      </c>
      <c r="E64" s="232">
        <v>-36443.620000000003</v>
      </c>
      <c r="F64" s="265" t="s">
        <v>486</v>
      </c>
      <c r="G64" s="231" t="s">
        <v>5</v>
      </c>
      <c r="H64" s="67"/>
    </row>
    <row r="65" spans="1:8" x14ac:dyDescent="0.25">
      <c r="A65" s="231" t="s">
        <v>617</v>
      </c>
      <c r="B65" s="231"/>
      <c r="C65" s="232"/>
      <c r="D65" s="232"/>
      <c r="E65" s="232"/>
      <c r="F65" s="265" t="s">
        <v>486</v>
      </c>
      <c r="G65" s="231" t="s">
        <v>5</v>
      </c>
      <c r="H65" s="67"/>
    </row>
    <row r="66" spans="1:8" x14ac:dyDescent="0.25">
      <c r="A66" s="231">
        <v>3100000</v>
      </c>
      <c r="B66" s="231" t="s">
        <v>48</v>
      </c>
      <c r="C66" s="232">
        <v>161284.9</v>
      </c>
      <c r="D66" s="232">
        <v>161284.9</v>
      </c>
      <c r="E66" s="232">
        <v>0</v>
      </c>
      <c r="F66" s="265" t="s">
        <v>486</v>
      </c>
      <c r="G66" s="231" t="s">
        <v>5</v>
      </c>
      <c r="H66" s="67"/>
    </row>
    <row r="67" spans="1:8" x14ac:dyDescent="0.25">
      <c r="A67" s="231">
        <v>3270000</v>
      </c>
      <c r="B67" s="231" t="s">
        <v>49</v>
      </c>
      <c r="C67" s="232">
        <v>40455.9</v>
      </c>
      <c r="D67" s="232">
        <v>37681.199999999997</v>
      </c>
      <c r="E67" s="232">
        <v>2774.7</v>
      </c>
      <c r="F67" s="265" t="s">
        <v>486</v>
      </c>
      <c r="G67" s="231" t="s">
        <v>5</v>
      </c>
      <c r="H67" s="67"/>
    </row>
    <row r="68" spans="1:8" x14ac:dyDescent="0.25">
      <c r="A68" s="231">
        <v>3500000</v>
      </c>
      <c r="B68" s="231" t="s">
        <v>50</v>
      </c>
      <c r="C68" s="232">
        <v>508430.64</v>
      </c>
      <c r="D68" s="232">
        <v>567600.18999999994</v>
      </c>
      <c r="E68" s="232">
        <v>-59169.55</v>
      </c>
      <c r="F68" s="265" t="s">
        <v>486</v>
      </c>
      <c r="G68" s="231" t="s">
        <v>5</v>
      </c>
      <c r="H68" s="67"/>
    </row>
    <row r="69" spans="1:8" x14ac:dyDescent="0.25">
      <c r="A69" s="231"/>
      <c r="B69" s="231"/>
      <c r="C69" s="232">
        <v>710171.44</v>
      </c>
      <c r="D69" s="232">
        <v>766566.29</v>
      </c>
      <c r="E69" s="232">
        <v>-56394.85</v>
      </c>
      <c r="F69" s="265" t="s">
        <v>486</v>
      </c>
      <c r="G69" s="231" t="s">
        <v>5</v>
      </c>
      <c r="H69" s="67"/>
    </row>
    <row r="70" spans="1:8" x14ac:dyDescent="0.25">
      <c r="A70" s="231" t="s">
        <v>618</v>
      </c>
      <c r="B70" s="231"/>
      <c r="C70" s="232"/>
      <c r="D70" s="232"/>
      <c r="E70" s="232"/>
      <c r="F70" s="265" t="s">
        <v>486</v>
      </c>
      <c r="G70" s="231" t="s">
        <v>5</v>
      </c>
      <c r="H70" s="67"/>
    </row>
    <row r="71" spans="1:8" x14ac:dyDescent="0.25">
      <c r="A71" s="231">
        <v>3700000</v>
      </c>
      <c r="B71" s="231" t="s">
        <v>51</v>
      </c>
      <c r="C71" s="232">
        <v>0</v>
      </c>
      <c r="D71" s="232">
        <v>8545.49</v>
      </c>
      <c r="E71" s="232">
        <v>-8545.49</v>
      </c>
      <c r="F71" s="265" t="s">
        <v>486</v>
      </c>
      <c r="G71" s="231" t="s">
        <v>5</v>
      </c>
      <c r="H71" s="67"/>
    </row>
    <row r="72" spans="1:8" x14ac:dyDescent="0.25">
      <c r="A72" s="231"/>
      <c r="B72" s="231"/>
      <c r="C72" s="232">
        <v>0</v>
      </c>
      <c r="D72" s="232">
        <v>8545.49</v>
      </c>
      <c r="E72" s="232">
        <v>-8545.49</v>
      </c>
      <c r="F72" s="265" t="s">
        <v>486</v>
      </c>
      <c r="G72" s="231" t="s">
        <v>5</v>
      </c>
      <c r="H72" s="67"/>
    </row>
    <row r="73" spans="1:8" x14ac:dyDescent="0.25">
      <c r="A73" s="231" t="s">
        <v>849</v>
      </c>
      <c r="B73" s="231"/>
      <c r="C73" s="232"/>
      <c r="D73" s="232"/>
      <c r="E73" s="232"/>
      <c r="F73" s="265" t="s">
        <v>486</v>
      </c>
      <c r="G73" s="231" t="s">
        <v>5</v>
      </c>
      <c r="H73" s="67"/>
    </row>
    <row r="74" spans="1:8" x14ac:dyDescent="0.25">
      <c r="A74" s="231">
        <v>3350000</v>
      </c>
      <c r="B74" s="231" t="s">
        <v>850</v>
      </c>
      <c r="C74" s="232">
        <v>-1168.5</v>
      </c>
      <c r="D74" s="232">
        <v>-1168.5</v>
      </c>
      <c r="E74" s="232">
        <v>0</v>
      </c>
      <c r="F74" s="265" t="s">
        <v>486</v>
      </c>
      <c r="G74" s="231" t="s">
        <v>5</v>
      </c>
      <c r="H74" s="67"/>
    </row>
    <row r="75" spans="1:8" x14ac:dyDescent="0.25">
      <c r="A75" s="231"/>
      <c r="B75" s="231"/>
      <c r="C75" s="232">
        <v>-1168.5</v>
      </c>
      <c r="D75" s="232">
        <v>-1168.5</v>
      </c>
      <c r="E75" s="232">
        <v>0</v>
      </c>
      <c r="F75" s="265" t="s">
        <v>486</v>
      </c>
      <c r="G75" s="231" t="s">
        <v>5</v>
      </c>
      <c r="H75" s="22"/>
    </row>
    <row r="76" spans="1:8" x14ac:dyDescent="0.25">
      <c r="A76" s="231" t="s">
        <v>619</v>
      </c>
      <c r="B76" s="231"/>
      <c r="C76" s="232"/>
      <c r="D76" s="232"/>
      <c r="E76" s="232"/>
      <c r="F76" s="265" t="s">
        <v>486</v>
      </c>
      <c r="G76" s="231" t="s">
        <v>385</v>
      </c>
    </row>
    <row r="77" spans="1:8" x14ac:dyDescent="0.25">
      <c r="A77" s="231">
        <v>3500001</v>
      </c>
      <c r="B77" s="231" t="s">
        <v>52</v>
      </c>
      <c r="C77" s="232">
        <v>193207.95</v>
      </c>
      <c r="D77" s="232">
        <v>416091.9</v>
      </c>
      <c r="E77" s="232">
        <v>-222883.95</v>
      </c>
      <c r="F77" s="265" t="s">
        <v>385</v>
      </c>
      <c r="G77" s="231" t="s">
        <v>385</v>
      </c>
    </row>
    <row r="78" spans="1:8" x14ac:dyDescent="0.25">
      <c r="C78" s="184">
        <v>193207.95</v>
      </c>
      <c r="D78" s="184">
        <v>416091.9</v>
      </c>
      <c r="E78" s="184">
        <v>-222883.95</v>
      </c>
    </row>
    <row r="79" spans="1:8" x14ac:dyDescent="0.25">
      <c r="A79" s="184" t="s">
        <v>620</v>
      </c>
    </row>
    <row r="80" spans="1:8" x14ac:dyDescent="0.25">
      <c r="A80" s="184">
        <v>3900000</v>
      </c>
      <c r="B80" s="184" t="s">
        <v>621</v>
      </c>
      <c r="C80" s="184">
        <v>12427.79</v>
      </c>
      <c r="D80" s="184">
        <v>12427.79</v>
      </c>
      <c r="E80" s="184">
        <v>0</v>
      </c>
    </row>
    <row r="81" spans="1:5" x14ac:dyDescent="0.25">
      <c r="C81" s="184">
        <v>12427.79</v>
      </c>
      <c r="D81" s="184">
        <v>12427.79</v>
      </c>
      <c r="E81" s="184">
        <v>0</v>
      </c>
    </row>
    <row r="82" spans="1:5" x14ac:dyDescent="0.25">
      <c r="A82" s="184" t="s">
        <v>53</v>
      </c>
    </row>
    <row r="83" spans="1:5" x14ac:dyDescent="0.25">
      <c r="A83" s="184">
        <v>1603002</v>
      </c>
      <c r="B83" s="184" t="s">
        <v>54</v>
      </c>
      <c r="C83" s="184">
        <v>917.14</v>
      </c>
      <c r="D83" s="184">
        <v>917.14</v>
      </c>
      <c r="E83" s="184">
        <v>0</v>
      </c>
    </row>
    <row r="84" spans="1:5" x14ac:dyDescent="0.25">
      <c r="C84" s="184">
        <v>917.14</v>
      </c>
      <c r="D84" s="184">
        <v>917.14</v>
      </c>
      <c r="E84" s="184">
        <v>0</v>
      </c>
    </row>
    <row r="85" spans="1:5" x14ac:dyDescent="0.25">
      <c r="C85" s="184">
        <v>6739280.9299999997</v>
      </c>
      <c r="D85" s="184">
        <v>6545807.0700000003</v>
      </c>
      <c r="E85" s="184">
        <v>193473.86</v>
      </c>
    </row>
    <row r="86" spans="1:5" x14ac:dyDescent="0.25">
      <c r="A86" s="184" t="s">
        <v>622</v>
      </c>
    </row>
    <row r="87" spans="1:5" x14ac:dyDescent="0.25">
      <c r="A87" s="184" t="s">
        <v>623</v>
      </c>
    </row>
    <row r="88" spans="1:5" x14ac:dyDescent="0.25">
      <c r="A88" s="184" t="s">
        <v>624</v>
      </c>
    </row>
    <row r="89" spans="1:5" x14ac:dyDescent="0.25">
      <c r="A89" s="184">
        <v>2160001</v>
      </c>
      <c r="B89" s="184" t="s">
        <v>56</v>
      </c>
      <c r="C89" s="184">
        <v>134217.93</v>
      </c>
      <c r="D89" s="184">
        <v>134217.93</v>
      </c>
      <c r="E89" s="184">
        <v>0</v>
      </c>
    </row>
    <row r="90" spans="1:5" x14ac:dyDescent="0.25">
      <c r="A90" s="184">
        <v>2170001</v>
      </c>
      <c r="B90" s="184" t="s">
        <v>57</v>
      </c>
      <c r="C90" s="184">
        <v>85343.54</v>
      </c>
      <c r="D90" s="184">
        <v>85343.54</v>
      </c>
      <c r="E90" s="184">
        <v>0</v>
      </c>
    </row>
    <row r="91" spans="1:5" x14ac:dyDescent="0.25">
      <c r="C91" s="184">
        <v>219561.47</v>
      </c>
      <c r="D91" s="184">
        <v>219561.47</v>
      </c>
      <c r="E91" s="184">
        <v>0</v>
      </c>
    </row>
    <row r="92" spans="1:5" x14ac:dyDescent="0.25">
      <c r="A92" s="184" t="s">
        <v>625</v>
      </c>
    </row>
    <row r="93" spans="1:5" x14ac:dyDescent="0.25">
      <c r="A93" s="184">
        <v>2180001</v>
      </c>
      <c r="B93" s="184" t="s">
        <v>58</v>
      </c>
      <c r="C93" s="184">
        <v>35097.71</v>
      </c>
      <c r="D93" s="184">
        <v>35097.71</v>
      </c>
      <c r="E93" s="184">
        <v>0</v>
      </c>
    </row>
    <row r="94" spans="1:5" x14ac:dyDescent="0.25">
      <c r="C94" s="184">
        <v>35097.71</v>
      </c>
      <c r="D94" s="184">
        <v>35097.71</v>
      </c>
      <c r="E94" s="184">
        <v>0</v>
      </c>
    </row>
    <row r="95" spans="1:5" x14ac:dyDescent="0.25">
      <c r="A95" s="184" t="s">
        <v>630</v>
      </c>
    </row>
    <row r="96" spans="1:5" x14ac:dyDescent="0.25">
      <c r="A96" s="184">
        <v>2816001</v>
      </c>
      <c r="B96" s="184" t="s">
        <v>69</v>
      </c>
      <c r="C96" s="184">
        <v>-127413.7</v>
      </c>
      <c r="D96" s="184">
        <v>-127413.7</v>
      </c>
      <c r="E96" s="184">
        <v>0</v>
      </c>
    </row>
    <row r="97" spans="1:5" x14ac:dyDescent="0.25">
      <c r="A97" s="184">
        <v>2817001</v>
      </c>
      <c r="B97" s="184" t="s">
        <v>70</v>
      </c>
      <c r="C97" s="184">
        <v>-34105.800000000003</v>
      </c>
      <c r="D97" s="184">
        <v>-34105.800000000003</v>
      </c>
      <c r="E97" s="184">
        <v>0</v>
      </c>
    </row>
    <row r="98" spans="1:5" x14ac:dyDescent="0.25">
      <c r="A98" s="184">
        <v>2818001</v>
      </c>
      <c r="B98" s="184" t="s">
        <v>71</v>
      </c>
      <c r="C98" s="184">
        <v>-35070.57</v>
      </c>
      <c r="D98" s="184">
        <v>-35070.57</v>
      </c>
      <c r="E98" s="184">
        <v>0</v>
      </c>
    </row>
    <row r="99" spans="1:5" x14ac:dyDescent="0.25">
      <c r="C99" s="184">
        <v>-196590.07</v>
      </c>
      <c r="D99" s="184">
        <v>-196590.07</v>
      </c>
      <c r="E99" s="184">
        <v>0</v>
      </c>
    </row>
    <row r="100" spans="1:5" x14ac:dyDescent="0.25">
      <c r="C100" s="184">
        <v>-196590.07</v>
      </c>
      <c r="D100" s="184">
        <v>-196590.07</v>
      </c>
      <c r="E100" s="184">
        <v>0</v>
      </c>
    </row>
    <row r="101" spans="1:5" x14ac:dyDescent="0.25">
      <c r="A101" s="184" t="s">
        <v>632</v>
      </c>
      <c r="C101" s="184">
        <v>58069.11</v>
      </c>
      <c r="D101" s="184">
        <v>58069.11</v>
      </c>
      <c r="E101" s="184">
        <v>0</v>
      </c>
    </row>
    <row r="102" spans="1:5" x14ac:dyDescent="0.25">
      <c r="A102" s="184" t="s">
        <v>633</v>
      </c>
    </row>
    <row r="104" spans="1:5" x14ac:dyDescent="0.25">
      <c r="A104" s="184" t="s">
        <v>634</v>
      </c>
    </row>
    <row r="105" spans="1:5" x14ac:dyDescent="0.25">
      <c r="A105" s="184" t="s">
        <v>155</v>
      </c>
    </row>
    <row r="106" spans="1:5" x14ac:dyDescent="0.25">
      <c r="A106" s="184" t="s">
        <v>635</v>
      </c>
    </row>
    <row r="107" spans="1:5" x14ac:dyDescent="0.25">
      <c r="A107" s="184">
        <v>4732002</v>
      </c>
      <c r="B107" s="184" t="s">
        <v>73</v>
      </c>
      <c r="C107" s="184">
        <v>219170.16</v>
      </c>
      <c r="D107" s="184">
        <v>219170.16</v>
      </c>
      <c r="E107" s="184">
        <v>0</v>
      </c>
    </row>
    <row r="108" spans="1:5" x14ac:dyDescent="0.25">
      <c r="C108" s="184">
        <v>219170.16</v>
      </c>
      <c r="D108" s="184">
        <v>219170.16</v>
      </c>
      <c r="E108" s="184">
        <v>0</v>
      </c>
    </row>
    <row r="109" spans="1:5" x14ac:dyDescent="0.25">
      <c r="A109" s="184" t="s">
        <v>636</v>
      </c>
    </row>
    <row r="110" spans="1:5" x14ac:dyDescent="0.25">
      <c r="A110" s="184">
        <v>4732003</v>
      </c>
      <c r="B110" s="184" t="s">
        <v>74</v>
      </c>
      <c r="C110" s="184">
        <v>339066.95</v>
      </c>
      <c r="D110" s="184">
        <v>300880.3</v>
      </c>
      <c r="E110" s="184">
        <v>38186.65</v>
      </c>
    </row>
    <row r="111" spans="1:5" x14ac:dyDescent="0.25">
      <c r="C111" s="184">
        <v>339066.95</v>
      </c>
      <c r="D111" s="184">
        <v>300880.3</v>
      </c>
      <c r="E111" s="184">
        <v>38186.65</v>
      </c>
    </row>
    <row r="112" spans="1:5" x14ac:dyDescent="0.25">
      <c r="A112" s="184" t="s">
        <v>637</v>
      </c>
    </row>
    <row r="113" spans="1:5" x14ac:dyDescent="0.25">
      <c r="A113" s="184">
        <v>4732004</v>
      </c>
      <c r="B113" s="184" t="s">
        <v>75</v>
      </c>
      <c r="C113" s="184">
        <v>42.64</v>
      </c>
      <c r="D113" s="184">
        <v>42.64</v>
      </c>
      <c r="E113" s="184">
        <v>0</v>
      </c>
    </row>
    <row r="114" spans="1:5" x14ac:dyDescent="0.25">
      <c r="C114" s="184">
        <v>42.64</v>
      </c>
      <c r="D114" s="184">
        <v>42.64</v>
      </c>
      <c r="E114" s="184">
        <v>0</v>
      </c>
    </row>
    <row r="115" spans="1:5" x14ac:dyDescent="0.25">
      <c r="C115" s="184">
        <v>558279.75</v>
      </c>
      <c r="D115" s="184">
        <v>520093.1</v>
      </c>
      <c r="E115" s="184">
        <v>38186.65</v>
      </c>
    </row>
    <row r="116" spans="1:5" x14ac:dyDescent="0.25">
      <c r="C116" s="184">
        <v>558279.75</v>
      </c>
      <c r="D116" s="184">
        <v>520093.1</v>
      </c>
      <c r="E116" s="184">
        <v>38186.65</v>
      </c>
    </row>
    <row r="117" spans="1:5" x14ac:dyDescent="0.25">
      <c r="A117" s="184" t="s">
        <v>642</v>
      </c>
      <c r="C117" s="184">
        <v>7355629.79</v>
      </c>
      <c r="D117" s="184">
        <v>7123969.2800000003</v>
      </c>
      <c r="E117" s="184">
        <v>231660.51</v>
      </c>
    </row>
    <row r="118" spans="1:5" x14ac:dyDescent="0.25">
      <c r="A118" s="184" t="s">
        <v>643</v>
      </c>
    </row>
    <row r="127" spans="1:5" x14ac:dyDescent="0.25">
      <c r="A127" s="184" t="s">
        <v>644</v>
      </c>
      <c r="E127" s="184" t="s">
        <v>645</v>
      </c>
    </row>
    <row r="128" spans="1:5" x14ac:dyDescent="0.25">
      <c r="A128" s="184" t="s">
        <v>646</v>
      </c>
      <c r="E128" s="184" t="s">
        <v>647</v>
      </c>
    </row>
    <row r="130" spans="1:5" x14ac:dyDescent="0.25">
      <c r="A130" s="184" t="s">
        <v>79</v>
      </c>
    </row>
    <row r="131" spans="1:5" x14ac:dyDescent="0.25">
      <c r="A131" s="184" t="s">
        <v>648</v>
      </c>
    </row>
    <row r="132" spans="1:5" x14ac:dyDescent="0.25">
      <c r="A132" s="184" t="s">
        <v>649</v>
      </c>
    </row>
    <row r="133" spans="1:5" x14ac:dyDescent="0.25">
      <c r="A133" s="184" t="s">
        <v>633</v>
      </c>
    </row>
    <row r="134" spans="1:5" x14ac:dyDescent="0.25">
      <c r="A134" s="184" t="s">
        <v>803</v>
      </c>
    </row>
    <row r="135" spans="1:5" x14ac:dyDescent="0.25">
      <c r="A135" s="184">
        <v>4100003</v>
      </c>
      <c r="B135" s="184" t="s">
        <v>81</v>
      </c>
      <c r="C135" s="184">
        <v>-734643.94</v>
      </c>
      <c r="D135" s="184">
        <v>-770378.06</v>
      </c>
      <c r="E135" s="184">
        <v>35734.120000000003</v>
      </c>
    </row>
    <row r="136" spans="1:5" x14ac:dyDescent="0.25">
      <c r="C136" s="184">
        <v>-734643.94</v>
      </c>
      <c r="D136" s="184">
        <v>-770378.06</v>
      </c>
      <c r="E136" s="184">
        <v>35734.120000000003</v>
      </c>
    </row>
    <row r="137" spans="1:5" x14ac:dyDescent="0.25">
      <c r="A137" s="184" t="s">
        <v>650</v>
      </c>
    </row>
    <row r="138" spans="1:5" x14ac:dyDescent="0.25">
      <c r="A138" s="184">
        <v>4100000</v>
      </c>
      <c r="B138" s="184" t="s">
        <v>86</v>
      </c>
      <c r="C138" s="184">
        <v>-126309.16</v>
      </c>
      <c r="D138" s="184">
        <v>-96338.08</v>
      </c>
      <c r="E138" s="184">
        <v>-29971.08</v>
      </c>
    </row>
    <row r="139" spans="1:5" x14ac:dyDescent="0.25">
      <c r="A139" s="184">
        <v>4100004</v>
      </c>
      <c r="B139" s="184" t="s">
        <v>94</v>
      </c>
      <c r="C139" s="184">
        <v>-11641.07</v>
      </c>
      <c r="D139" s="184">
        <v>-9458.81</v>
      </c>
      <c r="E139" s="184">
        <v>-2182.2600000000002</v>
      </c>
    </row>
    <row r="140" spans="1:5" x14ac:dyDescent="0.25">
      <c r="A140" s="184">
        <v>4104000</v>
      </c>
      <c r="B140" s="184" t="s">
        <v>87</v>
      </c>
      <c r="C140" s="184">
        <v>-3055</v>
      </c>
      <c r="D140" s="184">
        <v>-3055</v>
      </c>
      <c r="E140" s="184">
        <v>0</v>
      </c>
    </row>
    <row r="141" spans="1:5" x14ac:dyDescent="0.25">
      <c r="C141" s="184">
        <v>-141005.23000000001</v>
      </c>
      <c r="D141" s="184">
        <v>-108851.89</v>
      </c>
      <c r="E141" s="184">
        <v>-32153.34</v>
      </c>
    </row>
    <row r="142" spans="1:5" x14ac:dyDescent="0.25">
      <c r="A142" s="184" t="s">
        <v>88</v>
      </c>
    </row>
    <row r="143" spans="1:5" x14ac:dyDescent="0.25">
      <c r="A143" s="184">
        <v>4000000</v>
      </c>
      <c r="B143" s="184" t="s">
        <v>89</v>
      </c>
      <c r="C143" s="184">
        <v>-145006.82</v>
      </c>
      <c r="D143" s="184">
        <v>-190801.48</v>
      </c>
      <c r="E143" s="184">
        <v>45794.66</v>
      </c>
    </row>
    <row r="144" spans="1:5" x14ac:dyDescent="0.25">
      <c r="A144" s="184">
        <v>4004000</v>
      </c>
      <c r="B144" s="184" t="s">
        <v>90</v>
      </c>
      <c r="C144" s="184">
        <v>-606104.01</v>
      </c>
      <c r="D144" s="184">
        <v>-748817.69</v>
      </c>
      <c r="E144" s="184">
        <v>142713.68</v>
      </c>
    </row>
    <row r="145" spans="1:5" x14ac:dyDescent="0.25">
      <c r="A145" s="184">
        <v>4009000</v>
      </c>
      <c r="B145" s="184" t="s">
        <v>91</v>
      </c>
      <c r="C145" s="184">
        <v>5359.98</v>
      </c>
      <c r="D145" s="184">
        <v>-8386.23</v>
      </c>
      <c r="E145" s="184">
        <v>13746.21</v>
      </c>
    </row>
    <row r="146" spans="1:5" x14ac:dyDescent="0.25">
      <c r="A146" s="184">
        <v>4009001</v>
      </c>
      <c r="B146" s="184" t="s">
        <v>156</v>
      </c>
      <c r="C146" s="184">
        <v>-4096.21</v>
      </c>
      <c r="D146" s="184">
        <v>-4096.21</v>
      </c>
      <c r="E146" s="184">
        <v>0</v>
      </c>
    </row>
    <row r="147" spans="1:5" x14ac:dyDescent="0.25">
      <c r="A147" s="184">
        <v>4009002</v>
      </c>
      <c r="B147" s="184" t="s">
        <v>92</v>
      </c>
      <c r="C147" s="184">
        <v>-6690.7</v>
      </c>
      <c r="D147" s="184">
        <v>-7241.16</v>
      </c>
      <c r="E147" s="184">
        <v>550.46</v>
      </c>
    </row>
    <row r="148" spans="1:5" x14ac:dyDescent="0.25">
      <c r="A148" s="184">
        <v>4030000</v>
      </c>
      <c r="B148" s="184" t="s">
        <v>83</v>
      </c>
      <c r="C148" s="184">
        <v>-2359715.33</v>
      </c>
      <c r="D148" s="184">
        <v>-2540185.61</v>
      </c>
      <c r="E148" s="184">
        <v>180470.28</v>
      </c>
    </row>
    <row r="149" spans="1:5" x14ac:dyDescent="0.25">
      <c r="A149" s="184">
        <v>4030001</v>
      </c>
      <c r="B149" s="184" t="s">
        <v>82</v>
      </c>
      <c r="C149" s="184">
        <v>-972783.48</v>
      </c>
      <c r="D149" s="184">
        <v>-771880.07</v>
      </c>
      <c r="E149" s="184">
        <v>-200903.41</v>
      </c>
    </row>
    <row r="150" spans="1:5" x14ac:dyDescent="0.25">
      <c r="C150" s="184">
        <v>-4089036.57</v>
      </c>
      <c r="D150" s="184">
        <v>-4271408.45</v>
      </c>
      <c r="E150" s="184">
        <v>182371.88</v>
      </c>
    </row>
    <row r="151" spans="1:5" x14ac:dyDescent="0.25">
      <c r="A151" s="184" t="s">
        <v>651</v>
      </c>
    </row>
    <row r="152" spans="1:5" x14ac:dyDescent="0.25">
      <c r="A152" s="184">
        <v>4650000</v>
      </c>
      <c r="B152" s="184" t="s">
        <v>95</v>
      </c>
      <c r="C152" s="184">
        <v>-12336.21</v>
      </c>
      <c r="D152" s="184">
        <v>-12336.21</v>
      </c>
      <c r="E152" s="184">
        <v>0</v>
      </c>
    </row>
    <row r="153" spans="1:5" x14ac:dyDescent="0.25">
      <c r="A153" s="184">
        <v>4650003</v>
      </c>
      <c r="B153" s="184" t="s">
        <v>97</v>
      </c>
      <c r="C153" s="184">
        <v>-57928.65</v>
      </c>
      <c r="D153" s="184">
        <v>-48218.76</v>
      </c>
      <c r="E153" s="184">
        <v>-9709.89</v>
      </c>
    </row>
    <row r="154" spans="1:5" x14ac:dyDescent="0.25">
      <c r="A154" s="184">
        <v>4650009</v>
      </c>
      <c r="B154" s="184" t="s">
        <v>98</v>
      </c>
      <c r="C154" s="184">
        <v>-80257.41</v>
      </c>
      <c r="D154" s="184">
        <v>-53556.91</v>
      </c>
      <c r="E154" s="184">
        <v>-26700.5</v>
      </c>
    </row>
    <row r="155" spans="1:5" x14ac:dyDescent="0.25">
      <c r="A155" s="184">
        <v>4650017</v>
      </c>
      <c r="B155" s="184" t="s">
        <v>99</v>
      </c>
      <c r="C155" s="184">
        <v>-103740.92</v>
      </c>
      <c r="D155" s="184">
        <v>-96590.77</v>
      </c>
      <c r="E155" s="184">
        <v>-7150.15</v>
      </c>
    </row>
    <row r="156" spans="1:5" x14ac:dyDescent="0.25">
      <c r="C156" s="184">
        <v>-254263.19</v>
      </c>
      <c r="D156" s="184">
        <v>-210702.65</v>
      </c>
      <c r="E156" s="184">
        <v>-43560.54</v>
      </c>
    </row>
    <row r="157" spans="1:5" x14ac:dyDescent="0.25">
      <c r="A157" s="184" t="s">
        <v>158</v>
      </c>
    </row>
    <row r="158" spans="1:5" x14ac:dyDescent="0.25">
      <c r="A158" s="184">
        <v>4760000</v>
      </c>
      <c r="B158" s="184" t="s">
        <v>101</v>
      </c>
      <c r="C158" s="184">
        <v>-28886.080000000002</v>
      </c>
      <c r="D158" s="184">
        <v>-22961.53</v>
      </c>
      <c r="E158" s="184">
        <v>-5924.55</v>
      </c>
    </row>
    <row r="159" spans="1:5" x14ac:dyDescent="0.25">
      <c r="A159" s="184">
        <v>4760023</v>
      </c>
      <c r="B159" s="184" t="s">
        <v>102</v>
      </c>
      <c r="C159" s="184">
        <v>-11011.96</v>
      </c>
      <c r="D159" s="184">
        <v>-8749.2099999999991</v>
      </c>
      <c r="E159" s="184">
        <v>-2262.75</v>
      </c>
    </row>
    <row r="160" spans="1:5" x14ac:dyDescent="0.25">
      <c r="A160" s="184">
        <v>4760024</v>
      </c>
      <c r="B160" s="184" t="s">
        <v>103</v>
      </c>
      <c r="C160" s="184">
        <v>-14530.48</v>
      </c>
      <c r="D160" s="184">
        <v>-7740.32</v>
      </c>
      <c r="E160" s="184">
        <v>-6790.16</v>
      </c>
    </row>
    <row r="161" spans="1:5" x14ac:dyDescent="0.25">
      <c r="C161" s="184">
        <v>-54428.52</v>
      </c>
      <c r="D161" s="184">
        <v>-39451.06</v>
      </c>
      <c r="E161" s="184">
        <v>-14977.46</v>
      </c>
    </row>
    <row r="162" spans="1:5" x14ac:dyDescent="0.25">
      <c r="A162" s="184" t="s">
        <v>652</v>
      </c>
    </row>
    <row r="163" spans="1:5" x14ac:dyDescent="0.25">
      <c r="A163" s="184">
        <v>4751007</v>
      </c>
      <c r="B163" s="184" t="s">
        <v>104</v>
      </c>
      <c r="C163" s="184">
        <v>-9073.67</v>
      </c>
      <c r="D163" s="184">
        <v>-59576.87</v>
      </c>
      <c r="E163" s="184">
        <v>50503.199999999997</v>
      </c>
    </row>
    <row r="164" spans="1:5" x14ac:dyDescent="0.25">
      <c r="A164" s="184">
        <v>4751009</v>
      </c>
      <c r="B164" s="184" t="s">
        <v>851</v>
      </c>
      <c r="C164" s="184">
        <v>-9295.85</v>
      </c>
      <c r="D164" s="184">
        <v>-13421</v>
      </c>
      <c r="E164" s="184">
        <v>4125.1499999999996</v>
      </c>
    </row>
    <row r="165" spans="1:5" x14ac:dyDescent="0.25">
      <c r="A165" s="184">
        <v>4770000</v>
      </c>
      <c r="B165" s="184" t="s">
        <v>105</v>
      </c>
      <c r="C165" s="184">
        <v>123.29</v>
      </c>
      <c r="D165" s="184">
        <v>144.83000000000001</v>
      </c>
      <c r="E165" s="184">
        <v>-21.54</v>
      </c>
    </row>
    <row r="166" spans="1:5" x14ac:dyDescent="0.25">
      <c r="C166" s="184">
        <v>-18246.23</v>
      </c>
      <c r="D166" s="184">
        <v>-72853.039999999994</v>
      </c>
      <c r="E166" s="184">
        <v>54606.81</v>
      </c>
    </row>
    <row r="167" spans="1:5" x14ac:dyDescent="0.25">
      <c r="A167" s="184" t="s">
        <v>654</v>
      </c>
      <c r="C167" s="184">
        <v>-5291623.68</v>
      </c>
      <c r="D167" s="184">
        <v>-5473645.1500000004</v>
      </c>
      <c r="E167" s="184">
        <v>182021.47</v>
      </c>
    </row>
    <row r="168" spans="1:5" x14ac:dyDescent="0.25">
      <c r="A168" s="184" t="s">
        <v>655</v>
      </c>
    </row>
    <row r="170" spans="1:5" x14ac:dyDescent="0.25">
      <c r="A170" s="184" t="s">
        <v>806</v>
      </c>
    </row>
    <row r="171" spans="1:5" x14ac:dyDescent="0.25">
      <c r="A171" s="184" t="s">
        <v>807</v>
      </c>
    </row>
    <row r="172" spans="1:5" x14ac:dyDescent="0.25">
      <c r="A172" s="184">
        <v>4650001</v>
      </c>
      <c r="B172" s="184" t="s">
        <v>96</v>
      </c>
      <c r="C172" s="184">
        <v>-24512.85</v>
      </c>
      <c r="D172" s="184">
        <v>-26690.73</v>
      </c>
      <c r="E172" s="184">
        <v>2177.88</v>
      </c>
    </row>
    <row r="173" spans="1:5" x14ac:dyDescent="0.25">
      <c r="C173" s="184">
        <v>-24512.85</v>
      </c>
      <c r="D173" s="184">
        <v>-26690.73</v>
      </c>
      <c r="E173" s="184">
        <v>2177.88</v>
      </c>
    </row>
    <row r="174" spans="1:5" x14ac:dyDescent="0.25">
      <c r="C174" s="184">
        <v>-24512.85</v>
      </c>
      <c r="D174" s="184">
        <v>-26690.73</v>
      </c>
      <c r="E174" s="184">
        <v>2177.88</v>
      </c>
    </row>
    <row r="175" spans="1:5" x14ac:dyDescent="0.25">
      <c r="A175" s="184" t="s">
        <v>656</v>
      </c>
    </row>
    <row r="176" spans="1:5" x14ac:dyDescent="0.25">
      <c r="A176" s="184" t="s">
        <v>107</v>
      </c>
    </row>
    <row r="177" spans="1:5" x14ac:dyDescent="0.25">
      <c r="A177" s="184">
        <v>1420000</v>
      </c>
      <c r="B177" s="184" t="s">
        <v>108</v>
      </c>
      <c r="C177" s="184">
        <v>-42236.26</v>
      </c>
      <c r="D177" s="184">
        <v>-25224.76</v>
      </c>
      <c r="E177" s="184">
        <v>-17011.5</v>
      </c>
    </row>
    <row r="178" spans="1:5" x14ac:dyDescent="0.25">
      <c r="C178" s="184">
        <v>-42236.26</v>
      </c>
      <c r="D178" s="184">
        <v>-25224.76</v>
      </c>
      <c r="E178" s="184">
        <v>-17011.5</v>
      </c>
    </row>
    <row r="179" spans="1:5" x14ac:dyDescent="0.25">
      <c r="C179" s="184">
        <v>-42236.26</v>
      </c>
      <c r="D179" s="184">
        <v>-25224.76</v>
      </c>
      <c r="E179" s="184">
        <v>-17011.5</v>
      </c>
    </row>
    <row r="180" spans="1:5" x14ac:dyDescent="0.25">
      <c r="A180" s="184" t="s">
        <v>657</v>
      </c>
      <c r="C180" s="184">
        <v>-5358372.79</v>
      </c>
      <c r="D180" s="184">
        <v>-5525560.6399999997</v>
      </c>
      <c r="E180" s="184">
        <v>167187.85</v>
      </c>
    </row>
    <row r="181" spans="1:5" x14ac:dyDescent="0.25">
      <c r="A181" s="184" t="s">
        <v>658</v>
      </c>
    </row>
    <row r="190" spans="1:5" x14ac:dyDescent="0.25">
      <c r="A190" s="184" t="s">
        <v>644</v>
      </c>
      <c r="E190" s="184" t="s">
        <v>645</v>
      </c>
    </row>
    <row r="191" spans="1:5" x14ac:dyDescent="0.25">
      <c r="A191" s="184" t="s">
        <v>646</v>
      </c>
      <c r="E191" s="184" t="s">
        <v>647</v>
      </c>
    </row>
    <row r="193" spans="1:5" x14ac:dyDescent="0.25">
      <c r="A193" s="184" t="s">
        <v>659</v>
      </c>
    </row>
    <row r="194" spans="1:5" x14ac:dyDescent="0.25">
      <c r="A194" s="184" t="s">
        <v>660</v>
      </c>
    </row>
    <row r="195" spans="1:5" x14ac:dyDescent="0.25">
      <c r="A195" s="184" t="s">
        <v>661</v>
      </c>
    </row>
    <row r="196" spans="1:5" x14ac:dyDescent="0.25">
      <c r="A196" s="184">
        <v>1000000</v>
      </c>
      <c r="B196" s="184" t="s">
        <v>111</v>
      </c>
      <c r="C196" s="184">
        <v>-13102</v>
      </c>
      <c r="D196" s="184">
        <v>-13102</v>
      </c>
      <c r="E196" s="184">
        <v>0</v>
      </c>
    </row>
    <row r="197" spans="1:5" x14ac:dyDescent="0.25">
      <c r="C197" s="184">
        <v>-13102</v>
      </c>
      <c r="D197" s="184">
        <v>-13102</v>
      </c>
      <c r="E197" s="184">
        <v>0</v>
      </c>
    </row>
    <row r="198" spans="1:5" x14ac:dyDescent="0.25">
      <c r="C198" s="184">
        <v>-13102</v>
      </c>
      <c r="D198" s="184">
        <v>-13102</v>
      </c>
      <c r="E198" s="184">
        <v>0</v>
      </c>
    </row>
    <row r="199" spans="1:5" x14ac:dyDescent="0.25">
      <c r="A199" s="184" t="s">
        <v>662</v>
      </c>
    </row>
    <row r="200" spans="1:5" x14ac:dyDescent="0.25">
      <c r="A200" s="184" t="s">
        <v>112</v>
      </c>
    </row>
    <row r="201" spans="1:5" x14ac:dyDescent="0.25">
      <c r="A201" s="184">
        <v>1120000</v>
      </c>
      <c r="B201" s="184" t="s">
        <v>112</v>
      </c>
      <c r="C201" s="184">
        <v>-94048.35</v>
      </c>
      <c r="D201" s="184">
        <v>-94048.35</v>
      </c>
      <c r="E201" s="184">
        <v>0</v>
      </c>
    </row>
    <row r="202" spans="1:5" x14ac:dyDescent="0.25">
      <c r="C202" s="184">
        <v>-94048.35</v>
      </c>
      <c r="D202" s="184">
        <v>-94048.35</v>
      </c>
      <c r="E202" s="184">
        <v>0</v>
      </c>
    </row>
    <row r="203" spans="1:5" x14ac:dyDescent="0.25">
      <c r="C203" s="184">
        <v>-94048.35</v>
      </c>
      <c r="D203" s="184">
        <v>-94048.35</v>
      </c>
      <c r="E203" s="184">
        <v>0</v>
      </c>
    </row>
    <row r="204" spans="1:5" x14ac:dyDescent="0.25">
      <c r="A204" s="184" t="s">
        <v>663</v>
      </c>
    </row>
    <row r="205" spans="1:5" x14ac:dyDescent="0.25">
      <c r="A205" s="184" t="s">
        <v>663</v>
      </c>
    </row>
    <row r="206" spans="1:5" x14ac:dyDescent="0.25">
      <c r="A206" s="184">
        <v>1210000</v>
      </c>
      <c r="B206" s="184" t="s">
        <v>664</v>
      </c>
      <c r="C206" s="184">
        <v>-1365107.56</v>
      </c>
      <c r="D206" s="184">
        <v>-1365107.56</v>
      </c>
      <c r="E206" s="184">
        <v>0</v>
      </c>
    </row>
    <row r="207" spans="1:5" x14ac:dyDescent="0.25">
      <c r="C207" s="184">
        <v>-1365107.56</v>
      </c>
      <c r="D207" s="184">
        <v>-1365107.56</v>
      </c>
      <c r="E207" s="184">
        <v>0</v>
      </c>
    </row>
    <row r="208" spans="1:5" x14ac:dyDescent="0.25">
      <c r="C208" s="184">
        <v>-1365107.56</v>
      </c>
      <c r="D208" s="184">
        <v>-1365107.56</v>
      </c>
      <c r="E208" s="184">
        <v>0</v>
      </c>
    </row>
    <row r="209" spans="1:5" x14ac:dyDescent="0.25">
      <c r="A209" s="184" t="s">
        <v>665</v>
      </c>
    </row>
    <row r="210" spans="1:5" x14ac:dyDescent="0.25">
      <c r="A210" s="184" t="s">
        <v>665</v>
      </c>
    </row>
    <row r="211" spans="1:5" x14ac:dyDescent="0.25">
      <c r="A211" s="184">
        <v>1200000</v>
      </c>
      <c r="B211" s="184" t="s">
        <v>666</v>
      </c>
      <c r="C211" s="184">
        <v>-384061.36</v>
      </c>
      <c r="D211" s="184">
        <v>-384061.36</v>
      </c>
      <c r="E211" s="184">
        <v>0</v>
      </c>
    </row>
    <row r="212" spans="1:5" x14ac:dyDescent="0.25">
      <c r="C212" s="184">
        <v>-384061.36</v>
      </c>
      <c r="D212" s="184">
        <v>-384061.36</v>
      </c>
      <c r="E212" s="184">
        <v>0</v>
      </c>
    </row>
    <row r="213" spans="1:5" x14ac:dyDescent="0.25">
      <c r="C213" s="184">
        <v>-384061.36</v>
      </c>
      <c r="D213" s="184">
        <v>-384061.36</v>
      </c>
      <c r="E213" s="184">
        <v>0</v>
      </c>
    </row>
    <row r="214" spans="1:5" x14ac:dyDescent="0.25">
      <c r="C214" s="184">
        <v>-1856319.27</v>
      </c>
      <c r="D214" s="184">
        <v>-1856319.27</v>
      </c>
      <c r="E214" s="184">
        <v>0</v>
      </c>
    </row>
    <row r="221" spans="1:5" x14ac:dyDescent="0.25">
      <c r="A221" s="184" t="s">
        <v>644</v>
      </c>
      <c r="E221" s="184" t="s">
        <v>645</v>
      </c>
    </row>
    <row r="222" spans="1:5" x14ac:dyDescent="0.25">
      <c r="A222" s="184" t="s">
        <v>646</v>
      </c>
      <c r="E222" s="184" t="s">
        <v>647</v>
      </c>
    </row>
    <row r="224" spans="1:5" x14ac:dyDescent="0.25">
      <c r="A224" s="184" t="s">
        <v>392</v>
      </c>
      <c r="C224" s="184">
        <v>-1997257</v>
      </c>
      <c r="D224" s="184">
        <v>-1598408.64</v>
      </c>
      <c r="E224" s="184">
        <v>-398848.36</v>
      </c>
    </row>
    <row r="234" spans="1:5" x14ac:dyDescent="0.25">
      <c r="A234" s="184" t="s">
        <v>644</v>
      </c>
      <c r="E234" s="184" t="s">
        <v>645</v>
      </c>
    </row>
    <row r="235" spans="1:5" x14ac:dyDescent="0.25">
      <c r="A235" s="184" t="s">
        <v>646</v>
      </c>
      <c r="E235" s="184" t="s">
        <v>647</v>
      </c>
    </row>
    <row r="237" spans="1:5" x14ac:dyDescent="0.25">
      <c r="A237" s="184" t="s">
        <v>667</v>
      </c>
    </row>
    <row r="238" spans="1:5" x14ac:dyDescent="0.25">
      <c r="A238" s="184" t="s">
        <v>668</v>
      </c>
    </row>
    <row r="239" spans="1:5" x14ac:dyDescent="0.25">
      <c r="A239" s="184" t="s">
        <v>808</v>
      </c>
    </row>
    <row r="240" spans="1:5" x14ac:dyDescent="0.25">
      <c r="A240" s="184">
        <v>7000000</v>
      </c>
      <c r="B240" s="184" t="s">
        <v>809</v>
      </c>
      <c r="C240" s="184">
        <v>-1763167.4</v>
      </c>
      <c r="D240" s="184">
        <v>-1449718</v>
      </c>
      <c r="E240" s="184">
        <v>-313449.40000000002</v>
      </c>
    </row>
    <row r="241" spans="1:5" x14ac:dyDescent="0.25">
      <c r="A241" s="184">
        <v>7004000</v>
      </c>
      <c r="B241" s="184" t="s">
        <v>550</v>
      </c>
      <c r="C241" s="184">
        <v>-2061964.33</v>
      </c>
      <c r="D241" s="184">
        <v>-1252092.3600000001</v>
      </c>
      <c r="E241" s="184">
        <v>-809871.97</v>
      </c>
    </row>
    <row r="242" spans="1:5" x14ac:dyDescent="0.25">
      <c r="C242" s="184">
        <v>-3825131.73</v>
      </c>
      <c r="D242" s="184">
        <v>-2701810.36</v>
      </c>
      <c r="E242" s="184">
        <v>-1123321.3700000001</v>
      </c>
    </row>
    <row r="243" spans="1:5" x14ac:dyDescent="0.25">
      <c r="A243" s="184" t="s">
        <v>808</v>
      </c>
      <c r="C243" s="184">
        <v>-3825131.73</v>
      </c>
      <c r="D243" s="184">
        <v>-2701810.36</v>
      </c>
      <c r="E243" s="184">
        <v>-1123321.3700000001</v>
      </c>
    </row>
    <row r="245" spans="1:5" x14ac:dyDescent="0.25">
      <c r="A245" s="184" t="s">
        <v>669</v>
      </c>
    </row>
    <row r="246" spans="1:5" x14ac:dyDescent="0.25">
      <c r="A246" s="184">
        <v>7072008</v>
      </c>
      <c r="B246" s="184" t="s">
        <v>670</v>
      </c>
      <c r="C246" s="184">
        <v>-198166.44</v>
      </c>
      <c r="D246" s="184">
        <v>-17470</v>
      </c>
      <c r="E246" s="184">
        <v>-180696.44</v>
      </c>
    </row>
    <row r="247" spans="1:5" x14ac:dyDescent="0.25">
      <c r="C247" s="184">
        <v>-198166.44</v>
      </c>
      <c r="D247" s="184">
        <v>-17470</v>
      </c>
      <c r="E247" s="184">
        <v>-180696.44</v>
      </c>
    </row>
    <row r="248" spans="1:5" x14ac:dyDescent="0.25">
      <c r="A248" s="184">
        <v>7000020</v>
      </c>
      <c r="B248" s="184" t="s">
        <v>563</v>
      </c>
      <c r="C248" s="184">
        <v>-1238526.26</v>
      </c>
      <c r="D248" s="184">
        <v>-800413.08</v>
      </c>
      <c r="E248" s="184">
        <v>-438113.18</v>
      </c>
    </row>
    <row r="249" spans="1:5" x14ac:dyDescent="0.25">
      <c r="C249" s="184">
        <v>-1238526.26</v>
      </c>
      <c r="D249" s="184">
        <v>-800413.08</v>
      </c>
      <c r="E249" s="184">
        <v>-438113.18</v>
      </c>
    </row>
    <row r="250" spans="1:5" x14ac:dyDescent="0.25">
      <c r="A250" s="184" t="s">
        <v>669</v>
      </c>
      <c r="C250" s="184">
        <v>-1436692.7</v>
      </c>
      <c r="D250" s="184">
        <v>-817883.08</v>
      </c>
      <c r="E250" s="184">
        <v>-618809.62</v>
      </c>
    </row>
    <row r="252" spans="1:5" x14ac:dyDescent="0.25">
      <c r="A252" s="184" t="s">
        <v>667</v>
      </c>
      <c r="C252" s="184">
        <v>-5261824.43</v>
      </c>
      <c r="D252" s="184">
        <v>-3519693.44</v>
      </c>
      <c r="E252" s="184">
        <v>-1742130.99</v>
      </c>
    </row>
    <row r="253" spans="1:5" x14ac:dyDescent="0.25">
      <c r="A253" s="184" t="s">
        <v>668</v>
      </c>
    </row>
    <row r="262" spans="1:5" x14ac:dyDescent="0.25">
      <c r="A262" s="184" t="s">
        <v>644</v>
      </c>
      <c r="E262" s="184" t="s">
        <v>645</v>
      </c>
    </row>
    <row r="263" spans="1:5" x14ac:dyDescent="0.25">
      <c r="A263" s="184" t="s">
        <v>646</v>
      </c>
      <c r="E263" s="184" t="s">
        <v>647</v>
      </c>
    </row>
    <row r="265" spans="1:5" x14ac:dyDescent="0.25">
      <c r="A265" s="184" t="s">
        <v>810</v>
      </c>
    </row>
    <row r="266" spans="1:5" x14ac:dyDescent="0.25">
      <c r="A266" s="184" t="s">
        <v>810</v>
      </c>
    </row>
    <row r="267" spans="1:5" x14ac:dyDescent="0.25">
      <c r="A267" s="184">
        <v>6241913</v>
      </c>
      <c r="B267" s="184" t="s">
        <v>811</v>
      </c>
      <c r="C267" s="184">
        <v>21338.31</v>
      </c>
      <c r="D267" s="184">
        <v>2126.0100000000002</v>
      </c>
      <c r="E267" s="184">
        <v>19212.3</v>
      </c>
    </row>
    <row r="268" spans="1:5" x14ac:dyDescent="0.25">
      <c r="C268" s="184">
        <v>21338.31</v>
      </c>
      <c r="D268" s="184">
        <v>2126.0100000000002</v>
      </c>
      <c r="E268" s="184">
        <v>19212.3</v>
      </c>
    </row>
    <row r="269" spans="1:5" x14ac:dyDescent="0.25">
      <c r="A269" s="184">
        <v>6241912</v>
      </c>
      <c r="B269" s="184" t="s">
        <v>812</v>
      </c>
      <c r="C269" s="184">
        <v>18041.27</v>
      </c>
      <c r="D269" s="184">
        <v>13216.17</v>
      </c>
      <c r="E269" s="184">
        <v>4825.1000000000004</v>
      </c>
    </row>
    <row r="270" spans="1:5" x14ac:dyDescent="0.25">
      <c r="C270" s="184">
        <v>18041.27</v>
      </c>
      <c r="D270" s="184">
        <v>13216.17</v>
      </c>
      <c r="E270" s="184">
        <v>4825.1000000000004</v>
      </c>
    </row>
    <row r="271" spans="1:5" x14ac:dyDescent="0.25">
      <c r="A271" s="184">
        <v>6241911</v>
      </c>
      <c r="B271" s="184" t="s">
        <v>814</v>
      </c>
      <c r="C271" s="184">
        <v>167977.22</v>
      </c>
      <c r="D271" s="184">
        <v>112890.68</v>
      </c>
      <c r="E271" s="184">
        <v>55086.54</v>
      </c>
    </row>
    <row r="272" spans="1:5" x14ac:dyDescent="0.25">
      <c r="C272" s="184">
        <v>167977.22</v>
      </c>
      <c r="D272" s="184">
        <v>112890.68</v>
      </c>
      <c r="E272" s="184">
        <v>55086.54</v>
      </c>
    </row>
    <row r="273" spans="1:5" x14ac:dyDescent="0.25">
      <c r="A273" s="184" t="s">
        <v>810</v>
      </c>
      <c r="C273" s="184">
        <v>207356.79999999999</v>
      </c>
      <c r="D273" s="184">
        <v>128232.86</v>
      </c>
      <c r="E273" s="184">
        <v>79123.94</v>
      </c>
    </row>
    <row r="275" spans="1:5" x14ac:dyDescent="0.25">
      <c r="A275" s="184" t="s">
        <v>810</v>
      </c>
      <c r="C275" s="184">
        <v>207356.79999999999</v>
      </c>
      <c r="D275" s="184">
        <v>128232.86</v>
      </c>
      <c r="E275" s="184">
        <v>79123.94</v>
      </c>
    </row>
    <row r="284" spans="1:5" x14ac:dyDescent="0.25">
      <c r="A284" s="184" t="s">
        <v>644</v>
      </c>
      <c r="E284" s="184" t="s">
        <v>645</v>
      </c>
    </row>
    <row r="285" spans="1:5" x14ac:dyDescent="0.25">
      <c r="A285" s="184" t="s">
        <v>646</v>
      </c>
      <c r="E285" s="184" t="s">
        <v>647</v>
      </c>
    </row>
    <row r="287" spans="1:5" x14ac:dyDescent="0.25">
      <c r="A287" s="184" t="s">
        <v>671</v>
      </c>
    </row>
    <row r="288" spans="1:5" x14ac:dyDescent="0.25">
      <c r="A288" s="184" t="s">
        <v>672</v>
      </c>
    </row>
    <row r="289" spans="1:5" x14ac:dyDescent="0.25">
      <c r="A289" s="184">
        <v>6240000</v>
      </c>
      <c r="B289" s="184" t="s">
        <v>558</v>
      </c>
      <c r="C289" s="184">
        <v>61635.61</v>
      </c>
      <c r="D289" s="184">
        <v>46332.24</v>
      </c>
      <c r="E289" s="184">
        <v>15303.37</v>
      </c>
    </row>
    <row r="290" spans="1:5" x14ac:dyDescent="0.25">
      <c r="C290" s="184">
        <v>61635.61</v>
      </c>
      <c r="D290" s="184">
        <v>46332.24</v>
      </c>
      <c r="E290" s="184">
        <v>15303.37</v>
      </c>
    </row>
    <row r="291" spans="1:5" x14ac:dyDescent="0.25">
      <c r="A291" s="184">
        <v>6242000</v>
      </c>
      <c r="B291" s="184" t="s">
        <v>673</v>
      </c>
      <c r="C291" s="184">
        <v>3831.67</v>
      </c>
      <c r="D291" s="184">
        <v>3165.49</v>
      </c>
      <c r="E291" s="184">
        <v>666.18</v>
      </c>
    </row>
    <row r="292" spans="1:5" x14ac:dyDescent="0.25">
      <c r="C292" s="184">
        <v>3831.67</v>
      </c>
      <c r="D292" s="184">
        <v>3165.49</v>
      </c>
      <c r="E292" s="184">
        <v>666.18</v>
      </c>
    </row>
    <row r="293" spans="1:5" x14ac:dyDescent="0.25">
      <c r="A293" s="184">
        <v>6251901</v>
      </c>
      <c r="B293" s="184" t="s">
        <v>675</v>
      </c>
      <c r="C293" s="184">
        <v>33794.47</v>
      </c>
      <c r="D293" s="184">
        <v>26037.84</v>
      </c>
      <c r="E293" s="184">
        <v>7756.63</v>
      </c>
    </row>
    <row r="294" spans="1:5" x14ac:dyDescent="0.25">
      <c r="A294" s="184">
        <v>6270407</v>
      </c>
      <c r="B294" s="184" t="s">
        <v>817</v>
      </c>
      <c r="C294" s="184">
        <v>415.15</v>
      </c>
      <c r="D294" s="184">
        <v>415.15</v>
      </c>
      <c r="E294" s="184">
        <v>0</v>
      </c>
    </row>
    <row r="295" spans="1:5" x14ac:dyDescent="0.25">
      <c r="A295" s="184">
        <v>6297200</v>
      </c>
      <c r="B295" s="184" t="s">
        <v>676</v>
      </c>
      <c r="C295" s="184">
        <v>47151.16</v>
      </c>
      <c r="D295" s="184">
        <v>37545.160000000003</v>
      </c>
      <c r="E295" s="184">
        <v>9606</v>
      </c>
    </row>
    <row r="296" spans="1:5" x14ac:dyDescent="0.25">
      <c r="A296" s="184">
        <v>6299611</v>
      </c>
      <c r="B296" s="184" t="s">
        <v>818</v>
      </c>
      <c r="C296" s="184">
        <v>33008.93</v>
      </c>
      <c r="D296" s="184">
        <v>25488.46</v>
      </c>
      <c r="E296" s="184">
        <v>7520.47</v>
      </c>
    </row>
    <row r="297" spans="1:5" x14ac:dyDescent="0.25">
      <c r="A297" s="184">
        <v>6400000</v>
      </c>
      <c r="B297" s="184" t="s">
        <v>677</v>
      </c>
      <c r="C297" s="184">
        <v>547453.72</v>
      </c>
      <c r="D297" s="184">
        <v>407810.26</v>
      </c>
      <c r="E297" s="184">
        <v>139643.46</v>
      </c>
    </row>
    <row r="298" spans="1:5" x14ac:dyDescent="0.25">
      <c r="A298" s="184">
        <v>6400001</v>
      </c>
      <c r="B298" s="184" t="s">
        <v>678</v>
      </c>
      <c r="C298" s="184">
        <v>104203.11</v>
      </c>
      <c r="D298" s="184">
        <v>76432.03</v>
      </c>
      <c r="E298" s="184">
        <v>27771.08</v>
      </c>
    </row>
    <row r="299" spans="1:5" x14ac:dyDescent="0.25">
      <c r="A299" s="184">
        <v>6401001</v>
      </c>
      <c r="B299" s="184" t="s">
        <v>679</v>
      </c>
      <c r="C299" s="184">
        <v>56686.02</v>
      </c>
      <c r="D299" s="184">
        <v>42603.360000000001</v>
      </c>
      <c r="E299" s="184">
        <v>14082.66</v>
      </c>
    </row>
    <row r="300" spans="1:5" x14ac:dyDescent="0.25">
      <c r="A300" s="184">
        <v>6401002</v>
      </c>
      <c r="B300" s="184" t="s">
        <v>680</v>
      </c>
      <c r="C300" s="184">
        <v>7097.81</v>
      </c>
      <c r="D300" s="184">
        <v>3250.4</v>
      </c>
      <c r="E300" s="184">
        <v>3847.41</v>
      </c>
    </row>
    <row r="301" spans="1:5" x14ac:dyDescent="0.25">
      <c r="A301" s="184">
        <v>6410000</v>
      </c>
      <c r="B301" s="184" t="s">
        <v>547</v>
      </c>
      <c r="C301" s="184">
        <v>211474.3</v>
      </c>
      <c r="D301" s="184">
        <v>154566.97</v>
      </c>
      <c r="E301" s="184">
        <v>56907.33</v>
      </c>
    </row>
    <row r="302" spans="1:5" x14ac:dyDescent="0.25">
      <c r="A302" s="184">
        <v>6420000</v>
      </c>
      <c r="B302" s="184" t="s">
        <v>681</v>
      </c>
      <c r="C302" s="184">
        <v>103628</v>
      </c>
      <c r="D302" s="184">
        <v>78051.649999999994</v>
      </c>
      <c r="E302" s="184">
        <v>25576.35</v>
      </c>
    </row>
    <row r="303" spans="1:5" x14ac:dyDescent="0.25">
      <c r="A303" s="184">
        <v>6492000</v>
      </c>
      <c r="B303" s="184" t="s">
        <v>852</v>
      </c>
      <c r="C303" s="184">
        <v>6653.7</v>
      </c>
      <c r="D303" s="184">
        <v>2982.76</v>
      </c>
      <c r="E303" s="184">
        <v>3670.94</v>
      </c>
    </row>
    <row r="304" spans="1:5" x14ac:dyDescent="0.25">
      <c r="C304" s="184">
        <v>1151566.3700000001</v>
      </c>
      <c r="D304" s="184">
        <v>855184.04</v>
      </c>
      <c r="E304" s="184">
        <v>296382.33</v>
      </c>
    </row>
    <row r="305" spans="1:5" x14ac:dyDescent="0.25">
      <c r="A305" s="184">
        <v>6251030</v>
      </c>
      <c r="B305" s="184" t="s">
        <v>683</v>
      </c>
      <c r="C305" s="184">
        <v>8051.23</v>
      </c>
      <c r="D305" s="184">
        <v>4916.8100000000004</v>
      </c>
      <c r="E305" s="184">
        <v>3134.42</v>
      </c>
    </row>
    <row r="306" spans="1:5" x14ac:dyDescent="0.25">
      <c r="A306" s="184">
        <v>6283100</v>
      </c>
      <c r="B306" s="184" t="s">
        <v>684</v>
      </c>
      <c r="C306" s="184">
        <v>3161.97</v>
      </c>
      <c r="D306" s="184">
        <v>2056.12</v>
      </c>
      <c r="E306" s="184">
        <v>1105.8499999999999</v>
      </c>
    </row>
    <row r="307" spans="1:5" x14ac:dyDescent="0.25">
      <c r="A307" s="184">
        <v>6290600</v>
      </c>
      <c r="B307" s="184" t="s">
        <v>685</v>
      </c>
      <c r="C307" s="184">
        <v>1508.84</v>
      </c>
      <c r="D307" s="184">
        <v>704.45</v>
      </c>
      <c r="E307" s="184">
        <v>804.39</v>
      </c>
    </row>
    <row r="308" spans="1:5" x14ac:dyDescent="0.25">
      <c r="A308" s="184">
        <v>6299900</v>
      </c>
      <c r="B308" s="184" t="s">
        <v>686</v>
      </c>
      <c r="C308" s="184">
        <v>56931.23</v>
      </c>
      <c r="D308" s="184">
        <v>40792.82</v>
      </c>
      <c r="E308" s="184">
        <v>16138.41</v>
      </c>
    </row>
    <row r="309" spans="1:5" x14ac:dyDescent="0.25">
      <c r="C309" s="184">
        <v>69653.27</v>
      </c>
      <c r="D309" s="184">
        <v>48470.2</v>
      </c>
      <c r="E309" s="184">
        <v>21183.07</v>
      </c>
    </row>
    <row r="310" spans="1:5" x14ac:dyDescent="0.25">
      <c r="A310" s="184" t="s">
        <v>672</v>
      </c>
      <c r="C310" s="184">
        <v>1286686.92</v>
      </c>
      <c r="D310" s="184">
        <v>953151.97</v>
      </c>
      <c r="E310" s="184">
        <v>333534.95</v>
      </c>
    </row>
    <row r="312" spans="1:5" x14ac:dyDescent="0.25">
      <c r="A312" s="184" t="s">
        <v>687</v>
      </c>
    </row>
    <row r="313" spans="1:5" x14ac:dyDescent="0.25">
      <c r="A313" s="184">
        <v>6000100</v>
      </c>
      <c r="B313" s="184" t="s">
        <v>688</v>
      </c>
      <c r="C313" s="184">
        <v>1995270.97</v>
      </c>
      <c r="D313" s="184">
        <v>1675860.18</v>
      </c>
      <c r="E313" s="184">
        <v>319410.78999999998</v>
      </c>
    </row>
    <row r="314" spans="1:5" x14ac:dyDescent="0.25">
      <c r="A314" s="184">
        <v>6000150</v>
      </c>
      <c r="B314" s="184" t="s">
        <v>820</v>
      </c>
      <c r="C314" s="184">
        <v>584654.34</v>
      </c>
      <c r="D314" s="184">
        <v>481612.09</v>
      </c>
      <c r="E314" s="184">
        <v>103042.25</v>
      </c>
    </row>
    <row r="315" spans="1:5" x14ac:dyDescent="0.25">
      <c r="A315" s="184">
        <v>6008201</v>
      </c>
      <c r="B315" s="184" t="s">
        <v>689</v>
      </c>
      <c r="C315" s="184">
        <v>1775.46</v>
      </c>
      <c r="D315" s="184">
        <v>1775.46</v>
      </c>
      <c r="E315" s="184">
        <v>0</v>
      </c>
    </row>
    <row r="316" spans="1:5" x14ac:dyDescent="0.25">
      <c r="A316" s="184">
        <v>6008202</v>
      </c>
      <c r="B316" s="184" t="s">
        <v>690</v>
      </c>
      <c r="C316" s="184">
        <v>18428.82</v>
      </c>
      <c r="D316" s="184">
        <v>16505.64</v>
      </c>
      <c r="E316" s="184">
        <v>1923.18</v>
      </c>
    </row>
    <row r="317" spans="1:5" x14ac:dyDescent="0.25">
      <c r="A317" s="184">
        <v>6008400</v>
      </c>
      <c r="B317" s="184" t="s">
        <v>691</v>
      </c>
      <c r="C317" s="184">
        <v>7728.95</v>
      </c>
      <c r="D317" s="184">
        <v>7279.32</v>
      </c>
      <c r="E317" s="184">
        <v>449.63</v>
      </c>
    </row>
    <row r="318" spans="1:5" x14ac:dyDescent="0.25">
      <c r="A318" s="184">
        <v>6008900</v>
      </c>
      <c r="B318" s="184" t="s">
        <v>692</v>
      </c>
      <c r="C318" s="184">
        <v>87023.46</v>
      </c>
      <c r="D318" s="184">
        <v>85362.59</v>
      </c>
      <c r="E318" s="184">
        <v>1660.87</v>
      </c>
    </row>
    <row r="319" spans="1:5" x14ac:dyDescent="0.25">
      <c r="A319" s="184">
        <v>6009000</v>
      </c>
      <c r="B319" s="184" t="s">
        <v>693</v>
      </c>
      <c r="C319" s="184">
        <v>3571.81</v>
      </c>
      <c r="D319" s="184">
        <v>-298.56</v>
      </c>
      <c r="E319" s="184">
        <v>3870.37</v>
      </c>
    </row>
    <row r="320" spans="1:5" x14ac:dyDescent="0.25">
      <c r="A320" s="184">
        <v>6009900</v>
      </c>
      <c r="B320" s="184" t="s">
        <v>821</v>
      </c>
      <c r="C320" s="184">
        <v>-49747.58</v>
      </c>
      <c r="D320" s="184">
        <v>-49747.58</v>
      </c>
      <c r="E320" s="184">
        <v>0</v>
      </c>
    </row>
    <row r="321" spans="1:5" x14ac:dyDescent="0.25">
      <c r="A321" s="184">
        <v>6030000</v>
      </c>
      <c r="B321" s="184" t="s">
        <v>694</v>
      </c>
      <c r="C321" s="184">
        <v>57454.33</v>
      </c>
      <c r="D321" s="184">
        <v>48992.94</v>
      </c>
      <c r="E321" s="184">
        <v>8461.39</v>
      </c>
    </row>
    <row r="322" spans="1:5" x14ac:dyDescent="0.25">
      <c r="A322" s="184">
        <v>6031000</v>
      </c>
      <c r="B322" s="184" t="s">
        <v>695</v>
      </c>
      <c r="C322" s="184">
        <v>5618.32</v>
      </c>
      <c r="D322" s="184">
        <v>2963.77</v>
      </c>
      <c r="E322" s="184">
        <v>2654.55</v>
      </c>
    </row>
    <row r="323" spans="1:5" x14ac:dyDescent="0.25">
      <c r="A323" s="184">
        <v>6492601</v>
      </c>
      <c r="B323" s="184" t="s">
        <v>714</v>
      </c>
      <c r="C323" s="184">
        <v>-16.29</v>
      </c>
      <c r="D323" s="184">
        <v>-16.29</v>
      </c>
      <c r="E323" s="184">
        <v>0</v>
      </c>
    </row>
    <row r="324" spans="1:5" x14ac:dyDescent="0.25">
      <c r="A324" s="184">
        <v>7100000</v>
      </c>
      <c r="B324" s="184" t="s">
        <v>551</v>
      </c>
      <c r="C324" s="184">
        <v>-407293</v>
      </c>
      <c r="D324" s="184">
        <v>-465743.12</v>
      </c>
      <c r="E324" s="184">
        <v>58450.12</v>
      </c>
    </row>
    <row r="325" spans="1:5" x14ac:dyDescent="0.25">
      <c r="C325" s="184">
        <v>2304469.59</v>
      </c>
      <c r="D325" s="184">
        <v>1804546.44</v>
      </c>
      <c r="E325" s="184">
        <v>499923.15</v>
      </c>
    </row>
    <row r="326" spans="1:5" x14ac:dyDescent="0.25">
      <c r="A326" s="184" t="s">
        <v>687</v>
      </c>
      <c r="C326" s="184">
        <v>2304469.59</v>
      </c>
      <c r="D326" s="184">
        <v>1804546.44</v>
      </c>
      <c r="E326" s="184">
        <v>499923.15</v>
      </c>
    </row>
    <row r="328" spans="1:5" x14ac:dyDescent="0.25">
      <c r="A328" s="184" t="s">
        <v>671</v>
      </c>
      <c r="C328" s="184">
        <v>3591156.51</v>
      </c>
      <c r="D328" s="184">
        <v>2757698.41</v>
      </c>
      <c r="E328" s="184">
        <v>833458.1</v>
      </c>
    </row>
    <row r="337" spans="1:5" x14ac:dyDescent="0.25">
      <c r="A337" s="184" t="s">
        <v>644</v>
      </c>
      <c r="E337" s="184" t="s">
        <v>645</v>
      </c>
    </row>
    <row r="338" spans="1:5" x14ac:dyDescent="0.25">
      <c r="A338" s="184" t="s">
        <v>646</v>
      </c>
      <c r="E338" s="184" t="s">
        <v>647</v>
      </c>
    </row>
    <row r="340" spans="1:5" x14ac:dyDescent="0.25">
      <c r="A340" s="184" t="s">
        <v>717</v>
      </c>
    </row>
    <row r="341" spans="1:5" x14ac:dyDescent="0.25">
      <c r="A341" s="184" t="s">
        <v>718</v>
      </c>
    </row>
    <row r="342" spans="1:5" x14ac:dyDescent="0.25">
      <c r="A342" s="184">
        <v>6241901</v>
      </c>
      <c r="B342" s="184" t="s">
        <v>536</v>
      </c>
      <c r="C342" s="184">
        <v>387307.42</v>
      </c>
      <c r="D342" s="184">
        <v>166917.34</v>
      </c>
      <c r="E342" s="184">
        <v>220390.08</v>
      </c>
    </row>
    <row r="343" spans="1:5" x14ac:dyDescent="0.25">
      <c r="C343" s="184">
        <v>387307.42</v>
      </c>
      <c r="D343" s="184">
        <v>166917.34</v>
      </c>
      <c r="E343" s="184">
        <v>220390.08</v>
      </c>
    </row>
    <row r="344" spans="1:5" x14ac:dyDescent="0.25">
      <c r="A344" s="184">
        <v>6270402</v>
      </c>
      <c r="B344" s="184" t="s">
        <v>823</v>
      </c>
      <c r="C344" s="184">
        <v>8363.9599999999991</v>
      </c>
      <c r="D344" s="184">
        <v>7210.7</v>
      </c>
      <c r="E344" s="184">
        <v>1153.26</v>
      </c>
    </row>
    <row r="345" spans="1:5" x14ac:dyDescent="0.25">
      <c r="C345" s="184">
        <v>8363.9599999999991</v>
      </c>
      <c r="D345" s="184">
        <v>7210.7</v>
      </c>
      <c r="E345" s="184">
        <v>1153.26</v>
      </c>
    </row>
    <row r="346" spans="1:5" x14ac:dyDescent="0.25">
      <c r="A346" s="184">
        <v>6239001</v>
      </c>
      <c r="B346" s="184" t="s">
        <v>824</v>
      </c>
      <c r="C346" s="184">
        <v>2020.83</v>
      </c>
      <c r="D346" s="184">
        <v>0</v>
      </c>
      <c r="E346" s="184">
        <v>2020.83</v>
      </c>
    </row>
    <row r="347" spans="1:5" x14ac:dyDescent="0.25">
      <c r="C347" s="184">
        <v>2020.83</v>
      </c>
      <c r="D347" s="184">
        <v>0</v>
      </c>
      <c r="E347" s="184">
        <v>2020.83</v>
      </c>
    </row>
    <row r="348" spans="1:5" x14ac:dyDescent="0.25">
      <c r="A348" s="184">
        <v>6270406</v>
      </c>
      <c r="B348" s="184" t="s">
        <v>825</v>
      </c>
      <c r="C348" s="184">
        <v>927.06</v>
      </c>
      <c r="D348" s="184">
        <v>0</v>
      </c>
      <c r="E348" s="184">
        <v>927.06</v>
      </c>
    </row>
    <row r="349" spans="1:5" x14ac:dyDescent="0.25">
      <c r="A349" s="184">
        <v>6270411</v>
      </c>
      <c r="B349" s="184" t="s">
        <v>826</v>
      </c>
      <c r="C349" s="184">
        <v>2098.88</v>
      </c>
      <c r="D349" s="184">
        <v>1963.84</v>
      </c>
      <c r="E349" s="184">
        <v>135.04</v>
      </c>
    </row>
    <row r="350" spans="1:5" x14ac:dyDescent="0.25">
      <c r="A350" s="184">
        <v>6490000</v>
      </c>
      <c r="B350" s="184" t="s">
        <v>719</v>
      </c>
      <c r="C350" s="184">
        <v>31049.03</v>
      </c>
      <c r="D350" s="184">
        <v>27794.43</v>
      </c>
      <c r="E350" s="184">
        <v>3254.6</v>
      </c>
    </row>
    <row r="351" spans="1:5" x14ac:dyDescent="0.25">
      <c r="C351" s="184">
        <v>34074.97</v>
      </c>
      <c r="D351" s="184">
        <v>29758.27</v>
      </c>
      <c r="E351" s="184">
        <v>4316.7</v>
      </c>
    </row>
    <row r="352" spans="1:5" x14ac:dyDescent="0.25">
      <c r="A352" s="184">
        <v>6050010</v>
      </c>
      <c r="B352" s="184" t="s">
        <v>827</v>
      </c>
      <c r="C352" s="184">
        <v>29643.13</v>
      </c>
      <c r="D352" s="184">
        <v>26726.44</v>
      </c>
      <c r="E352" s="184">
        <v>2916.69</v>
      </c>
    </row>
    <row r="353" spans="1:5" x14ac:dyDescent="0.25">
      <c r="A353" s="184">
        <v>6270404</v>
      </c>
      <c r="B353" s="184" t="s">
        <v>828</v>
      </c>
      <c r="C353" s="184">
        <v>41095.43</v>
      </c>
      <c r="D353" s="184">
        <v>38849.9</v>
      </c>
      <c r="E353" s="184">
        <v>2245.5300000000002</v>
      </c>
    </row>
    <row r="354" spans="1:5" x14ac:dyDescent="0.25">
      <c r="C354" s="184">
        <v>70738.559999999998</v>
      </c>
      <c r="D354" s="184">
        <v>65576.34</v>
      </c>
      <c r="E354" s="184">
        <v>5162.22</v>
      </c>
    </row>
    <row r="355" spans="1:5" x14ac:dyDescent="0.25">
      <c r="A355" s="184">
        <v>6299100</v>
      </c>
      <c r="B355" s="184" t="s">
        <v>830</v>
      </c>
      <c r="C355" s="184">
        <v>2959.47</v>
      </c>
      <c r="D355" s="184">
        <v>1742.95</v>
      </c>
      <c r="E355" s="184">
        <v>1216.52</v>
      </c>
    </row>
    <row r="356" spans="1:5" x14ac:dyDescent="0.25">
      <c r="A356" s="184">
        <v>6299606</v>
      </c>
      <c r="B356" s="184" t="s">
        <v>831</v>
      </c>
      <c r="C356" s="184">
        <v>11769.64</v>
      </c>
      <c r="D356" s="184">
        <v>4086.1</v>
      </c>
      <c r="E356" s="184">
        <v>7683.54</v>
      </c>
    </row>
    <row r="357" spans="1:5" x14ac:dyDescent="0.25">
      <c r="C357" s="184">
        <v>14729.11</v>
      </c>
      <c r="D357" s="184">
        <v>5829.05</v>
      </c>
      <c r="E357" s="184">
        <v>8900.06</v>
      </c>
    </row>
    <row r="358" spans="1:5" x14ac:dyDescent="0.25">
      <c r="A358" s="184">
        <v>6270300</v>
      </c>
      <c r="B358" s="184" t="s">
        <v>832</v>
      </c>
      <c r="C358" s="184">
        <v>19338.919999999998</v>
      </c>
      <c r="D358" s="184">
        <v>17715.759999999998</v>
      </c>
      <c r="E358" s="184">
        <v>1623.16</v>
      </c>
    </row>
    <row r="359" spans="1:5" x14ac:dyDescent="0.25">
      <c r="C359" s="184">
        <v>19338.919999999998</v>
      </c>
      <c r="D359" s="184">
        <v>17715.759999999998</v>
      </c>
      <c r="E359" s="184">
        <v>1623.16</v>
      </c>
    </row>
    <row r="360" spans="1:5" x14ac:dyDescent="0.25">
      <c r="A360" s="184" t="s">
        <v>718</v>
      </c>
      <c r="C360" s="184">
        <v>536573.77</v>
      </c>
      <c r="D360" s="184">
        <v>293007.46000000002</v>
      </c>
      <c r="E360" s="184">
        <v>243566.31</v>
      </c>
    </row>
    <row r="362" spans="1:5" x14ac:dyDescent="0.25">
      <c r="A362" s="184" t="s">
        <v>720</v>
      </c>
    </row>
    <row r="363" spans="1:5" x14ac:dyDescent="0.25">
      <c r="A363" s="184">
        <v>6251300</v>
      </c>
      <c r="B363" s="184" t="s">
        <v>833</v>
      </c>
      <c r="C363" s="184">
        <v>8400.0400000000009</v>
      </c>
      <c r="D363" s="184">
        <v>6302.71</v>
      </c>
      <c r="E363" s="184">
        <v>2097.33</v>
      </c>
    </row>
    <row r="364" spans="1:5" x14ac:dyDescent="0.25">
      <c r="A364" s="184">
        <v>6299603</v>
      </c>
      <c r="B364" s="184" t="s">
        <v>542</v>
      </c>
      <c r="C364" s="184">
        <v>18374.29</v>
      </c>
      <c r="D364" s="184">
        <v>14217.52</v>
      </c>
      <c r="E364" s="184">
        <v>4156.7700000000004</v>
      </c>
    </row>
    <row r="365" spans="1:5" x14ac:dyDescent="0.25">
      <c r="A365" s="184">
        <v>6400011</v>
      </c>
      <c r="B365" s="184" t="s">
        <v>721</v>
      </c>
      <c r="C365" s="184">
        <v>182995.91</v>
      </c>
      <c r="D365" s="184">
        <v>110339.66</v>
      </c>
      <c r="E365" s="184">
        <v>72656.25</v>
      </c>
    </row>
    <row r="366" spans="1:5" x14ac:dyDescent="0.25">
      <c r="C366" s="184">
        <v>209770.23999999999</v>
      </c>
      <c r="D366" s="184">
        <v>130859.89</v>
      </c>
      <c r="E366" s="184">
        <v>78910.350000000006</v>
      </c>
    </row>
    <row r="367" spans="1:5" x14ac:dyDescent="0.25">
      <c r="A367" s="184">
        <v>6295101</v>
      </c>
      <c r="B367" s="184" t="s">
        <v>834</v>
      </c>
      <c r="C367" s="184">
        <v>3735.99</v>
      </c>
      <c r="D367" s="184">
        <v>682.21</v>
      </c>
      <c r="E367" s="184">
        <v>3053.78</v>
      </c>
    </row>
    <row r="368" spans="1:5" x14ac:dyDescent="0.25">
      <c r="A368" s="184">
        <v>6297100</v>
      </c>
      <c r="B368" s="184" t="s">
        <v>853</v>
      </c>
      <c r="C368" s="184">
        <v>2663.33</v>
      </c>
      <c r="D368" s="184">
        <v>0</v>
      </c>
      <c r="E368" s="184">
        <v>2663.33</v>
      </c>
    </row>
    <row r="369" spans="1:5" x14ac:dyDescent="0.25">
      <c r="C369" s="184">
        <v>6399.32</v>
      </c>
      <c r="D369" s="184">
        <v>682.21</v>
      </c>
      <c r="E369" s="184">
        <v>5717.11</v>
      </c>
    </row>
    <row r="370" spans="1:5" x14ac:dyDescent="0.25">
      <c r="A370" s="184">
        <v>6296101</v>
      </c>
      <c r="B370" s="184" t="s">
        <v>835</v>
      </c>
      <c r="C370" s="184">
        <v>299.77999999999997</v>
      </c>
      <c r="D370" s="184">
        <v>199.6</v>
      </c>
      <c r="E370" s="184">
        <v>100.18</v>
      </c>
    </row>
    <row r="371" spans="1:5" x14ac:dyDescent="0.25">
      <c r="C371" s="184">
        <v>299.77999999999997</v>
      </c>
      <c r="D371" s="184">
        <v>199.6</v>
      </c>
      <c r="E371" s="184">
        <v>100.18</v>
      </c>
    </row>
    <row r="372" spans="1:5" x14ac:dyDescent="0.25">
      <c r="A372" s="184">
        <v>6235200</v>
      </c>
      <c r="B372" s="184" t="s">
        <v>723</v>
      </c>
      <c r="C372" s="184">
        <v>351721.01</v>
      </c>
      <c r="D372" s="184">
        <v>349541.67</v>
      </c>
      <c r="E372" s="184">
        <v>2179.34</v>
      </c>
    </row>
    <row r="373" spans="1:5" x14ac:dyDescent="0.25">
      <c r="C373" s="184">
        <v>351721.01</v>
      </c>
      <c r="D373" s="184">
        <v>349541.67</v>
      </c>
      <c r="E373" s="184">
        <v>2179.34</v>
      </c>
    </row>
    <row r="374" spans="1:5" x14ac:dyDescent="0.25">
      <c r="A374" s="184">
        <v>6221601</v>
      </c>
      <c r="B374" s="184" t="s">
        <v>724</v>
      </c>
      <c r="C374" s="184">
        <v>373.14</v>
      </c>
      <c r="D374" s="184">
        <v>213.22</v>
      </c>
      <c r="E374" s="184">
        <v>159.91999999999999</v>
      </c>
    </row>
    <row r="375" spans="1:5" x14ac:dyDescent="0.25">
      <c r="C375" s="184">
        <v>373.14</v>
      </c>
      <c r="D375" s="184">
        <v>213.22</v>
      </c>
      <c r="E375" s="184">
        <v>159.91999999999999</v>
      </c>
    </row>
    <row r="376" spans="1:5" x14ac:dyDescent="0.25">
      <c r="A376" s="184" t="s">
        <v>720</v>
      </c>
      <c r="C376" s="184">
        <v>568563.49</v>
      </c>
      <c r="D376" s="184">
        <v>481496.59</v>
      </c>
      <c r="E376" s="184">
        <v>87066.9</v>
      </c>
    </row>
    <row r="378" spans="1:5" x14ac:dyDescent="0.25">
      <c r="A378" s="184" t="s">
        <v>836</v>
      </c>
    </row>
    <row r="379" spans="1:5" x14ac:dyDescent="0.25">
      <c r="A379" s="184">
        <v>6270413</v>
      </c>
      <c r="B379" s="184" t="s">
        <v>854</v>
      </c>
      <c r="C379" s="184">
        <v>23989.19</v>
      </c>
      <c r="D379" s="184">
        <v>18007.849999999999</v>
      </c>
      <c r="E379" s="184">
        <v>5981.34</v>
      </c>
    </row>
    <row r="380" spans="1:5" x14ac:dyDescent="0.25">
      <c r="A380" s="184">
        <v>6270700</v>
      </c>
      <c r="B380" s="184" t="s">
        <v>837</v>
      </c>
      <c r="C380" s="184">
        <v>56713.42</v>
      </c>
      <c r="D380" s="184">
        <v>21720.13</v>
      </c>
      <c r="E380" s="184">
        <v>34993.29</v>
      </c>
    </row>
    <row r="381" spans="1:5" x14ac:dyDescent="0.25">
      <c r="C381" s="184">
        <v>80702.61</v>
      </c>
      <c r="D381" s="184">
        <v>39727.980000000003</v>
      </c>
      <c r="E381" s="184">
        <v>40974.629999999997</v>
      </c>
    </row>
    <row r="382" spans="1:5" x14ac:dyDescent="0.25">
      <c r="A382" s="184" t="s">
        <v>836</v>
      </c>
      <c r="C382" s="184">
        <v>80702.61</v>
      </c>
      <c r="D382" s="184">
        <v>39727.980000000003</v>
      </c>
      <c r="E382" s="184">
        <v>40974.629999999997</v>
      </c>
    </row>
    <row r="384" spans="1:5" x14ac:dyDescent="0.25">
      <c r="A384" s="184" t="s">
        <v>725</v>
      </c>
    </row>
    <row r="385" spans="1:5" x14ac:dyDescent="0.25">
      <c r="A385" s="184">
        <v>6233103</v>
      </c>
      <c r="B385" s="184" t="s">
        <v>726</v>
      </c>
      <c r="C385" s="184">
        <v>4665.24</v>
      </c>
      <c r="D385" s="184">
        <v>3797.8</v>
      </c>
      <c r="E385" s="184">
        <v>867.44</v>
      </c>
    </row>
    <row r="386" spans="1:5" x14ac:dyDescent="0.25">
      <c r="C386" s="184">
        <v>4665.24</v>
      </c>
      <c r="D386" s="184">
        <v>3797.8</v>
      </c>
      <c r="E386" s="184">
        <v>867.44</v>
      </c>
    </row>
    <row r="387" spans="1:5" x14ac:dyDescent="0.25">
      <c r="A387" s="184" t="s">
        <v>725</v>
      </c>
      <c r="C387" s="184">
        <v>4665.24</v>
      </c>
      <c r="D387" s="184">
        <v>3797.8</v>
      </c>
      <c r="E387" s="184">
        <v>867.44</v>
      </c>
    </row>
    <row r="389" spans="1:5" x14ac:dyDescent="0.25">
      <c r="A389" s="184" t="s">
        <v>727</v>
      </c>
    </row>
    <row r="390" spans="1:5" x14ac:dyDescent="0.25">
      <c r="A390" s="184">
        <v>6234000</v>
      </c>
      <c r="B390" s="184" t="s">
        <v>838</v>
      </c>
      <c r="C390" s="184">
        <v>32.36</v>
      </c>
      <c r="D390" s="184">
        <v>32.36</v>
      </c>
      <c r="E390" s="184">
        <v>0</v>
      </c>
    </row>
    <row r="391" spans="1:5" x14ac:dyDescent="0.25">
      <c r="C391" s="184">
        <v>32.36</v>
      </c>
      <c r="D391" s="184">
        <v>32.36</v>
      </c>
      <c r="E391" s="184">
        <v>0</v>
      </c>
    </row>
    <row r="392" spans="1:5" x14ac:dyDescent="0.25">
      <c r="A392" s="184">
        <v>6212000</v>
      </c>
      <c r="B392" s="184" t="s">
        <v>839</v>
      </c>
      <c r="C392" s="184">
        <v>12566.38</v>
      </c>
      <c r="D392" s="184">
        <v>9419.7999999999993</v>
      </c>
      <c r="E392" s="184">
        <v>3146.58</v>
      </c>
    </row>
    <row r="393" spans="1:5" x14ac:dyDescent="0.25">
      <c r="C393" s="184">
        <v>12566.38</v>
      </c>
      <c r="D393" s="184">
        <v>9419.7999999999993</v>
      </c>
      <c r="E393" s="184">
        <v>3146.58</v>
      </c>
    </row>
    <row r="394" spans="1:5" x14ac:dyDescent="0.25">
      <c r="A394" s="184">
        <v>6221200</v>
      </c>
      <c r="B394" s="184" t="s">
        <v>728</v>
      </c>
      <c r="C394" s="184">
        <v>4480.83</v>
      </c>
      <c r="D394" s="184">
        <v>4480.83</v>
      </c>
      <c r="E394" s="184">
        <v>0</v>
      </c>
    </row>
    <row r="395" spans="1:5" x14ac:dyDescent="0.25">
      <c r="A395" s="184">
        <v>6221201</v>
      </c>
      <c r="B395" s="184" t="s">
        <v>855</v>
      </c>
      <c r="C395" s="184">
        <v>2626.35</v>
      </c>
      <c r="D395" s="184">
        <v>2626.35</v>
      </c>
      <c r="E395" s="184">
        <v>0</v>
      </c>
    </row>
    <row r="396" spans="1:5" x14ac:dyDescent="0.25">
      <c r="A396" s="184">
        <v>6221602</v>
      </c>
      <c r="B396" s="184" t="s">
        <v>729</v>
      </c>
      <c r="C396" s="184">
        <v>22769.68</v>
      </c>
      <c r="D396" s="184">
        <v>18593.18</v>
      </c>
      <c r="E396" s="184">
        <v>4176.5</v>
      </c>
    </row>
    <row r="397" spans="1:5" x14ac:dyDescent="0.25">
      <c r="A397" s="184">
        <v>6283101</v>
      </c>
      <c r="B397" s="184" t="s">
        <v>840</v>
      </c>
      <c r="C397" s="184">
        <v>21747.98</v>
      </c>
      <c r="D397" s="184">
        <v>11219.34</v>
      </c>
      <c r="E397" s="184">
        <v>10528.64</v>
      </c>
    </row>
    <row r="398" spans="1:5" x14ac:dyDescent="0.25">
      <c r="A398" s="184">
        <v>6283102</v>
      </c>
      <c r="B398" s="184" t="s">
        <v>731</v>
      </c>
      <c r="C398" s="184">
        <v>8114.34</v>
      </c>
      <c r="D398" s="184">
        <v>5756.8</v>
      </c>
      <c r="E398" s="184">
        <v>2357.54</v>
      </c>
    </row>
    <row r="399" spans="1:5" x14ac:dyDescent="0.25">
      <c r="A399" s="184">
        <v>6291101</v>
      </c>
      <c r="B399" s="184" t="s">
        <v>856</v>
      </c>
      <c r="C399" s="184">
        <v>457</v>
      </c>
      <c r="D399" s="184">
        <v>457</v>
      </c>
      <c r="E399" s="184">
        <v>0</v>
      </c>
    </row>
    <row r="400" spans="1:5" x14ac:dyDescent="0.25">
      <c r="A400" s="184">
        <v>6291202</v>
      </c>
      <c r="B400" s="184" t="s">
        <v>841</v>
      </c>
      <c r="C400" s="184">
        <v>12787.39</v>
      </c>
      <c r="D400" s="184">
        <v>12787.39</v>
      </c>
      <c r="E400" s="184">
        <v>0</v>
      </c>
    </row>
    <row r="401" spans="1:5" x14ac:dyDescent="0.25">
      <c r="A401" s="184">
        <v>6292100</v>
      </c>
      <c r="B401" s="184" t="s">
        <v>732</v>
      </c>
      <c r="C401" s="184">
        <v>14821.51</v>
      </c>
      <c r="D401" s="184">
        <v>9353.9500000000007</v>
      </c>
      <c r="E401" s="184">
        <v>5467.56</v>
      </c>
    </row>
    <row r="402" spans="1:5" x14ac:dyDescent="0.25">
      <c r="A402" s="184">
        <v>6299609</v>
      </c>
      <c r="B402" s="184" t="s">
        <v>857</v>
      </c>
      <c r="C402" s="184">
        <v>1741.3</v>
      </c>
      <c r="D402" s="184">
        <v>1741.3</v>
      </c>
      <c r="E402" s="184">
        <v>0</v>
      </c>
    </row>
    <row r="403" spans="1:5" x14ac:dyDescent="0.25">
      <c r="C403" s="184">
        <v>89546.38</v>
      </c>
      <c r="D403" s="184">
        <v>67016.14</v>
      </c>
      <c r="E403" s="184">
        <v>22530.240000000002</v>
      </c>
    </row>
    <row r="404" spans="1:5" x14ac:dyDescent="0.25">
      <c r="A404" s="184">
        <v>6810401</v>
      </c>
      <c r="B404" s="184" t="s">
        <v>734</v>
      </c>
      <c r="C404" s="184">
        <v>419.42</v>
      </c>
      <c r="D404" s="184">
        <v>419.42</v>
      </c>
      <c r="E404" s="184">
        <v>0</v>
      </c>
    </row>
    <row r="405" spans="1:5" x14ac:dyDescent="0.25">
      <c r="A405" s="184">
        <v>6810701</v>
      </c>
      <c r="B405" s="184" t="s">
        <v>735</v>
      </c>
      <c r="C405" s="184">
        <v>3968.68</v>
      </c>
      <c r="D405" s="184">
        <v>3968.68</v>
      </c>
      <c r="E405" s="184">
        <v>0</v>
      </c>
    </row>
    <row r="406" spans="1:5" x14ac:dyDescent="0.25">
      <c r="C406" s="184">
        <v>4388.1000000000004</v>
      </c>
      <c r="D406" s="184">
        <v>4388.1000000000004</v>
      </c>
      <c r="E406" s="184">
        <v>0</v>
      </c>
    </row>
    <row r="407" spans="1:5" x14ac:dyDescent="0.25">
      <c r="A407" s="184">
        <v>6310004</v>
      </c>
      <c r="B407" s="184" t="s">
        <v>736</v>
      </c>
      <c r="C407" s="184">
        <v>178.65</v>
      </c>
      <c r="D407" s="184">
        <v>119.71</v>
      </c>
      <c r="E407" s="184">
        <v>58.94</v>
      </c>
    </row>
    <row r="408" spans="1:5" x14ac:dyDescent="0.25">
      <c r="C408" s="184">
        <v>178.65</v>
      </c>
      <c r="D408" s="184">
        <v>119.71</v>
      </c>
      <c r="E408" s="184">
        <v>58.94</v>
      </c>
    </row>
    <row r="409" spans="1:5" x14ac:dyDescent="0.25">
      <c r="A409" s="184">
        <v>6235300</v>
      </c>
      <c r="B409" s="184" t="s">
        <v>737</v>
      </c>
      <c r="C409" s="184">
        <v>262.14999999999998</v>
      </c>
      <c r="D409" s="184">
        <v>217.15</v>
      </c>
      <c r="E409" s="184">
        <v>45</v>
      </c>
    </row>
    <row r="410" spans="1:5" x14ac:dyDescent="0.25">
      <c r="C410" s="184">
        <v>262.14999999999998</v>
      </c>
      <c r="D410" s="184">
        <v>217.15</v>
      </c>
      <c r="E410" s="184">
        <v>45</v>
      </c>
    </row>
    <row r="411" spans="1:5" x14ac:dyDescent="0.25">
      <c r="A411" s="184" t="s">
        <v>727</v>
      </c>
      <c r="C411" s="184">
        <v>106974.02</v>
      </c>
      <c r="D411" s="184">
        <v>81193.259999999995</v>
      </c>
      <c r="E411" s="184">
        <v>25780.76</v>
      </c>
    </row>
    <row r="413" spans="1:5" x14ac:dyDescent="0.25">
      <c r="A413" s="184" t="s">
        <v>717</v>
      </c>
      <c r="C413" s="184">
        <v>1297479.1299999999</v>
      </c>
      <c r="D413" s="184">
        <v>899223.09</v>
      </c>
      <c r="E413" s="184">
        <v>398256.04</v>
      </c>
    </row>
    <row r="422" spans="1:5" x14ac:dyDescent="0.25">
      <c r="A422" s="184" t="s">
        <v>644</v>
      </c>
      <c r="E422" s="184" t="s">
        <v>645</v>
      </c>
    </row>
    <row r="423" spans="1:5" x14ac:dyDescent="0.25">
      <c r="A423" s="184" t="s">
        <v>646</v>
      </c>
      <c r="E423" s="184" t="s">
        <v>647</v>
      </c>
    </row>
    <row r="425" spans="1:5" x14ac:dyDescent="0.25">
      <c r="A425" s="184" t="s">
        <v>740</v>
      </c>
    </row>
    <row r="426" spans="1:5" x14ac:dyDescent="0.25">
      <c r="A426" s="184" t="s">
        <v>741</v>
      </c>
    </row>
    <row r="427" spans="1:5" x14ac:dyDescent="0.25">
      <c r="A427" s="184" t="s">
        <v>742</v>
      </c>
    </row>
    <row r="428" spans="1:5" x14ac:dyDescent="0.25">
      <c r="A428" s="184">
        <v>7639001</v>
      </c>
      <c r="B428" s="184" t="s">
        <v>743</v>
      </c>
      <c r="C428" s="184">
        <v>-1786.54</v>
      </c>
      <c r="D428" s="184">
        <v>-1197.0999999999999</v>
      </c>
      <c r="E428" s="184">
        <v>-589.44000000000005</v>
      </c>
    </row>
    <row r="429" spans="1:5" x14ac:dyDescent="0.25">
      <c r="A429" s="184" t="s">
        <v>742</v>
      </c>
      <c r="C429" s="184">
        <v>-1786.54</v>
      </c>
      <c r="D429" s="184">
        <v>-1197.0999999999999</v>
      </c>
      <c r="E429" s="184">
        <v>-589.44000000000005</v>
      </c>
    </row>
    <row r="431" spans="1:5" x14ac:dyDescent="0.25">
      <c r="A431" s="184" t="s">
        <v>744</v>
      </c>
    </row>
    <row r="432" spans="1:5" x14ac:dyDescent="0.25">
      <c r="A432" s="184">
        <v>6261000</v>
      </c>
      <c r="B432" s="184" t="s">
        <v>745</v>
      </c>
      <c r="C432" s="184">
        <v>972.05</v>
      </c>
      <c r="D432" s="184">
        <v>396.09</v>
      </c>
      <c r="E432" s="184">
        <v>575.96</v>
      </c>
    </row>
    <row r="433" spans="1:5" x14ac:dyDescent="0.25">
      <c r="A433" s="184" t="s">
        <v>744</v>
      </c>
      <c r="C433" s="184">
        <v>972.05</v>
      </c>
      <c r="D433" s="184">
        <v>396.09</v>
      </c>
      <c r="E433" s="184">
        <v>575.96</v>
      </c>
    </row>
    <row r="435" spans="1:5" x14ac:dyDescent="0.25">
      <c r="A435" s="184" t="s">
        <v>741</v>
      </c>
      <c r="C435" s="184">
        <v>-814.49</v>
      </c>
      <c r="D435" s="184">
        <v>-801.01</v>
      </c>
      <c r="E435" s="184">
        <v>-13.48</v>
      </c>
    </row>
    <row r="437" spans="1:5" x14ac:dyDescent="0.25">
      <c r="A437" s="184" t="s">
        <v>746</v>
      </c>
    </row>
    <row r="438" spans="1:5" x14ac:dyDescent="0.25">
      <c r="A438" s="184" t="s">
        <v>746</v>
      </c>
    </row>
    <row r="439" spans="1:5" x14ac:dyDescent="0.25">
      <c r="A439" s="184">
        <v>7590000</v>
      </c>
      <c r="B439" s="184" t="s">
        <v>747</v>
      </c>
      <c r="C439" s="184">
        <v>-3411.82</v>
      </c>
      <c r="D439" s="184">
        <v>-3351.03</v>
      </c>
      <c r="E439" s="184">
        <v>-60.79</v>
      </c>
    </row>
    <row r="440" spans="1:5" x14ac:dyDescent="0.25">
      <c r="A440" s="184">
        <v>7684000</v>
      </c>
      <c r="B440" s="184" t="s">
        <v>748</v>
      </c>
      <c r="C440" s="184">
        <v>-22946.2</v>
      </c>
      <c r="D440" s="184">
        <v>-11111.48</v>
      </c>
      <c r="E440" s="184">
        <v>-11834.72</v>
      </c>
    </row>
    <row r="441" spans="1:5" x14ac:dyDescent="0.25">
      <c r="C441" s="184">
        <v>-26358.02</v>
      </c>
      <c r="D441" s="184">
        <v>-14462.51</v>
      </c>
      <c r="E441" s="184">
        <v>-11895.51</v>
      </c>
    </row>
    <row r="442" spans="1:5" x14ac:dyDescent="0.25">
      <c r="A442" s="184">
        <v>6299600</v>
      </c>
      <c r="B442" s="184" t="s">
        <v>751</v>
      </c>
      <c r="C442" s="184">
        <v>4.49</v>
      </c>
      <c r="D442" s="184">
        <v>4.49</v>
      </c>
      <c r="E442" s="184">
        <v>0</v>
      </c>
    </row>
    <row r="443" spans="1:5" x14ac:dyDescent="0.25">
      <c r="A443" s="184">
        <v>6299700</v>
      </c>
      <c r="B443" s="184" t="s">
        <v>554</v>
      </c>
      <c r="C443" s="184">
        <v>5180.1899999999996</v>
      </c>
      <c r="D443" s="184">
        <v>5180.1899999999996</v>
      </c>
      <c r="E443" s="184">
        <v>0</v>
      </c>
    </row>
    <row r="444" spans="1:5" x14ac:dyDescent="0.25">
      <c r="A444" s="184">
        <v>6299901</v>
      </c>
      <c r="B444" s="184" t="s">
        <v>752</v>
      </c>
      <c r="C444" s="184">
        <v>8.8000000000000007</v>
      </c>
      <c r="D444" s="184">
        <v>0.01</v>
      </c>
      <c r="E444" s="184">
        <v>8.7899999999999991</v>
      </c>
    </row>
    <row r="445" spans="1:5" x14ac:dyDescent="0.25">
      <c r="A445" s="184">
        <v>6684000</v>
      </c>
      <c r="B445" s="184" t="s">
        <v>753</v>
      </c>
      <c r="C445" s="184">
        <v>21080.36</v>
      </c>
      <c r="D445" s="184">
        <v>15354.81</v>
      </c>
      <c r="E445" s="184">
        <v>5725.55</v>
      </c>
    </row>
    <row r="446" spans="1:5" x14ac:dyDescent="0.25">
      <c r="A446" s="184">
        <v>6684100</v>
      </c>
      <c r="B446" s="184" t="s">
        <v>754</v>
      </c>
      <c r="C446" s="184">
        <v>4708.96</v>
      </c>
      <c r="D446" s="184">
        <v>4708.96</v>
      </c>
      <c r="E446" s="184">
        <v>0</v>
      </c>
    </row>
    <row r="447" spans="1:5" x14ac:dyDescent="0.25">
      <c r="A447" s="184">
        <v>6940000</v>
      </c>
      <c r="B447" s="184" t="s">
        <v>511</v>
      </c>
      <c r="C447" s="184">
        <v>21083.95</v>
      </c>
      <c r="D447" s="184">
        <v>-17535.23</v>
      </c>
      <c r="E447" s="184">
        <v>38619.18</v>
      </c>
    </row>
    <row r="448" spans="1:5" x14ac:dyDescent="0.25">
      <c r="C448" s="184">
        <v>52066.75</v>
      </c>
      <c r="D448" s="184">
        <v>7713.23</v>
      </c>
      <c r="E448" s="184">
        <v>44353.52</v>
      </c>
    </row>
    <row r="449" spans="1:5" x14ac:dyDescent="0.25">
      <c r="A449" s="184" t="s">
        <v>746</v>
      </c>
      <c r="C449" s="184">
        <v>25708.73</v>
      </c>
      <c r="D449" s="184">
        <v>-6749.28</v>
      </c>
      <c r="E449" s="184">
        <v>32458.01</v>
      </c>
    </row>
    <row r="451" spans="1:5" x14ac:dyDescent="0.25">
      <c r="A451" s="184" t="s">
        <v>746</v>
      </c>
      <c r="C451" s="184">
        <v>25708.73</v>
      </c>
      <c r="D451" s="184">
        <v>-6749.28</v>
      </c>
      <c r="E451" s="184">
        <v>32458.01</v>
      </c>
    </row>
    <row r="453" spans="1:5" x14ac:dyDescent="0.25">
      <c r="A453" s="184" t="s">
        <v>740</v>
      </c>
      <c r="C453" s="184">
        <v>24894.240000000002</v>
      </c>
      <c r="D453" s="184">
        <v>-7550.29</v>
      </c>
      <c r="E453" s="184">
        <v>32444.53</v>
      </c>
    </row>
    <row r="462" spans="1:5" x14ac:dyDescent="0.25">
      <c r="A462" s="184" t="s">
        <v>644</v>
      </c>
      <c r="E462" s="184" t="s">
        <v>645</v>
      </c>
    </row>
    <row r="463" spans="1:5" x14ac:dyDescent="0.25">
      <c r="A463" s="184" t="s">
        <v>646</v>
      </c>
      <c r="E463" s="184" t="s">
        <v>647</v>
      </c>
    </row>
    <row r="465" spans="1:5" x14ac:dyDescent="0.25">
      <c r="A465" s="184" t="s">
        <v>755</v>
      </c>
      <c r="C465" s="184">
        <v>1997257.02</v>
      </c>
      <c r="D465" s="184">
        <v>1598408.64</v>
      </c>
      <c r="E465" s="184">
        <v>398848.38</v>
      </c>
    </row>
    <row r="466" spans="1:5" x14ac:dyDescent="0.25">
      <c r="A466" s="184" t="s">
        <v>643</v>
      </c>
    </row>
    <row r="475" spans="1:5" x14ac:dyDescent="0.25">
      <c r="A475" s="184" t="s">
        <v>644</v>
      </c>
      <c r="E475" s="184" t="s">
        <v>645</v>
      </c>
    </row>
    <row r="476" spans="1:5" x14ac:dyDescent="0.25">
      <c r="A476" s="184" t="s">
        <v>646</v>
      </c>
      <c r="E476" s="184" t="s">
        <v>647</v>
      </c>
    </row>
    <row r="478" spans="1:5" x14ac:dyDescent="0.25">
      <c r="A478" s="184" t="s">
        <v>756</v>
      </c>
    </row>
    <row r="479" spans="1:5" x14ac:dyDescent="0.25">
      <c r="A479" s="184" t="s">
        <v>757</v>
      </c>
    </row>
    <row r="480" spans="1:5" x14ac:dyDescent="0.25">
      <c r="A480" s="184" t="s">
        <v>759</v>
      </c>
      <c r="B480" s="184" t="s">
        <v>760</v>
      </c>
      <c r="C480" s="184">
        <v>-1100437.6599999999</v>
      </c>
      <c r="D480" s="184">
        <v>-1100437.6599999999</v>
      </c>
      <c r="E480" s="184">
        <v>0</v>
      </c>
    </row>
    <row r="481" spans="1:5" x14ac:dyDescent="0.25">
      <c r="A481" s="184" t="s">
        <v>473</v>
      </c>
      <c r="B481" s="184" t="s">
        <v>761</v>
      </c>
      <c r="C481" s="184">
        <v>312.3</v>
      </c>
      <c r="D481" s="184">
        <v>312.3</v>
      </c>
      <c r="E481" s="184">
        <v>0</v>
      </c>
    </row>
    <row r="482" spans="1:5" x14ac:dyDescent="0.25">
      <c r="A482" s="184" t="s">
        <v>764</v>
      </c>
      <c r="B482" s="184" t="s">
        <v>765</v>
      </c>
      <c r="C482" s="184">
        <v>41332.78</v>
      </c>
      <c r="D482" s="184">
        <v>38555.61</v>
      </c>
      <c r="E482" s="184">
        <v>2777.17</v>
      </c>
    </row>
    <row r="483" spans="1:5" x14ac:dyDescent="0.25">
      <c r="A483" s="184" t="s">
        <v>766</v>
      </c>
      <c r="B483" s="184" t="s">
        <v>767</v>
      </c>
      <c r="C483" s="184">
        <v>167659.39000000001</v>
      </c>
      <c r="D483" s="184">
        <v>167659.39000000001</v>
      </c>
      <c r="E483" s="184">
        <v>0</v>
      </c>
    </row>
    <row r="484" spans="1:5" x14ac:dyDescent="0.25">
      <c r="A484" s="184" t="s">
        <v>768</v>
      </c>
      <c r="B484" s="184" t="s">
        <v>769</v>
      </c>
      <c r="C484" s="184">
        <v>699806.52</v>
      </c>
      <c r="D484" s="184">
        <v>764271.75</v>
      </c>
      <c r="E484" s="184">
        <v>-64465.23</v>
      </c>
    </row>
    <row r="485" spans="1:5" x14ac:dyDescent="0.25">
      <c r="A485" s="184" t="s">
        <v>770</v>
      </c>
      <c r="B485" s="184" t="s">
        <v>771</v>
      </c>
      <c r="C485" s="184">
        <v>213962.3</v>
      </c>
      <c r="D485" s="184">
        <v>438695.62</v>
      </c>
      <c r="E485" s="184">
        <v>-224733.32</v>
      </c>
    </row>
    <row r="486" spans="1:5" x14ac:dyDescent="0.25">
      <c r="A486" s="184" t="s">
        <v>774</v>
      </c>
      <c r="B486" s="184" t="s">
        <v>775</v>
      </c>
      <c r="C486" s="184">
        <v>-0.01</v>
      </c>
      <c r="D486" s="184">
        <v>0</v>
      </c>
      <c r="E486" s="184">
        <v>-0.01</v>
      </c>
    </row>
    <row r="487" spans="1:5" x14ac:dyDescent="0.25">
      <c r="A487" s="184" t="s">
        <v>776</v>
      </c>
      <c r="B487" s="184" t="s">
        <v>777</v>
      </c>
      <c r="C487" s="184">
        <v>2740049.66</v>
      </c>
      <c r="D487" s="184">
        <v>2007722.17</v>
      </c>
      <c r="E487" s="184">
        <v>732327.49</v>
      </c>
    </row>
    <row r="488" spans="1:5" x14ac:dyDescent="0.25">
      <c r="A488" s="184" t="s">
        <v>782</v>
      </c>
      <c r="B488" s="184" t="s">
        <v>783</v>
      </c>
      <c r="C488" s="184">
        <v>-46087.21</v>
      </c>
      <c r="D488" s="184">
        <v>-37625.82</v>
      </c>
      <c r="E488" s="184">
        <v>-8461.39</v>
      </c>
    </row>
    <row r="489" spans="1:5" x14ac:dyDescent="0.25">
      <c r="A489" s="184" t="s">
        <v>784</v>
      </c>
      <c r="B489" s="184" t="s">
        <v>785</v>
      </c>
      <c r="C489" s="184">
        <v>-114738.66</v>
      </c>
      <c r="D489" s="184">
        <v>-114738.66</v>
      </c>
      <c r="E489" s="184">
        <v>0</v>
      </c>
    </row>
    <row r="490" spans="1:5" x14ac:dyDescent="0.25">
      <c r="A490" s="184" t="s">
        <v>786</v>
      </c>
      <c r="B490" s="184" t="s">
        <v>787</v>
      </c>
      <c r="C490" s="184">
        <v>-2003674.76</v>
      </c>
      <c r="D490" s="184">
        <v>-1678818.15</v>
      </c>
      <c r="E490" s="184">
        <v>-324856.61</v>
      </c>
    </row>
    <row r="491" spans="1:5" x14ac:dyDescent="0.25">
      <c r="A491" s="184" t="s">
        <v>788</v>
      </c>
      <c r="B491" s="184" t="s">
        <v>789</v>
      </c>
      <c r="C491" s="184">
        <v>-598184.63</v>
      </c>
      <c r="D491" s="184">
        <v>-485596.55</v>
      </c>
      <c r="E491" s="184">
        <v>-112588.08</v>
      </c>
    </row>
    <row r="492" spans="1:5" x14ac:dyDescent="0.25">
      <c r="C492" s="184">
        <v>0.02</v>
      </c>
      <c r="D492" s="184">
        <v>0</v>
      </c>
      <c r="E492" s="184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4"/>
  <sheetViews>
    <sheetView topLeftCell="A442" workbookViewId="0">
      <selection activeCell="A479" sqref="A479"/>
    </sheetView>
  </sheetViews>
  <sheetFormatPr baseColWidth="10" defaultColWidth="11.42578125" defaultRowHeight="15" x14ac:dyDescent="0.25"/>
  <cols>
    <col min="1" max="1" width="8.85546875" style="184" bestFit="1" customWidth="1"/>
    <col min="2" max="2" width="55.85546875" style="184" customWidth="1"/>
    <col min="3" max="4" width="12.42578125" style="184" bestFit="1" customWidth="1"/>
    <col min="5" max="5" width="10.85546875" style="184" bestFit="1" customWidth="1"/>
    <col min="6" max="6" width="5.28515625" style="184" bestFit="1" customWidth="1"/>
    <col min="7" max="16384" width="11.42578125" style="184"/>
  </cols>
  <sheetData>
    <row r="1" spans="1:7" x14ac:dyDescent="0.25">
      <c r="A1" s="229" t="s">
        <v>381</v>
      </c>
      <c r="B1" s="229"/>
      <c r="C1" s="230" t="s">
        <v>382</v>
      </c>
      <c r="D1" s="230" t="s">
        <v>383</v>
      </c>
      <c r="E1" s="230" t="s">
        <v>384</v>
      </c>
      <c r="F1" s="230" t="s">
        <v>485</v>
      </c>
      <c r="G1" s="229" t="s">
        <v>393</v>
      </c>
    </row>
    <row r="2" spans="1:7" x14ac:dyDescent="0.25">
      <c r="A2" s="231" t="s">
        <v>790</v>
      </c>
      <c r="B2" s="231"/>
      <c r="C2" s="232"/>
      <c r="D2" s="232"/>
      <c r="E2" s="232"/>
      <c r="F2" s="265" t="s">
        <v>486</v>
      </c>
      <c r="G2" s="231" t="s">
        <v>6</v>
      </c>
    </row>
    <row r="3" spans="1:7" x14ac:dyDescent="0.25">
      <c r="A3" s="231">
        <v>5730090</v>
      </c>
      <c r="B3" s="231" t="s">
        <v>14</v>
      </c>
      <c r="C3" s="232">
        <v>33545.78</v>
      </c>
      <c r="D3" s="232">
        <v>33545.78</v>
      </c>
      <c r="E3" s="232">
        <v>0</v>
      </c>
      <c r="F3" s="265" t="s">
        <v>486</v>
      </c>
      <c r="G3" s="231" t="s">
        <v>6</v>
      </c>
    </row>
    <row r="4" spans="1:7" x14ac:dyDescent="0.25">
      <c r="A4" s="231">
        <v>5730990</v>
      </c>
      <c r="B4" s="231" t="s">
        <v>21</v>
      </c>
      <c r="C4" s="232">
        <v>46182.99</v>
      </c>
      <c r="D4" s="232">
        <v>-800.27</v>
      </c>
      <c r="E4" s="232">
        <v>46983.26</v>
      </c>
      <c r="F4" s="265" t="s">
        <v>486</v>
      </c>
      <c r="G4" s="231" t="s">
        <v>6</v>
      </c>
    </row>
    <row r="5" spans="1:7" x14ac:dyDescent="0.25">
      <c r="A5" s="231">
        <v>5739105</v>
      </c>
      <c r="B5" s="231" t="s">
        <v>23</v>
      </c>
      <c r="C5" s="232">
        <v>52510.17</v>
      </c>
      <c r="D5" s="232">
        <v>0</v>
      </c>
      <c r="E5" s="232">
        <v>52510.17</v>
      </c>
      <c r="F5" s="265" t="s">
        <v>486</v>
      </c>
      <c r="G5" s="231" t="s">
        <v>6</v>
      </c>
    </row>
    <row r="6" spans="1:7" x14ac:dyDescent="0.25">
      <c r="A6" s="231"/>
      <c r="B6" s="231"/>
      <c r="C6" s="232">
        <v>132238.94</v>
      </c>
      <c r="D6" s="232">
        <v>32745.51</v>
      </c>
      <c r="E6" s="232">
        <v>99493.43</v>
      </c>
      <c r="F6" s="265" t="s">
        <v>486</v>
      </c>
      <c r="G6" s="231" t="s">
        <v>6</v>
      </c>
    </row>
    <row r="7" spans="1:7" x14ac:dyDescent="0.25">
      <c r="A7" s="231"/>
      <c r="B7" s="231"/>
      <c r="C7" s="232">
        <v>132238.94</v>
      </c>
      <c r="D7" s="232">
        <v>32745.51</v>
      </c>
      <c r="E7" s="232">
        <v>99493.43</v>
      </c>
      <c r="F7" s="265" t="s">
        <v>486</v>
      </c>
      <c r="G7" s="231" t="s">
        <v>6</v>
      </c>
    </row>
    <row r="8" spans="1:7" x14ac:dyDescent="0.25">
      <c r="A8" s="231" t="s">
        <v>607</v>
      </c>
      <c r="B8" s="231"/>
      <c r="C8" s="232"/>
      <c r="D8" s="232"/>
      <c r="E8" s="232"/>
      <c r="F8" s="265" t="s">
        <v>486</v>
      </c>
      <c r="G8" s="231" t="s">
        <v>6</v>
      </c>
    </row>
    <row r="9" spans="1:7" x14ac:dyDescent="0.25">
      <c r="A9" s="231">
        <v>5714001</v>
      </c>
      <c r="B9" s="231" t="s">
        <v>608</v>
      </c>
      <c r="C9" s="232">
        <v>-2.78</v>
      </c>
      <c r="D9" s="232">
        <v>-2.78</v>
      </c>
      <c r="E9" s="232">
        <v>0</v>
      </c>
      <c r="F9" s="265" t="s">
        <v>486</v>
      </c>
      <c r="G9" s="231" t="s">
        <v>6</v>
      </c>
    </row>
    <row r="10" spans="1:7" x14ac:dyDescent="0.25">
      <c r="A10" s="231">
        <v>5714011</v>
      </c>
      <c r="B10" s="231" t="s">
        <v>10</v>
      </c>
      <c r="C10" s="232">
        <v>649.97</v>
      </c>
      <c r="D10" s="232">
        <v>1324.57</v>
      </c>
      <c r="E10" s="232">
        <v>-674.6</v>
      </c>
      <c r="F10" s="265" t="s">
        <v>486</v>
      </c>
      <c r="G10" s="231" t="s">
        <v>6</v>
      </c>
    </row>
    <row r="11" spans="1:7" x14ac:dyDescent="0.25">
      <c r="A11" s="231">
        <v>5714099</v>
      </c>
      <c r="B11" s="231" t="s">
        <v>11</v>
      </c>
      <c r="C11" s="232">
        <v>0.06</v>
      </c>
      <c r="D11" s="232">
        <v>0.06</v>
      </c>
      <c r="E11" s="232">
        <v>0</v>
      </c>
      <c r="F11" s="265" t="s">
        <v>486</v>
      </c>
      <c r="G11" s="231" t="s">
        <v>6</v>
      </c>
    </row>
    <row r="12" spans="1:7" x14ac:dyDescent="0.25">
      <c r="A12" s="231"/>
      <c r="B12" s="231"/>
      <c r="C12" s="232">
        <v>647.25</v>
      </c>
      <c r="D12" s="232">
        <v>1321.85</v>
      </c>
      <c r="E12" s="232">
        <v>-674.6</v>
      </c>
      <c r="F12" s="265" t="s">
        <v>486</v>
      </c>
      <c r="G12" s="231" t="s">
        <v>6</v>
      </c>
    </row>
    <row r="13" spans="1:7" x14ac:dyDescent="0.25">
      <c r="A13" s="231"/>
      <c r="B13" s="231"/>
      <c r="C13" s="232">
        <v>132886.19</v>
      </c>
      <c r="D13" s="232">
        <v>34067.360000000001</v>
      </c>
      <c r="E13" s="232">
        <v>98818.83</v>
      </c>
      <c r="F13" s="265" t="s">
        <v>486</v>
      </c>
      <c r="G13" s="231" t="s">
        <v>6</v>
      </c>
    </row>
    <row r="14" spans="1:7" x14ac:dyDescent="0.25">
      <c r="A14" s="231" t="s">
        <v>609</v>
      </c>
      <c r="B14" s="231"/>
      <c r="C14" s="232"/>
      <c r="D14" s="232"/>
      <c r="E14" s="232"/>
      <c r="F14" s="265" t="s">
        <v>486</v>
      </c>
      <c r="G14" s="231" t="s">
        <v>6</v>
      </c>
    </row>
    <row r="15" spans="1:7" x14ac:dyDescent="0.25">
      <c r="A15" s="231" t="s">
        <v>610</v>
      </c>
      <c r="B15" s="231"/>
      <c r="C15" s="232"/>
      <c r="D15" s="232"/>
      <c r="E15" s="232"/>
      <c r="F15" s="265" t="s">
        <v>486</v>
      </c>
      <c r="G15" s="231" t="s">
        <v>6</v>
      </c>
    </row>
    <row r="16" spans="1:7" x14ac:dyDescent="0.25">
      <c r="A16" s="231">
        <v>4300000</v>
      </c>
      <c r="B16" s="231" t="s">
        <v>25</v>
      </c>
      <c r="C16" s="232">
        <v>20.3</v>
      </c>
      <c r="D16" s="232">
        <v>20.3</v>
      </c>
      <c r="E16" s="232">
        <v>0</v>
      </c>
      <c r="F16" s="265" t="s">
        <v>486</v>
      </c>
      <c r="G16" s="231" t="s">
        <v>6</v>
      </c>
    </row>
    <row r="17" spans="1:7" x14ac:dyDescent="0.25">
      <c r="A17" s="231"/>
      <c r="B17" s="231"/>
      <c r="C17" s="232">
        <v>20.3</v>
      </c>
      <c r="D17" s="232">
        <v>20.3</v>
      </c>
      <c r="E17" s="232">
        <v>0</v>
      </c>
      <c r="F17" s="265" t="s">
        <v>486</v>
      </c>
      <c r="G17" s="231" t="s">
        <v>6</v>
      </c>
    </row>
    <row r="18" spans="1:7" x14ac:dyDescent="0.25">
      <c r="A18" s="231" t="s">
        <v>26</v>
      </c>
      <c r="B18" s="231"/>
      <c r="C18" s="232"/>
      <c r="D18" s="232"/>
      <c r="E18" s="232"/>
      <c r="F18" s="265" t="s">
        <v>486</v>
      </c>
      <c r="G18" s="231" t="s">
        <v>6</v>
      </c>
    </row>
    <row r="19" spans="1:7" x14ac:dyDescent="0.25">
      <c r="A19" s="231">
        <v>4304000</v>
      </c>
      <c r="B19" s="231" t="s">
        <v>26</v>
      </c>
      <c r="C19" s="232">
        <v>43</v>
      </c>
      <c r="D19" s="232">
        <v>43</v>
      </c>
      <c r="E19" s="232">
        <v>0</v>
      </c>
      <c r="F19" s="265" t="s">
        <v>486</v>
      </c>
      <c r="G19" s="231" t="s">
        <v>6</v>
      </c>
    </row>
    <row r="20" spans="1:7" x14ac:dyDescent="0.25">
      <c r="A20" s="231"/>
      <c r="B20" s="231"/>
      <c r="C20" s="232">
        <v>43</v>
      </c>
      <c r="D20" s="232">
        <v>43</v>
      </c>
      <c r="E20" s="232">
        <v>0</v>
      </c>
      <c r="F20" s="265" t="s">
        <v>486</v>
      </c>
      <c r="G20" s="231" t="s">
        <v>6</v>
      </c>
    </row>
    <row r="21" spans="1:7" x14ac:dyDescent="0.25">
      <c r="A21" s="231" t="s">
        <v>611</v>
      </c>
      <c r="B21" s="231"/>
      <c r="C21" s="232"/>
      <c r="D21" s="232"/>
      <c r="E21" s="232"/>
      <c r="F21" s="265" t="s">
        <v>486</v>
      </c>
      <c r="G21" s="231" t="s">
        <v>6</v>
      </c>
    </row>
    <row r="22" spans="1:7" x14ac:dyDescent="0.25">
      <c r="A22" s="231">
        <v>4330001</v>
      </c>
      <c r="B22" s="231" t="s">
        <v>27</v>
      </c>
      <c r="C22" s="232">
        <v>2102064.33</v>
      </c>
      <c r="D22" s="232">
        <v>2313992.2000000002</v>
      </c>
      <c r="E22" s="232">
        <v>-211927.87</v>
      </c>
      <c r="F22" s="265" t="s">
        <v>486</v>
      </c>
      <c r="G22" s="231" t="s">
        <v>6</v>
      </c>
    </row>
    <row r="23" spans="1:7" x14ac:dyDescent="0.25">
      <c r="A23" s="231"/>
      <c r="B23" s="231"/>
      <c r="C23" s="232">
        <v>2102064.33</v>
      </c>
      <c r="D23" s="232">
        <v>2313992.2000000002</v>
      </c>
      <c r="E23" s="232">
        <v>-211927.87</v>
      </c>
      <c r="F23" s="265" t="s">
        <v>486</v>
      </c>
      <c r="G23" s="231" t="s">
        <v>6</v>
      </c>
    </row>
    <row r="24" spans="1:7" x14ac:dyDescent="0.25">
      <c r="A24" s="231" t="s">
        <v>612</v>
      </c>
      <c r="B24" s="231"/>
      <c r="C24" s="232"/>
      <c r="D24" s="232"/>
      <c r="E24" s="232"/>
      <c r="F24" s="265" t="s">
        <v>486</v>
      </c>
      <c r="G24" s="231" t="s">
        <v>6</v>
      </c>
    </row>
    <row r="25" spans="1:7" x14ac:dyDescent="0.25">
      <c r="A25" s="231">
        <v>4330002</v>
      </c>
      <c r="B25" s="231" t="s">
        <v>28</v>
      </c>
      <c r="C25" s="232">
        <v>1627.06</v>
      </c>
      <c r="D25" s="232">
        <v>1627.06</v>
      </c>
      <c r="E25" s="232">
        <v>0</v>
      </c>
      <c r="F25" s="265" t="s">
        <v>486</v>
      </c>
      <c r="G25" s="231" t="s">
        <v>6</v>
      </c>
    </row>
    <row r="26" spans="1:7" x14ac:dyDescent="0.25">
      <c r="A26" s="231"/>
      <c r="B26" s="231"/>
      <c r="C26" s="232">
        <v>1627.06</v>
      </c>
      <c r="D26" s="232">
        <v>1627.06</v>
      </c>
      <c r="E26" s="232">
        <v>0</v>
      </c>
      <c r="F26" s="265" t="s">
        <v>486</v>
      </c>
      <c r="G26" s="231" t="s">
        <v>6</v>
      </c>
    </row>
    <row r="27" spans="1:7" x14ac:dyDescent="0.25">
      <c r="A27" s="231">
        <v>4900000</v>
      </c>
      <c r="B27" s="231" t="s">
        <v>613</v>
      </c>
      <c r="C27" s="232">
        <v>-62888.97</v>
      </c>
      <c r="D27" s="232">
        <v>-69073.45</v>
      </c>
      <c r="E27" s="232">
        <v>6184.48</v>
      </c>
      <c r="F27" s="265" t="s">
        <v>486</v>
      </c>
      <c r="G27" s="231" t="s">
        <v>6</v>
      </c>
    </row>
    <row r="28" spans="1:7" x14ac:dyDescent="0.25">
      <c r="A28" s="231"/>
      <c r="B28" s="231"/>
      <c r="C28" s="232">
        <v>-62888.97</v>
      </c>
      <c r="D28" s="232">
        <v>-69073.45</v>
      </c>
      <c r="E28" s="232">
        <v>6184.48</v>
      </c>
      <c r="F28" s="265" t="s">
        <v>486</v>
      </c>
      <c r="G28" s="231" t="s">
        <v>6</v>
      </c>
    </row>
    <row r="29" spans="1:7" x14ac:dyDescent="0.25">
      <c r="A29" s="231"/>
      <c r="B29" s="231"/>
      <c r="C29" s="232">
        <v>2040865.72</v>
      </c>
      <c r="D29" s="232">
        <v>2246609.11</v>
      </c>
      <c r="E29" s="232">
        <v>-205743.39</v>
      </c>
      <c r="F29" s="265" t="s">
        <v>486</v>
      </c>
      <c r="G29" s="231" t="s">
        <v>6</v>
      </c>
    </row>
    <row r="30" spans="1:7" x14ac:dyDescent="0.25">
      <c r="A30" s="231" t="s">
        <v>614</v>
      </c>
      <c r="B30" s="231"/>
      <c r="C30" s="232"/>
      <c r="D30" s="232"/>
      <c r="E30" s="232"/>
      <c r="F30" s="265" t="s">
        <v>486</v>
      </c>
      <c r="G30" s="231" t="s">
        <v>6</v>
      </c>
    </row>
    <row r="31" spans="1:7" x14ac:dyDescent="0.25">
      <c r="A31" s="231" t="s">
        <v>615</v>
      </c>
      <c r="B31" s="231"/>
      <c r="C31" s="232"/>
      <c r="D31" s="232"/>
      <c r="E31" s="232"/>
      <c r="F31" s="265" t="s">
        <v>486</v>
      </c>
      <c r="G31" s="231" t="s">
        <v>6</v>
      </c>
    </row>
    <row r="32" spans="1:7" x14ac:dyDescent="0.25">
      <c r="A32" s="231">
        <v>4700000</v>
      </c>
      <c r="B32" s="231" t="s">
        <v>38</v>
      </c>
      <c r="C32" s="232">
        <v>-12883.62</v>
      </c>
      <c r="D32" s="232">
        <v>-12883.62</v>
      </c>
      <c r="E32" s="232">
        <v>0</v>
      </c>
      <c r="F32" s="265" t="s">
        <v>486</v>
      </c>
      <c r="G32" s="231" t="s">
        <v>6</v>
      </c>
    </row>
    <row r="33" spans="1:7" x14ac:dyDescent="0.25">
      <c r="A33" s="231">
        <v>4709032</v>
      </c>
      <c r="B33" s="231" t="s">
        <v>40</v>
      </c>
      <c r="C33" s="232">
        <v>-115.03</v>
      </c>
      <c r="D33" s="232">
        <v>-118.9</v>
      </c>
      <c r="E33" s="232">
        <v>3.87</v>
      </c>
      <c r="F33" s="265" t="s">
        <v>486</v>
      </c>
      <c r="G33" s="231" t="s">
        <v>6</v>
      </c>
    </row>
    <row r="34" spans="1:7" x14ac:dyDescent="0.25">
      <c r="A34" s="231">
        <v>4720000</v>
      </c>
      <c r="B34" s="231" t="s">
        <v>41</v>
      </c>
      <c r="C34" s="232">
        <v>-1287.6300000000001</v>
      </c>
      <c r="D34" s="232">
        <v>-1323.83</v>
      </c>
      <c r="E34" s="232">
        <v>36.200000000000003</v>
      </c>
      <c r="F34" s="265" t="s">
        <v>486</v>
      </c>
      <c r="G34" s="231" t="s">
        <v>6</v>
      </c>
    </row>
    <row r="35" spans="1:7" x14ac:dyDescent="0.25">
      <c r="A35" s="231">
        <v>4731023</v>
      </c>
      <c r="B35" s="231" t="s">
        <v>43</v>
      </c>
      <c r="C35" s="232">
        <v>75.06</v>
      </c>
      <c r="D35" s="232">
        <v>67.34</v>
      </c>
      <c r="E35" s="232">
        <v>7.72</v>
      </c>
      <c r="F35" s="265" t="s">
        <v>486</v>
      </c>
      <c r="G35" s="231" t="s">
        <v>6</v>
      </c>
    </row>
    <row r="36" spans="1:7" x14ac:dyDescent="0.25">
      <c r="A36" s="231"/>
      <c r="B36" s="231"/>
      <c r="C36" s="232">
        <v>-14211.22</v>
      </c>
      <c r="D36" s="232">
        <v>-14259.01</v>
      </c>
      <c r="E36" s="232">
        <v>47.79</v>
      </c>
      <c r="F36" s="265" t="s">
        <v>486</v>
      </c>
      <c r="G36" s="231" t="s">
        <v>6</v>
      </c>
    </row>
    <row r="37" spans="1:7" x14ac:dyDescent="0.25">
      <c r="A37" s="231" t="s">
        <v>616</v>
      </c>
      <c r="B37" s="231"/>
      <c r="C37" s="232"/>
      <c r="D37" s="232"/>
      <c r="E37" s="232"/>
      <c r="F37" s="265" t="s">
        <v>486</v>
      </c>
      <c r="G37" s="231" t="s">
        <v>6</v>
      </c>
    </row>
    <row r="38" spans="1:7" x14ac:dyDescent="0.25">
      <c r="A38" s="231">
        <v>4070000</v>
      </c>
      <c r="B38" s="231" t="s">
        <v>31</v>
      </c>
      <c r="C38" s="232">
        <v>675021.31</v>
      </c>
      <c r="D38" s="232">
        <v>671334.26</v>
      </c>
      <c r="E38" s="232">
        <v>3687.05</v>
      </c>
      <c r="F38" s="265" t="s">
        <v>486</v>
      </c>
      <c r="G38" s="231" t="s">
        <v>6</v>
      </c>
    </row>
    <row r="39" spans="1:7" x14ac:dyDescent="0.25">
      <c r="A39" s="231">
        <v>4070001</v>
      </c>
      <c r="B39" s="231" t="s">
        <v>32</v>
      </c>
      <c r="C39" s="232">
        <v>-18272.810000000001</v>
      </c>
      <c r="D39" s="232">
        <v>-18272.810000000001</v>
      </c>
      <c r="E39" s="232">
        <v>0</v>
      </c>
      <c r="F39" s="265" t="s">
        <v>486</v>
      </c>
      <c r="G39" s="231" t="s">
        <v>6</v>
      </c>
    </row>
    <row r="40" spans="1:7" x14ac:dyDescent="0.25">
      <c r="A40" s="231">
        <v>4170004</v>
      </c>
      <c r="B40" s="231" t="s">
        <v>34</v>
      </c>
      <c r="C40" s="232">
        <v>10680.42</v>
      </c>
      <c r="D40" s="232">
        <v>8551.0400000000009</v>
      </c>
      <c r="E40" s="232">
        <v>2129.38</v>
      </c>
      <c r="F40" s="265" t="s">
        <v>486</v>
      </c>
      <c r="G40" s="231" t="s">
        <v>6</v>
      </c>
    </row>
    <row r="41" spans="1:7" x14ac:dyDescent="0.25">
      <c r="A41" s="231">
        <v>4800000</v>
      </c>
      <c r="B41" s="231" t="s">
        <v>44</v>
      </c>
      <c r="C41" s="232">
        <v>32035.96</v>
      </c>
      <c r="D41" s="232">
        <v>32144.44</v>
      </c>
      <c r="E41" s="232">
        <v>-108.48</v>
      </c>
      <c r="F41" s="265" t="s">
        <v>486</v>
      </c>
      <c r="G41" s="231" t="s">
        <v>6</v>
      </c>
    </row>
    <row r="42" spans="1:7" x14ac:dyDescent="0.25">
      <c r="A42" s="231"/>
      <c r="B42" s="231"/>
      <c r="C42" s="232">
        <v>699464.88</v>
      </c>
      <c r="D42" s="232">
        <v>693756.93</v>
      </c>
      <c r="E42" s="232">
        <v>5707.95</v>
      </c>
      <c r="F42" s="265" t="s">
        <v>486</v>
      </c>
      <c r="G42" s="231" t="s">
        <v>6</v>
      </c>
    </row>
    <row r="43" spans="1:7" x14ac:dyDescent="0.25">
      <c r="A43" s="231" t="s">
        <v>154</v>
      </c>
      <c r="B43" s="231"/>
      <c r="C43" s="232"/>
      <c r="D43" s="232"/>
      <c r="E43" s="232"/>
      <c r="F43" s="265" t="s">
        <v>486</v>
      </c>
      <c r="G43" s="231" t="s">
        <v>6</v>
      </c>
    </row>
    <row r="44" spans="1:7" x14ac:dyDescent="0.25">
      <c r="A44" s="231">
        <v>4731000</v>
      </c>
      <c r="B44" s="231" t="s">
        <v>42</v>
      </c>
      <c r="C44" s="232">
        <v>66.66</v>
      </c>
      <c r="D44" s="232">
        <v>66.66</v>
      </c>
      <c r="E44" s="232">
        <v>0</v>
      </c>
      <c r="F44" s="265" t="s">
        <v>486</v>
      </c>
      <c r="G44" s="231" t="s">
        <v>6</v>
      </c>
    </row>
    <row r="45" spans="1:7" x14ac:dyDescent="0.25">
      <c r="A45" s="231"/>
      <c r="B45" s="231"/>
      <c r="C45" s="232">
        <v>66.66</v>
      </c>
      <c r="D45" s="232">
        <v>66.66</v>
      </c>
      <c r="E45" s="232">
        <v>0</v>
      </c>
      <c r="F45" s="265" t="s">
        <v>486</v>
      </c>
      <c r="G45" s="231" t="s">
        <v>6</v>
      </c>
    </row>
    <row r="46" spans="1:7" x14ac:dyDescent="0.25">
      <c r="A46" s="231"/>
      <c r="B46" s="231"/>
      <c r="C46" s="232">
        <v>685320.32</v>
      </c>
      <c r="D46" s="232">
        <v>679564.58</v>
      </c>
      <c r="E46" s="232">
        <v>5755.74</v>
      </c>
      <c r="F46" s="265" t="s">
        <v>486</v>
      </c>
      <c r="G46" s="231" t="s">
        <v>6</v>
      </c>
    </row>
    <row r="47" spans="1:7" x14ac:dyDescent="0.25">
      <c r="A47" s="231" t="s">
        <v>617</v>
      </c>
      <c r="B47" s="231"/>
      <c r="C47" s="232"/>
      <c r="D47" s="232"/>
      <c r="E47" s="232"/>
      <c r="F47" s="265" t="s">
        <v>486</v>
      </c>
      <c r="G47" s="231" t="s">
        <v>6</v>
      </c>
    </row>
    <row r="48" spans="1:7" x14ac:dyDescent="0.25">
      <c r="A48" s="231">
        <v>3100000</v>
      </c>
      <c r="B48" s="231" t="s">
        <v>48</v>
      </c>
      <c r="C48" s="232">
        <v>651873.14</v>
      </c>
      <c r="D48" s="232">
        <v>647145.81000000006</v>
      </c>
      <c r="E48" s="232">
        <v>4727.33</v>
      </c>
      <c r="F48" s="265" t="s">
        <v>486</v>
      </c>
      <c r="G48" s="231" t="s">
        <v>6</v>
      </c>
    </row>
    <row r="49" spans="1:7" x14ac:dyDescent="0.25">
      <c r="A49" s="231">
        <v>3270000</v>
      </c>
      <c r="B49" s="231" t="s">
        <v>49</v>
      </c>
      <c r="C49" s="232">
        <v>385505.42</v>
      </c>
      <c r="D49" s="232">
        <v>412662.79</v>
      </c>
      <c r="E49" s="232">
        <v>-27157.37</v>
      </c>
      <c r="F49" s="265" t="s">
        <v>486</v>
      </c>
      <c r="G49" s="231" t="s">
        <v>6</v>
      </c>
    </row>
    <row r="50" spans="1:7" x14ac:dyDescent="0.25">
      <c r="A50" s="231">
        <v>3500000</v>
      </c>
      <c r="B50" s="231" t="s">
        <v>50</v>
      </c>
      <c r="C50" s="232">
        <v>126342.17</v>
      </c>
      <c r="D50" s="232">
        <v>34492.550000000003</v>
      </c>
      <c r="E50" s="232">
        <v>91849.62</v>
      </c>
      <c r="F50" s="265" t="s">
        <v>486</v>
      </c>
      <c r="G50" s="231" t="s">
        <v>6</v>
      </c>
    </row>
    <row r="51" spans="1:7" x14ac:dyDescent="0.25">
      <c r="A51" s="231"/>
      <c r="B51" s="231"/>
      <c r="C51" s="232">
        <v>1163720.73</v>
      </c>
      <c r="D51" s="232">
        <v>1094301.1499999999</v>
      </c>
      <c r="E51" s="232">
        <v>69419.58</v>
      </c>
      <c r="F51" s="265" t="s">
        <v>486</v>
      </c>
      <c r="G51" s="231" t="s">
        <v>6</v>
      </c>
    </row>
    <row r="52" spans="1:7" x14ac:dyDescent="0.25">
      <c r="A52" s="231" t="s">
        <v>618</v>
      </c>
      <c r="B52" s="231"/>
      <c r="C52" s="232"/>
      <c r="D52" s="232"/>
      <c r="E52" s="232"/>
      <c r="F52" s="265" t="s">
        <v>486</v>
      </c>
      <c r="G52" s="231" t="s">
        <v>6</v>
      </c>
    </row>
    <row r="53" spans="1:7" x14ac:dyDescent="0.25">
      <c r="A53" s="231">
        <v>3700000</v>
      </c>
      <c r="B53" s="231" t="s">
        <v>51</v>
      </c>
      <c r="C53" s="232">
        <v>73680.61</v>
      </c>
      <c r="D53" s="232">
        <v>60890.99</v>
      </c>
      <c r="E53" s="232">
        <v>12789.62</v>
      </c>
      <c r="F53" s="265" t="s">
        <v>486</v>
      </c>
      <c r="G53" s="231" t="s">
        <v>6</v>
      </c>
    </row>
    <row r="54" spans="1:7" x14ac:dyDescent="0.25">
      <c r="A54" s="231"/>
      <c r="B54" s="231"/>
      <c r="C54" s="232">
        <v>73680.61</v>
      </c>
      <c r="D54" s="232">
        <v>60890.99</v>
      </c>
      <c r="E54" s="232">
        <v>12789.62</v>
      </c>
      <c r="F54" s="265" t="s">
        <v>486</v>
      </c>
      <c r="G54" s="231" t="s">
        <v>6</v>
      </c>
    </row>
    <row r="55" spans="1:7" x14ac:dyDescent="0.25">
      <c r="A55" s="231" t="s">
        <v>619</v>
      </c>
      <c r="B55" s="231"/>
      <c r="C55" s="232"/>
      <c r="D55" s="232"/>
      <c r="E55" s="232"/>
      <c r="F55" s="265" t="s">
        <v>486</v>
      </c>
      <c r="G55" s="231" t="s">
        <v>6</v>
      </c>
    </row>
    <row r="56" spans="1:7" x14ac:dyDescent="0.25">
      <c r="A56" s="231">
        <v>3500001</v>
      </c>
      <c r="B56" s="231" t="s">
        <v>52</v>
      </c>
      <c r="C56" s="232">
        <v>34446.54</v>
      </c>
      <c r="D56" s="232">
        <v>29632.59</v>
      </c>
      <c r="E56" s="232">
        <v>4813.95</v>
      </c>
      <c r="F56" s="265" t="s">
        <v>486</v>
      </c>
      <c r="G56" s="231" t="s">
        <v>6</v>
      </c>
    </row>
    <row r="57" spans="1:7" x14ac:dyDescent="0.25">
      <c r="A57" s="231"/>
      <c r="B57" s="231"/>
      <c r="C57" s="232">
        <v>34446.54</v>
      </c>
      <c r="D57" s="232">
        <v>29632.59</v>
      </c>
      <c r="E57" s="232">
        <v>4813.95</v>
      </c>
      <c r="F57" s="265" t="s">
        <v>486</v>
      </c>
      <c r="G57" s="231" t="s">
        <v>6</v>
      </c>
    </row>
    <row r="58" spans="1:7" x14ac:dyDescent="0.25">
      <c r="A58" s="231" t="s">
        <v>620</v>
      </c>
      <c r="B58" s="231"/>
      <c r="C58" s="232"/>
      <c r="D58" s="232"/>
      <c r="E58" s="232"/>
      <c r="F58" s="265" t="s">
        <v>486</v>
      </c>
      <c r="G58" s="231" t="s">
        <v>6</v>
      </c>
    </row>
    <row r="59" spans="1:7" x14ac:dyDescent="0.25">
      <c r="A59" s="231">
        <v>3900000</v>
      </c>
      <c r="B59" s="231" t="s">
        <v>621</v>
      </c>
      <c r="C59" s="232">
        <v>-431.6</v>
      </c>
      <c r="D59" s="232">
        <v>162926.70000000001</v>
      </c>
      <c r="E59" s="232">
        <v>-163358.29999999999</v>
      </c>
      <c r="F59" s="265" t="s">
        <v>486</v>
      </c>
      <c r="G59" s="231" t="s">
        <v>6</v>
      </c>
    </row>
    <row r="60" spans="1:7" x14ac:dyDescent="0.25">
      <c r="A60" s="231"/>
      <c r="B60" s="231"/>
      <c r="C60" s="232">
        <v>-431.6</v>
      </c>
      <c r="D60" s="232">
        <v>162926.70000000001</v>
      </c>
      <c r="E60" s="232">
        <v>-163358.29999999999</v>
      </c>
      <c r="F60" s="265" t="s">
        <v>486</v>
      </c>
      <c r="G60" s="231" t="s">
        <v>6</v>
      </c>
    </row>
    <row r="61" spans="1:7" x14ac:dyDescent="0.25">
      <c r="A61" s="231" t="s">
        <v>53</v>
      </c>
      <c r="B61" s="231"/>
      <c r="C61" s="232"/>
      <c r="D61" s="232"/>
      <c r="E61" s="232"/>
      <c r="F61" s="265" t="s">
        <v>486</v>
      </c>
      <c r="G61" s="231" t="s">
        <v>6</v>
      </c>
    </row>
    <row r="62" spans="1:7" x14ac:dyDescent="0.25">
      <c r="A62" s="231">
        <v>1603002</v>
      </c>
      <c r="B62" s="231" t="s">
        <v>54</v>
      </c>
      <c r="C62" s="232">
        <v>6682.02</v>
      </c>
      <c r="D62" s="232">
        <v>6682.02</v>
      </c>
      <c r="E62" s="232">
        <v>0</v>
      </c>
      <c r="F62" s="265" t="s">
        <v>486</v>
      </c>
      <c r="G62" s="231" t="s">
        <v>6</v>
      </c>
    </row>
    <row r="63" spans="1:7" x14ac:dyDescent="0.25">
      <c r="A63" s="231"/>
      <c r="B63" s="231"/>
      <c r="C63" s="232">
        <v>6682.02</v>
      </c>
      <c r="D63" s="232">
        <v>6682.02</v>
      </c>
      <c r="E63" s="232">
        <v>0</v>
      </c>
      <c r="F63" s="265" t="s">
        <v>486</v>
      </c>
      <c r="G63" s="231" t="s">
        <v>6</v>
      </c>
    </row>
    <row r="64" spans="1:7" x14ac:dyDescent="0.25">
      <c r="A64" s="231"/>
      <c r="B64" s="231"/>
      <c r="C64" s="232">
        <v>4137170.53</v>
      </c>
      <c r="D64" s="232">
        <v>4314674.5</v>
      </c>
      <c r="E64" s="232">
        <v>-177503.97</v>
      </c>
      <c r="F64" s="265" t="s">
        <v>486</v>
      </c>
      <c r="G64" s="231" t="s">
        <v>6</v>
      </c>
    </row>
    <row r="65" spans="1:7" x14ac:dyDescent="0.25">
      <c r="A65" s="231" t="s">
        <v>622</v>
      </c>
      <c r="B65" s="231"/>
      <c r="C65" s="232"/>
      <c r="D65" s="232"/>
      <c r="E65" s="232"/>
      <c r="F65" s="265" t="s">
        <v>486</v>
      </c>
      <c r="G65" s="231" t="s">
        <v>6</v>
      </c>
    </row>
    <row r="66" spans="1:7" x14ac:dyDescent="0.25">
      <c r="A66" s="231" t="s">
        <v>623</v>
      </c>
      <c r="B66" s="231"/>
      <c r="C66" s="232"/>
      <c r="D66" s="232"/>
      <c r="E66" s="232"/>
      <c r="F66" s="265" t="s">
        <v>486</v>
      </c>
      <c r="G66" s="231" t="s">
        <v>6</v>
      </c>
    </row>
    <row r="67" spans="1:7" x14ac:dyDescent="0.25">
      <c r="A67" s="231" t="s">
        <v>624</v>
      </c>
      <c r="B67" s="231"/>
      <c r="C67" s="232"/>
      <c r="D67" s="232"/>
      <c r="E67" s="232"/>
      <c r="F67" s="265" t="s">
        <v>486</v>
      </c>
      <c r="G67" s="231" t="s">
        <v>6</v>
      </c>
    </row>
    <row r="68" spans="1:7" x14ac:dyDescent="0.25">
      <c r="A68" s="231">
        <v>2160001</v>
      </c>
      <c r="B68" s="231" t="s">
        <v>56</v>
      </c>
      <c r="C68" s="232">
        <v>590798.05000000005</v>
      </c>
      <c r="D68" s="232">
        <v>589811.81999999995</v>
      </c>
      <c r="E68" s="232">
        <v>986.23</v>
      </c>
      <c r="F68" s="265" t="s">
        <v>486</v>
      </c>
      <c r="G68" s="231" t="s">
        <v>6</v>
      </c>
    </row>
    <row r="69" spans="1:7" x14ac:dyDescent="0.25">
      <c r="A69" s="231">
        <v>2170001</v>
      </c>
      <c r="B69" s="231" t="s">
        <v>57</v>
      </c>
      <c r="C69" s="232">
        <v>112497.65</v>
      </c>
      <c r="D69" s="232">
        <v>112497.65</v>
      </c>
      <c r="E69" s="232">
        <v>0</v>
      </c>
      <c r="F69" s="265" t="s">
        <v>486</v>
      </c>
      <c r="G69" s="231" t="s">
        <v>6</v>
      </c>
    </row>
    <row r="70" spans="1:7" x14ac:dyDescent="0.25">
      <c r="A70" s="231"/>
      <c r="B70" s="231"/>
      <c r="C70" s="232">
        <v>703295.7</v>
      </c>
      <c r="D70" s="232">
        <v>702309.47</v>
      </c>
      <c r="E70" s="232">
        <v>986.23</v>
      </c>
      <c r="F70" s="265" t="s">
        <v>486</v>
      </c>
      <c r="G70" s="231" t="s">
        <v>6</v>
      </c>
    </row>
    <row r="71" spans="1:7" x14ac:dyDescent="0.25">
      <c r="A71" s="231" t="s">
        <v>625</v>
      </c>
      <c r="B71" s="231"/>
      <c r="C71" s="232"/>
      <c r="D71" s="232"/>
      <c r="E71" s="232"/>
      <c r="F71" s="265" t="s">
        <v>486</v>
      </c>
      <c r="G71" s="231" t="s">
        <v>6</v>
      </c>
    </row>
    <row r="72" spans="1:7" x14ac:dyDescent="0.25">
      <c r="A72" s="231">
        <v>2180001</v>
      </c>
      <c r="B72" s="231" t="s">
        <v>58</v>
      </c>
      <c r="C72" s="232">
        <v>1.74</v>
      </c>
      <c r="D72" s="232">
        <v>1.74</v>
      </c>
      <c r="E72" s="232">
        <v>0</v>
      </c>
      <c r="F72" s="265" t="s">
        <v>486</v>
      </c>
      <c r="G72" s="231" t="s">
        <v>6</v>
      </c>
    </row>
    <row r="73" spans="1:7" x14ac:dyDescent="0.25">
      <c r="A73" s="231"/>
      <c r="B73" s="231"/>
      <c r="C73" s="232">
        <v>1.74</v>
      </c>
      <c r="D73" s="232">
        <v>1.74</v>
      </c>
      <c r="E73" s="232">
        <v>0</v>
      </c>
      <c r="F73" s="265" t="s">
        <v>486</v>
      </c>
      <c r="G73" s="231" t="s">
        <v>6</v>
      </c>
    </row>
    <row r="74" spans="1:7" x14ac:dyDescent="0.25">
      <c r="A74" s="231" t="s">
        <v>60</v>
      </c>
      <c r="B74" s="231"/>
      <c r="C74" s="232"/>
      <c r="D74" s="232"/>
      <c r="E74" s="232"/>
      <c r="F74" s="265" t="s">
        <v>486</v>
      </c>
      <c r="G74" s="231" t="s">
        <v>6</v>
      </c>
    </row>
    <row r="75" spans="1:7" x14ac:dyDescent="0.25">
      <c r="A75" s="184">
        <v>2130001</v>
      </c>
      <c r="B75" s="184" t="s">
        <v>60</v>
      </c>
      <c r="C75" s="184">
        <v>2087966</v>
      </c>
      <c r="D75" s="184">
        <v>2087966</v>
      </c>
      <c r="E75" s="184">
        <v>0</v>
      </c>
      <c r="F75" s="265" t="s">
        <v>486</v>
      </c>
      <c r="G75" s="231" t="s">
        <v>6</v>
      </c>
    </row>
    <row r="76" spans="1:7" x14ac:dyDescent="0.25">
      <c r="A76" s="184">
        <v>2130002</v>
      </c>
      <c r="B76" s="184" t="s">
        <v>626</v>
      </c>
      <c r="C76" s="184">
        <v>67543.679999999993</v>
      </c>
      <c r="D76" s="184">
        <v>46317.18</v>
      </c>
      <c r="E76" s="184">
        <v>21226.5</v>
      </c>
      <c r="F76" s="265" t="s">
        <v>486</v>
      </c>
      <c r="G76" s="231" t="s">
        <v>6</v>
      </c>
    </row>
    <row r="77" spans="1:7" x14ac:dyDescent="0.25">
      <c r="C77" s="184">
        <v>2155509.6800000002</v>
      </c>
      <c r="D77" s="184">
        <v>2134283.1800000002</v>
      </c>
      <c r="E77" s="184">
        <v>21226.5</v>
      </c>
      <c r="F77" s="265" t="s">
        <v>486</v>
      </c>
      <c r="G77" s="231" t="s">
        <v>6</v>
      </c>
    </row>
    <row r="78" spans="1:7" x14ac:dyDescent="0.25">
      <c r="A78" s="184" t="s">
        <v>627</v>
      </c>
      <c r="F78" s="265" t="s">
        <v>486</v>
      </c>
      <c r="G78" s="231" t="s">
        <v>6</v>
      </c>
    </row>
    <row r="79" spans="1:7" x14ac:dyDescent="0.25">
      <c r="A79" s="184">
        <v>2110001</v>
      </c>
      <c r="B79" s="184" t="s">
        <v>61</v>
      </c>
      <c r="C79" s="184">
        <v>7470.87</v>
      </c>
      <c r="D79" s="184">
        <v>6834.88</v>
      </c>
      <c r="E79" s="184">
        <v>635.99</v>
      </c>
      <c r="F79" s="265" t="s">
        <v>486</v>
      </c>
      <c r="G79" s="231" t="s">
        <v>6</v>
      </c>
    </row>
    <row r="80" spans="1:7" x14ac:dyDescent="0.25">
      <c r="C80" s="184">
        <v>7470.87</v>
      </c>
      <c r="D80" s="184">
        <v>6834.88</v>
      </c>
      <c r="E80" s="184">
        <v>635.99</v>
      </c>
      <c r="F80" s="265" t="s">
        <v>486</v>
      </c>
      <c r="G80" s="231" t="s">
        <v>6</v>
      </c>
    </row>
    <row r="81" spans="1:7" x14ac:dyDescent="0.25">
      <c r="A81" s="184" t="s">
        <v>628</v>
      </c>
      <c r="F81" s="265" t="s">
        <v>486</v>
      </c>
      <c r="G81" s="231" t="s">
        <v>6</v>
      </c>
    </row>
    <row r="82" spans="1:7" x14ac:dyDescent="0.25">
      <c r="A82" s="184">
        <v>2140001</v>
      </c>
      <c r="B82" s="184" t="s">
        <v>62</v>
      </c>
      <c r="C82" s="184">
        <v>12789.52</v>
      </c>
      <c r="D82" s="184">
        <v>12789.52</v>
      </c>
      <c r="E82" s="184">
        <v>0</v>
      </c>
      <c r="F82" s="265" t="s">
        <v>486</v>
      </c>
      <c r="G82" s="231" t="s">
        <v>6</v>
      </c>
    </row>
    <row r="83" spans="1:7" x14ac:dyDescent="0.25">
      <c r="C83" s="184">
        <v>12789.52</v>
      </c>
      <c r="D83" s="184">
        <v>12789.52</v>
      </c>
      <c r="E83" s="184">
        <v>0</v>
      </c>
      <c r="F83" s="265" t="s">
        <v>486</v>
      </c>
      <c r="G83" s="231" t="s">
        <v>6</v>
      </c>
    </row>
    <row r="84" spans="1:7" x14ac:dyDescent="0.25">
      <c r="A84" s="184" t="s">
        <v>629</v>
      </c>
      <c r="F84" s="265" t="s">
        <v>486</v>
      </c>
      <c r="G84" s="231" t="s">
        <v>6</v>
      </c>
    </row>
    <row r="85" spans="1:7" x14ac:dyDescent="0.25">
      <c r="A85" s="184">
        <v>2120001</v>
      </c>
      <c r="B85" s="184" t="s">
        <v>63</v>
      </c>
      <c r="C85" s="184">
        <v>622867.74</v>
      </c>
      <c r="D85" s="184">
        <v>622867.74</v>
      </c>
      <c r="E85" s="184">
        <v>0</v>
      </c>
      <c r="F85" s="265" t="s">
        <v>486</v>
      </c>
      <c r="G85" s="231" t="s">
        <v>6</v>
      </c>
    </row>
    <row r="86" spans="1:7" x14ac:dyDescent="0.25">
      <c r="C86" s="184">
        <v>622867.74</v>
      </c>
      <c r="D86" s="184">
        <v>622867.74</v>
      </c>
      <c r="E86" s="184">
        <v>0</v>
      </c>
      <c r="F86" s="265" t="s">
        <v>486</v>
      </c>
      <c r="G86" s="231" t="s">
        <v>6</v>
      </c>
    </row>
    <row r="87" spans="1:7" x14ac:dyDescent="0.25">
      <c r="A87" s="184" t="s">
        <v>630</v>
      </c>
      <c r="F87" s="265" t="s">
        <v>486</v>
      </c>
      <c r="G87" s="231" t="s">
        <v>6</v>
      </c>
    </row>
    <row r="88" spans="1:7" x14ac:dyDescent="0.25">
      <c r="A88" s="184">
        <v>2811001</v>
      </c>
      <c r="B88" s="184" t="s">
        <v>65</v>
      </c>
      <c r="C88" s="184">
        <v>-133134.87</v>
      </c>
      <c r="D88" s="184">
        <v>-128357.88</v>
      </c>
      <c r="E88" s="184">
        <v>-4776.99</v>
      </c>
      <c r="F88" s="265" t="s">
        <v>486</v>
      </c>
      <c r="G88" s="231" t="s">
        <v>6</v>
      </c>
    </row>
    <row r="89" spans="1:7" x14ac:dyDescent="0.25">
      <c r="A89" s="184">
        <v>2812001</v>
      </c>
      <c r="B89" s="184" t="s">
        <v>66</v>
      </c>
      <c r="C89" s="184">
        <v>-61373.46</v>
      </c>
      <c r="D89" s="184">
        <v>-61373.46</v>
      </c>
      <c r="E89" s="184">
        <v>0</v>
      </c>
      <c r="F89" s="265" t="s">
        <v>486</v>
      </c>
      <c r="G89" s="231" t="s">
        <v>6</v>
      </c>
    </row>
    <row r="90" spans="1:7" x14ac:dyDescent="0.25">
      <c r="A90" s="184">
        <v>2813001</v>
      </c>
      <c r="B90" s="184" t="s">
        <v>67</v>
      </c>
      <c r="C90" s="184">
        <v>-1804299.78</v>
      </c>
      <c r="D90" s="184">
        <v>-1793248.78</v>
      </c>
      <c r="E90" s="184">
        <v>-11051</v>
      </c>
      <c r="F90" s="265" t="s">
        <v>486</v>
      </c>
      <c r="G90" s="231" t="s">
        <v>6</v>
      </c>
    </row>
    <row r="91" spans="1:7" x14ac:dyDescent="0.25">
      <c r="A91" s="184">
        <v>2813002</v>
      </c>
      <c r="B91" s="184" t="s">
        <v>631</v>
      </c>
      <c r="C91" s="184">
        <v>-5045.68</v>
      </c>
      <c r="D91" s="184">
        <v>-4271.18</v>
      </c>
      <c r="E91" s="184">
        <v>-774.5</v>
      </c>
      <c r="F91" s="265" t="s">
        <v>486</v>
      </c>
      <c r="G91" s="231" t="s">
        <v>6</v>
      </c>
    </row>
    <row r="92" spans="1:7" x14ac:dyDescent="0.25">
      <c r="A92" s="184">
        <v>2814001</v>
      </c>
      <c r="B92" s="184" t="s">
        <v>68</v>
      </c>
      <c r="C92" s="184">
        <v>-11736.18</v>
      </c>
      <c r="D92" s="184">
        <v>-11614.18</v>
      </c>
      <c r="E92" s="184">
        <v>-122</v>
      </c>
      <c r="F92" s="265" t="s">
        <v>486</v>
      </c>
      <c r="G92" s="231" t="s">
        <v>6</v>
      </c>
    </row>
    <row r="93" spans="1:7" x14ac:dyDescent="0.25">
      <c r="A93" s="184">
        <v>2816001</v>
      </c>
      <c r="B93" s="184" t="s">
        <v>69</v>
      </c>
      <c r="C93" s="184">
        <v>-317143.52</v>
      </c>
      <c r="D93" s="184">
        <v>-307451.28999999998</v>
      </c>
      <c r="E93" s="184">
        <v>-9692.23</v>
      </c>
      <c r="F93" s="265" t="s">
        <v>486</v>
      </c>
      <c r="G93" s="231" t="s">
        <v>6</v>
      </c>
    </row>
    <row r="94" spans="1:7" x14ac:dyDescent="0.25">
      <c r="A94" s="184">
        <v>2817001</v>
      </c>
      <c r="B94" s="184" t="s">
        <v>70</v>
      </c>
      <c r="C94" s="184">
        <v>-97772.62</v>
      </c>
      <c r="D94" s="184">
        <v>-96900.62</v>
      </c>
      <c r="E94" s="184">
        <v>-872</v>
      </c>
      <c r="F94" s="265" t="s">
        <v>486</v>
      </c>
      <c r="G94" s="231" t="s">
        <v>6</v>
      </c>
    </row>
    <row r="95" spans="1:7" x14ac:dyDescent="0.25">
      <c r="A95" s="184">
        <v>2818001</v>
      </c>
      <c r="B95" s="184" t="s">
        <v>71</v>
      </c>
      <c r="C95" s="184">
        <v>-0.93</v>
      </c>
      <c r="D95" s="184">
        <v>-0.93</v>
      </c>
      <c r="E95" s="184">
        <v>0</v>
      </c>
      <c r="F95" s="265" t="s">
        <v>486</v>
      </c>
      <c r="G95" s="231" t="s">
        <v>6</v>
      </c>
    </row>
    <row r="96" spans="1:7" x14ac:dyDescent="0.25">
      <c r="C96" s="184">
        <v>-2430507.04</v>
      </c>
      <c r="D96" s="184">
        <v>-2403218.3199999998</v>
      </c>
      <c r="E96" s="184">
        <v>-27288.720000000001</v>
      </c>
      <c r="F96" s="265" t="s">
        <v>486</v>
      </c>
      <c r="G96" s="231" t="s">
        <v>6</v>
      </c>
    </row>
    <row r="97" spans="1:7" x14ac:dyDescent="0.25">
      <c r="C97" s="184">
        <v>-2430507.04</v>
      </c>
      <c r="D97" s="184">
        <v>-2403218.3199999998</v>
      </c>
      <c r="E97" s="184">
        <v>-27288.720000000001</v>
      </c>
      <c r="F97" s="265" t="s">
        <v>486</v>
      </c>
      <c r="G97" s="231" t="s">
        <v>6</v>
      </c>
    </row>
    <row r="98" spans="1:7" x14ac:dyDescent="0.25">
      <c r="A98" s="184" t="s">
        <v>632</v>
      </c>
      <c r="C98" s="184">
        <v>1071428.21</v>
      </c>
      <c r="D98" s="184">
        <v>1075868.21</v>
      </c>
      <c r="E98" s="184">
        <v>-4440</v>
      </c>
      <c r="F98" s="265" t="s">
        <v>486</v>
      </c>
      <c r="G98" s="231" t="s">
        <v>6</v>
      </c>
    </row>
    <row r="99" spans="1:7" x14ac:dyDescent="0.25">
      <c r="A99" s="184" t="s">
        <v>633</v>
      </c>
      <c r="F99" s="265" t="s">
        <v>486</v>
      </c>
      <c r="G99" s="231" t="s">
        <v>6</v>
      </c>
    </row>
    <row r="100" spans="1:7" x14ac:dyDescent="0.25">
      <c r="F100" s="265" t="s">
        <v>486</v>
      </c>
      <c r="G100" s="231" t="s">
        <v>6</v>
      </c>
    </row>
    <row r="101" spans="1:7" x14ac:dyDescent="0.25">
      <c r="A101" s="184" t="s">
        <v>634</v>
      </c>
      <c r="F101" s="265" t="s">
        <v>486</v>
      </c>
      <c r="G101" s="231" t="s">
        <v>6</v>
      </c>
    </row>
    <row r="102" spans="1:7" x14ac:dyDescent="0.25">
      <c r="A102" s="184" t="s">
        <v>155</v>
      </c>
      <c r="F102" s="265" t="s">
        <v>486</v>
      </c>
      <c r="G102" s="231" t="s">
        <v>6</v>
      </c>
    </row>
    <row r="103" spans="1:7" x14ac:dyDescent="0.25">
      <c r="A103" s="184" t="s">
        <v>635</v>
      </c>
      <c r="F103" s="265" t="s">
        <v>486</v>
      </c>
      <c r="G103" s="231" t="s">
        <v>6</v>
      </c>
    </row>
    <row r="104" spans="1:7" x14ac:dyDescent="0.25">
      <c r="A104" s="184">
        <v>4732002</v>
      </c>
      <c r="B104" s="184" t="s">
        <v>73</v>
      </c>
      <c r="C104" s="184">
        <v>72626.259999999995</v>
      </c>
      <c r="D104" s="184">
        <v>10237.129999999999</v>
      </c>
      <c r="E104" s="184">
        <v>62389.13</v>
      </c>
      <c r="F104" s="265" t="s">
        <v>486</v>
      </c>
      <c r="G104" s="231" t="s">
        <v>6</v>
      </c>
    </row>
    <row r="105" spans="1:7" x14ac:dyDescent="0.25">
      <c r="C105" s="184">
        <v>72626.259999999995</v>
      </c>
      <c r="D105" s="184">
        <v>10237.129999999999</v>
      </c>
      <c r="E105" s="184">
        <v>62389.13</v>
      </c>
      <c r="F105" s="265" t="s">
        <v>486</v>
      </c>
      <c r="G105" s="231" t="s">
        <v>6</v>
      </c>
    </row>
    <row r="106" spans="1:7" x14ac:dyDescent="0.25">
      <c r="A106" s="184" t="s">
        <v>636</v>
      </c>
      <c r="F106" s="265" t="s">
        <v>486</v>
      </c>
      <c r="G106" s="231" t="s">
        <v>6</v>
      </c>
    </row>
    <row r="107" spans="1:7" x14ac:dyDescent="0.25">
      <c r="A107" s="184">
        <v>4732003</v>
      </c>
      <c r="B107" s="184" t="s">
        <v>74</v>
      </c>
      <c r="C107" s="184">
        <v>23682.47</v>
      </c>
      <c r="D107" s="184">
        <v>52937.34</v>
      </c>
      <c r="E107" s="184">
        <v>-29254.87</v>
      </c>
      <c r="F107" s="265" t="s">
        <v>486</v>
      </c>
      <c r="G107" s="231" t="s">
        <v>6</v>
      </c>
    </row>
    <row r="108" spans="1:7" x14ac:dyDescent="0.25">
      <c r="C108" s="184">
        <v>23682.47</v>
      </c>
      <c r="D108" s="184">
        <v>52937.34</v>
      </c>
      <c r="E108" s="184">
        <v>-29254.87</v>
      </c>
      <c r="F108" s="265" t="s">
        <v>486</v>
      </c>
      <c r="G108" s="231" t="s">
        <v>6</v>
      </c>
    </row>
    <row r="109" spans="1:7" x14ac:dyDescent="0.25">
      <c r="A109" s="184" t="s">
        <v>637</v>
      </c>
      <c r="F109" s="265" t="s">
        <v>486</v>
      </c>
      <c r="G109" s="231" t="s">
        <v>6</v>
      </c>
    </row>
    <row r="110" spans="1:7" x14ac:dyDescent="0.25">
      <c r="A110" s="184">
        <v>4732004</v>
      </c>
      <c r="B110" s="184" t="s">
        <v>75</v>
      </c>
      <c r="C110" s="184">
        <v>48984.800000000003</v>
      </c>
      <c r="D110" s="184">
        <v>48984.800000000003</v>
      </c>
      <c r="E110" s="184">
        <v>0</v>
      </c>
      <c r="F110" s="265" t="s">
        <v>486</v>
      </c>
      <c r="G110" s="231" t="s">
        <v>6</v>
      </c>
    </row>
    <row r="111" spans="1:7" x14ac:dyDescent="0.25">
      <c r="C111" s="184">
        <v>48984.800000000003</v>
      </c>
      <c r="D111" s="184">
        <v>48984.800000000003</v>
      </c>
      <c r="E111" s="184">
        <v>0</v>
      </c>
      <c r="F111" s="265" t="s">
        <v>486</v>
      </c>
      <c r="G111" s="231" t="s">
        <v>6</v>
      </c>
    </row>
    <row r="112" spans="1:7" x14ac:dyDescent="0.25">
      <c r="C112" s="184">
        <v>145293.53</v>
      </c>
      <c r="D112" s="184">
        <v>112159.27</v>
      </c>
      <c r="E112" s="184">
        <v>33134.26</v>
      </c>
      <c r="F112" s="265" t="s">
        <v>486</v>
      </c>
      <c r="G112" s="231" t="s">
        <v>6</v>
      </c>
    </row>
    <row r="113" spans="1:7" x14ac:dyDescent="0.25">
      <c r="A113" s="184" t="s">
        <v>638</v>
      </c>
      <c r="F113" s="265" t="s">
        <v>486</v>
      </c>
      <c r="G113" s="231" t="s">
        <v>6</v>
      </c>
    </row>
    <row r="114" spans="1:7" x14ac:dyDescent="0.25">
      <c r="A114" s="184" t="s">
        <v>639</v>
      </c>
      <c r="F114" s="265" t="s">
        <v>486</v>
      </c>
      <c r="G114" s="231" t="s">
        <v>6</v>
      </c>
    </row>
    <row r="115" spans="1:7" x14ac:dyDescent="0.25">
      <c r="A115" s="184">
        <v>2650000</v>
      </c>
      <c r="B115" s="184" t="s">
        <v>76</v>
      </c>
      <c r="C115" s="184">
        <v>2499.98</v>
      </c>
      <c r="D115" s="184">
        <v>2499.98</v>
      </c>
      <c r="E115" s="184">
        <v>0</v>
      </c>
      <c r="F115" s="265" t="s">
        <v>486</v>
      </c>
      <c r="G115" s="231" t="s">
        <v>6</v>
      </c>
    </row>
    <row r="116" spans="1:7" x14ac:dyDescent="0.25">
      <c r="C116" s="184">
        <v>2499.98</v>
      </c>
      <c r="D116" s="184">
        <v>2499.98</v>
      </c>
      <c r="E116" s="184">
        <v>0</v>
      </c>
      <c r="F116" s="265" t="s">
        <v>486</v>
      </c>
      <c r="G116" s="231" t="s">
        <v>6</v>
      </c>
    </row>
    <row r="117" spans="1:7" x14ac:dyDescent="0.25">
      <c r="C117" s="184">
        <v>2499.98</v>
      </c>
      <c r="D117" s="184">
        <v>2499.98</v>
      </c>
      <c r="E117" s="184">
        <v>0</v>
      </c>
      <c r="F117" s="265" t="s">
        <v>486</v>
      </c>
      <c r="G117" s="231" t="s">
        <v>6</v>
      </c>
    </row>
    <row r="118" spans="1:7" x14ac:dyDescent="0.25">
      <c r="A118" s="184" t="s">
        <v>640</v>
      </c>
      <c r="F118" s="265" t="s">
        <v>486</v>
      </c>
      <c r="G118" s="231" t="s">
        <v>6</v>
      </c>
    </row>
    <row r="119" spans="1:7" x14ac:dyDescent="0.25">
      <c r="A119" s="184" t="s">
        <v>641</v>
      </c>
      <c r="F119" s="265" t="s">
        <v>486</v>
      </c>
      <c r="G119" s="231" t="s">
        <v>6</v>
      </c>
    </row>
    <row r="120" spans="1:7" x14ac:dyDescent="0.25">
      <c r="A120" s="184">
        <v>2100000</v>
      </c>
      <c r="B120" s="184" t="s">
        <v>77</v>
      </c>
      <c r="C120" s="184">
        <v>34420.46</v>
      </c>
      <c r="D120" s="184">
        <v>11216.79</v>
      </c>
      <c r="E120" s="184">
        <v>23203.67</v>
      </c>
      <c r="F120" s="265" t="s">
        <v>486</v>
      </c>
      <c r="G120" s="231" t="s">
        <v>6</v>
      </c>
    </row>
    <row r="121" spans="1:7" x14ac:dyDescent="0.25">
      <c r="C121" s="184">
        <v>34420.46</v>
      </c>
      <c r="D121" s="184">
        <v>11216.79</v>
      </c>
      <c r="E121" s="184">
        <v>23203.67</v>
      </c>
      <c r="F121" s="265" t="s">
        <v>486</v>
      </c>
      <c r="G121" s="231" t="s">
        <v>6</v>
      </c>
    </row>
    <row r="122" spans="1:7" x14ac:dyDescent="0.25">
      <c r="C122" s="184">
        <v>34420.46</v>
      </c>
      <c r="D122" s="184">
        <v>11216.79</v>
      </c>
      <c r="E122" s="184">
        <v>23203.67</v>
      </c>
      <c r="F122" s="265" t="s">
        <v>486</v>
      </c>
      <c r="G122" s="231" t="s">
        <v>6</v>
      </c>
    </row>
    <row r="123" spans="1:7" x14ac:dyDescent="0.25">
      <c r="C123" s="184">
        <v>182213.97</v>
      </c>
      <c r="D123" s="184">
        <v>125876.04</v>
      </c>
      <c r="E123" s="184">
        <v>56337.93</v>
      </c>
      <c r="F123" s="265" t="s">
        <v>486</v>
      </c>
      <c r="G123" s="231" t="s">
        <v>6</v>
      </c>
    </row>
    <row r="124" spans="1:7" x14ac:dyDescent="0.25">
      <c r="A124" s="184" t="s">
        <v>642</v>
      </c>
      <c r="C124" s="184">
        <v>5390812.71</v>
      </c>
      <c r="D124" s="184">
        <v>5516418.75</v>
      </c>
      <c r="E124" s="184">
        <v>-125606.04</v>
      </c>
      <c r="F124" s="265" t="s">
        <v>486</v>
      </c>
      <c r="G124" s="231" t="s">
        <v>6</v>
      </c>
    </row>
    <row r="125" spans="1:7" x14ac:dyDescent="0.25">
      <c r="A125" s="184" t="s">
        <v>643</v>
      </c>
      <c r="F125" s="265" t="s">
        <v>486</v>
      </c>
      <c r="G125" s="231" t="s">
        <v>6</v>
      </c>
    </row>
    <row r="126" spans="1:7" x14ac:dyDescent="0.25">
      <c r="F126" s="265" t="s">
        <v>486</v>
      </c>
      <c r="G126" s="231" t="s">
        <v>6</v>
      </c>
    </row>
    <row r="127" spans="1:7" x14ac:dyDescent="0.25">
      <c r="F127" s="265" t="s">
        <v>486</v>
      </c>
      <c r="G127" s="231" t="s">
        <v>6</v>
      </c>
    </row>
    <row r="128" spans="1:7" x14ac:dyDescent="0.25">
      <c r="F128" s="265" t="s">
        <v>486</v>
      </c>
      <c r="G128" s="231" t="s">
        <v>6</v>
      </c>
    </row>
    <row r="129" spans="1:7" x14ac:dyDescent="0.25">
      <c r="F129" s="265" t="s">
        <v>486</v>
      </c>
      <c r="G129" s="231" t="s">
        <v>6</v>
      </c>
    </row>
    <row r="130" spans="1:7" x14ac:dyDescent="0.25">
      <c r="F130" s="265" t="s">
        <v>486</v>
      </c>
      <c r="G130" s="231" t="s">
        <v>6</v>
      </c>
    </row>
    <row r="131" spans="1:7" x14ac:dyDescent="0.25">
      <c r="F131" s="265" t="s">
        <v>486</v>
      </c>
      <c r="G131" s="231" t="s">
        <v>6</v>
      </c>
    </row>
    <row r="132" spans="1:7" x14ac:dyDescent="0.25">
      <c r="F132" s="265" t="s">
        <v>486</v>
      </c>
      <c r="G132" s="231" t="s">
        <v>6</v>
      </c>
    </row>
    <row r="133" spans="1:7" x14ac:dyDescent="0.25">
      <c r="F133" s="265" t="s">
        <v>486</v>
      </c>
      <c r="G133" s="231" t="s">
        <v>6</v>
      </c>
    </row>
    <row r="134" spans="1:7" x14ac:dyDescent="0.25">
      <c r="A134" s="184" t="s">
        <v>644</v>
      </c>
      <c r="E134" s="184" t="s">
        <v>645</v>
      </c>
      <c r="F134" s="265" t="s">
        <v>486</v>
      </c>
      <c r="G134" s="231" t="s">
        <v>6</v>
      </c>
    </row>
    <row r="135" spans="1:7" x14ac:dyDescent="0.25">
      <c r="A135" s="184" t="s">
        <v>646</v>
      </c>
      <c r="E135" s="184" t="s">
        <v>647</v>
      </c>
      <c r="F135" s="265" t="s">
        <v>486</v>
      </c>
      <c r="G135" s="231" t="s">
        <v>6</v>
      </c>
    </row>
    <row r="136" spans="1:7" x14ac:dyDescent="0.25">
      <c r="F136" s="265" t="s">
        <v>486</v>
      </c>
      <c r="G136" s="231" t="s">
        <v>6</v>
      </c>
    </row>
    <row r="137" spans="1:7" x14ac:dyDescent="0.25">
      <c r="A137" s="184" t="s">
        <v>79</v>
      </c>
      <c r="F137" s="265" t="s">
        <v>486</v>
      </c>
      <c r="G137" s="231" t="s">
        <v>6</v>
      </c>
    </row>
    <row r="138" spans="1:7" x14ac:dyDescent="0.25">
      <c r="A138" s="184" t="s">
        <v>648</v>
      </c>
      <c r="F138" s="265" t="s">
        <v>486</v>
      </c>
      <c r="G138" s="231" t="s">
        <v>6</v>
      </c>
    </row>
    <row r="139" spans="1:7" x14ac:dyDescent="0.25">
      <c r="A139" s="184" t="s">
        <v>649</v>
      </c>
      <c r="F139" s="265" t="s">
        <v>486</v>
      </c>
      <c r="G139" s="231" t="s">
        <v>6</v>
      </c>
    </row>
    <row r="140" spans="1:7" x14ac:dyDescent="0.25">
      <c r="A140" s="184" t="s">
        <v>633</v>
      </c>
      <c r="F140" s="265" t="s">
        <v>486</v>
      </c>
      <c r="G140" s="231" t="s">
        <v>6</v>
      </c>
    </row>
    <row r="141" spans="1:7" x14ac:dyDescent="0.25">
      <c r="A141" s="184" t="s">
        <v>650</v>
      </c>
      <c r="F141" s="265" t="s">
        <v>486</v>
      </c>
      <c r="G141" s="231" t="s">
        <v>6</v>
      </c>
    </row>
    <row r="142" spans="1:7" x14ac:dyDescent="0.25">
      <c r="A142" s="184">
        <v>4100000</v>
      </c>
      <c r="B142" s="184" t="s">
        <v>86</v>
      </c>
      <c r="C142" s="184">
        <v>-25668.23</v>
      </c>
      <c r="D142" s="184">
        <v>-22025.39</v>
      </c>
      <c r="E142" s="184">
        <v>-3642.84</v>
      </c>
      <c r="F142" s="265" t="s">
        <v>486</v>
      </c>
      <c r="G142" s="231" t="s">
        <v>6</v>
      </c>
    </row>
    <row r="143" spans="1:7" x14ac:dyDescent="0.25">
      <c r="A143" s="184">
        <v>4100004</v>
      </c>
      <c r="B143" s="184" t="s">
        <v>94</v>
      </c>
      <c r="C143" s="184">
        <v>-1821.63</v>
      </c>
      <c r="D143" s="184">
        <v>-11544.97</v>
      </c>
      <c r="E143" s="184">
        <v>9723.34</v>
      </c>
      <c r="F143" s="265" t="s">
        <v>486</v>
      </c>
      <c r="G143" s="231" t="s">
        <v>6</v>
      </c>
    </row>
    <row r="144" spans="1:7" x14ac:dyDescent="0.25">
      <c r="A144" s="184">
        <v>4104000</v>
      </c>
      <c r="B144" s="184" t="s">
        <v>87</v>
      </c>
      <c r="C144" s="184">
        <v>139.87</v>
      </c>
      <c r="D144" s="184">
        <v>139.87</v>
      </c>
      <c r="E144" s="184">
        <v>0</v>
      </c>
      <c r="F144" s="265" t="s">
        <v>486</v>
      </c>
      <c r="G144" s="231" t="s">
        <v>6</v>
      </c>
    </row>
    <row r="145" spans="1:7" x14ac:dyDescent="0.25">
      <c r="C145" s="184">
        <v>-27349.99</v>
      </c>
      <c r="D145" s="184">
        <v>-33430.49</v>
      </c>
      <c r="E145" s="184">
        <v>6080.5</v>
      </c>
      <c r="F145" s="265" t="s">
        <v>486</v>
      </c>
      <c r="G145" s="231" t="s">
        <v>6</v>
      </c>
    </row>
    <row r="146" spans="1:7" x14ac:dyDescent="0.25">
      <c r="A146" s="184" t="s">
        <v>88</v>
      </c>
      <c r="F146" s="265" t="s">
        <v>486</v>
      </c>
      <c r="G146" s="231" t="s">
        <v>6</v>
      </c>
    </row>
    <row r="147" spans="1:7" x14ac:dyDescent="0.25">
      <c r="A147" s="184">
        <v>4000000</v>
      </c>
      <c r="B147" s="184" t="s">
        <v>89</v>
      </c>
      <c r="C147" s="184">
        <v>-387009.78</v>
      </c>
      <c r="D147" s="184">
        <v>-332219.75</v>
      </c>
      <c r="E147" s="184">
        <v>-54790.03</v>
      </c>
      <c r="F147" s="265" t="s">
        <v>486</v>
      </c>
      <c r="G147" s="231" t="s">
        <v>6</v>
      </c>
    </row>
    <row r="148" spans="1:7" x14ac:dyDescent="0.25">
      <c r="A148" s="184">
        <v>4004000</v>
      </c>
      <c r="B148" s="184" t="s">
        <v>90</v>
      </c>
      <c r="C148" s="184">
        <v>-652112.48</v>
      </c>
      <c r="D148" s="184">
        <v>-805681.57</v>
      </c>
      <c r="E148" s="184">
        <v>153569.09</v>
      </c>
      <c r="F148" s="265" t="s">
        <v>486</v>
      </c>
      <c r="G148" s="231" t="s">
        <v>6</v>
      </c>
    </row>
    <row r="149" spans="1:7" x14ac:dyDescent="0.25">
      <c r="A149" s="184">
        <v>4009000</v>
      </c>
      <c r="B149" s="184" t="s">
        <v>91</v>
      </c>
      <c r="C149" s="184">
        <v>-16485.939999999999</v>
      </c>
      <c r="D149" s="184">
        <v>-16374.35</v>
      </c>
      <c r="E149" s="184">
        <v>-111.59</v>
      </c>
      <c r="F149" s="265" t="s">
        <v>486</v>
      </c>
      <c r="G149" s="231" t="s">
        <v>6</v>
      </c>
    </row>
    <row r="150" spans="1:7" x14ac:dyDescent="0.25">
      <c r="A150" s="184">
        <v>4009001</v>
      </c>
      <c r="B150" s="184" t="s">
        <v>156</v>
      </c>
      <c r="C150" s="184">
        <v>1.58</v>
      </c>
      <c r="D150" s="184">
        <v>2.46</v>
      </c>
      <c r="E150" s="184">
        <v>-0.88</v>
      </c>
      <c r="F150" s="265" t="s">
        <v>486</v>
      </c>
      <c r="G150" s="231" t="s">
        <v>6</v>
      </c>
    </row>
    <row r="151" spans="1:7" x14ac:dyDescent="0.25">
      <c r="A151" s="184">
        <v>4009002</v>
      </c>
      <c r="B151" s="184" t="s">
        <v>92</v>
      </c>
      <c r="C151" s="184">
        <v>-15986.28</v>
      </c>
      <c r="D151" s="184">
        <v>-16953.689999999999</v>
      </c>
      <c r="E151" s="184">
        <v>967.41</v>
      </c>
      <c r="F151" s="265" t="s">
        <v>486</v>
      </c>
      <c r="G151" s="231" t="s">
        <v>6</v>
      </c>
    </row>
    <row r="152" spans="1:7" x14ac:dyDescent="0.25">
      <c r="A152" s="184">
        <v>4030000</v>
      </c>
      <c r="B152" s="184" t="s">
        <v>83</v>
      </c>
      <c r="C152" s="184">
        <v>-364305.03</v>
      </c>
      <c r="D152" s="184">
        <v>-161925.03</v>
      </c>
      <c r="E152" s="184">
        <v>-202380</v>
      </c>
      <c r="F152" s="265" t="s">
        <v>486</v>
      </c>
      <c r="G152" s="231" t="s">
        <v>6</v>
      </c>
    </row>
    <row r="153" spans="1:7" x14ac:dyDescent="0.25">
      <c r="A153" s="184">
        <v>4030001</v>
      </c>
      <c r="B153" s="184" t="s">
        <v>82</v>
      </c>
      <c r="C153" s="184">
        <v>-5333.2</v>
      </c>
      <c r="D153" s="184">
        <v>-5333.2</v>
      </c>
      <c r="E153" s="184">
        <v>0</v>
      </c>
      <c r="F153" s="265" t="s">
        <v>486</v>
      </c>
      <c r="G153" s="231" t="s">
        <v>6</v>
      </c>
    </row>
    <row r="154" spans="1:7" x14ac:dyDescent="0.25">
      <c r="C154" s="184">
        <v>-1441231.13</v>
      </c>
      <c r="D154" s="184">
        <v>-1338485.1299999999</v>
      </c>
      <c r="E154" s="184">
        <v>-102746</v>
      </c>
      <c r="F154" s="265" t="s">
        <v>486</v>
      </c>
      <c r="G154" s="231" t="s">
        <v>6</v>
      </c>
    </row>
    <row r="155" spans="1:7" x14ac:dyDescent="0.25">
      <c r="A155" s="184" t="s">
        <v>651</v>
      </c>
      <c r="F155" s="265" t="s">
        <v>486</v>
      </c>
      <c r="G155" s="231" t="s">
        <v>6</v>
      </c>
    </row>
    <row r="156" spans="1:7" x14ac:dyDescent="0.25">
      <c r="A156" s="184">
        <v>4650003</v>
      </c>
      <c r="B156" s="184" t="s">
        <v>97</v>
      </c>
      <c r="C156" s="184">
        <v>-26461.58</v>
      </c>
      <c r="D156" s="184">
        <v>-20243</v>
      </c>
      <c r="E156" s="184">
        <v>-6218.58</v>
      </c>
      <c r="F156" s="265" t="s">
        <v>486</v>
      </c>
      <c r="G156" s="231" t="s">
        <v>6</v>
      </c>
    </row>
    <row r="157" spans="1:7" x14ac:dyDescent="0.25">
      <c r="A157" s="184">
        <v>4650009</v>
      </c>
      <c r="B157" s="184" t="s">
        <v>98</v>
      </c>
      <c r="C157" s="184">
        <v>-23287.18</v>
      </c>
      <c r="D157" s="184">
        <v>-14881.97</v>
      </c>
      <c r="E157" s="184">
        <v>-8405.2099999999991</v>
      </c>
      <c r="F157" s="265" t="s">
        <v>486</v>
      </c>
      <c r="G157" s="231" t="s">
        <v>6</v>
      </c>
    </row>
    <row r="158" spans="1:7" x14ac:dyDescent="0.25">
      <c r="A158" s="184">
        <v>4650017</v>
      </c>
      <c r="B158" s="184" t="s">
        <v>99</v>
      </c>
      <c r="C158" s="184">
        <v>-53271.92</v>
      </c>
      <c r="D158" s="184">
        <v>-47053.34</v>
      </c>
      <c r="E158" s="184">
        <v>-6218.58</v>
      </c>
      <c r="F158" s="265" t="s">
        <v>486</v>
      </c>
      <c r="G158" s="231" t="s">
        <v>6</v>
      </c>
    </row>
    <row r="159" spans="1:7" x14ac:dyDescent="0.25">
      <c r="C159" s="184">
        <v>-103020.68</v>
      </c>
      <c r="D159" s="184">
        <v>-82178.31</v>
      </c>
      <c r="E159" s="184">
        <v>-20842.37</v>
      </c>
      <c r="F159" s="265" t="s">
        <v>486</v>
      </c>
      <c r="G159" s="231" t="s">
        <v>6</v>
      </c>
    </row>
    <row r="160" spans="1:7" x14ac:dyDescent="0.25">
      <c r="A160" s="184" t="s">
        <v>158</v>
      </c>
      <c r="F160" s="265" t="s">
        <v>486</v>
      </c>
      <c r="G160" s="231" t="s">
        <v>6</v>
      </c>
    </row>
    <row r="161" spans="1:7" x14ac:dyDescent="0.25">
      <c r="A161" s="184">
        <v>4760000</v>
      </c>
      <c r="B161" s="184" t="s">
        <v>101</v>
      </c>
      <c r="C161" s="184">
        <v>-9734.25</v>
      </c>
      <c r="D161" s="184">
        <v>-7392.18</v>
      </c>
      <c r="E161" s="184">
        <v>-2342.0700000000002</v>
      </c>
      <c r="F161" s="265" t="s">
        <v>486</v>
      </c>
      <c r="G161" s="231" t="s">
        <v>6</v>
      </c>
    </row>
    <row r="162" spans="1:7" x14ac:dyDescent="0.25">
      <c r="A162" s="184">
        <v>4760023</v>
      </c>
      <c r="B162" s="184" t="s">
        <v>102</v>
      </c>
      <c r="C162" s="184">
        <v>-3710.92</v>
      </c>
      <c r="D162" s="184">
        <v>-2818.02</v>
      </c>
      <c r="E162" s="184">
        <v>-892.9</v>
      </c>
      <c r="F162" s="265" t="s">
        <v>486</v>
      </c>
      <c r="G162" s="231" t="s">
        <v>6</v>
      </c>
    </row>
    <row r="163" spans="1:7" x14ac:dyDescent="0.25">
      <c r="A163" s="184">
        <v>4760024</v>
      </c>
      <c r="B163" s="184" t="s">
        <v>103</v>
      </c>
      <c r="C163" s="184">
        <v>-934.91</v>
      </c>
      <c r="D163" s="184">
        <v>-1051.4100000000001</v>
      </c>
      <c r="E163" s="184">
        <v>116.5</v>
      </c>
      <c r="F163" s="265" t="s">
        <v>486</v>
      </c>
      <c r="G163" s="231" t="s">
        <v>6</v>
      </c>
    </row>
    <row r="164" spans="1:7" x14ac:dyDescent="0.25">
      <c r="C164" s="184">
        <v>-14380.08</v>
      </c>
      <c r="D164" s="184">
        <v>-11261.61</v>
      </c>
      <c r="E164" s="184">
        <v>-3118.47</v>
      </c>
      <c r="F164" s="265" t="s">
        <v>486</v>
      </c>
      <c r="G164" s="231" t="s">
        <v>6</v>
      </c>
    </row>
    <row r="165" spans="1:7" x14ac:dyDescent="0.25">
      <c r="A165" s="184" t="s">
        <v>652</v>
      </c>
      <c r="F165" s="265" t="s">
        <v>486</v>
      </c>
      <c r="G165" s="231" t="s">
        <v>6</v>
      </c>
    </row>
    <row r="166" spans="1:7" x14ac:dyDescent="0.25">
      <c r="A166" s="184">
        <v>4751007</v>
      </c>
      <c r="B166" s="184" t="s">
        <v>104</v>
      </c>
      <c r="C166" s="184">
        <v>-3441.8</v>
      </c>
      <c r="D166" s="184">
        <v>-2318.2199999999998</v>
      </c>
      <c r="E166" s="184">
        <v>-1123.58</v>
      </c>
      <c r="F166" s="265" t="s">
        <v>486</v>
      </c>
      <c r="G166" s="231" t="s">
        <v>6</v>
      </c>
    </row>
    <row r="167" spans="1:7" x14ac:dyDescent="0.25">
      <c r="A167" s="184">
        <v>4770000</v>
      </c>
      <c r="B167" s="184" t="s">
        <v>105</v>
      </c>
      <c r="C167" s="184">
        <v>-11759.63</v>
      </c>
      <c r="D167" s="184">
        <v>-13677.99</v>
      </c>
      <c r="E167" s="184">
        <v>1918.36</v>
      </c>
      <c r="F167" s="265" t="s">
        <v>486</v>
      </c>
      <c r="G167" s="231" t="s">
        <v>6</v>
      </c>
    </row>
    <row r="168" spans="1:7" x14ac:dyDescent="0.25">
      <c r="C168" s="184">
        <v>-15201.43</v>
      </c>
      <c r="D168" s="184">
        <v>-15996.21</v>
      </c>
      <c r="E168" s="184">
        <v>794.78</v>
      </c>
      <c r="F168" s="265" t="s">
        <v>486</v>
      </c>
      <c r="G168" s="231" t="s">
        <v>6</v>
      </c>
    </row>
    <row r="169" spans="1:7" x14ac:dyDescent="0.25">
      <c r="A169" s="184" t="s">
        <v>653</v>
      </c>
      <c r="F169" s="265" t="s">
        <v>486</v>
      </c>
      <c r="G169" s="231" t="s">
        <v>6</v>
      </c>
    </row>
    <row r="170" spans="1:7" x14ac:dyDescent="0.25">
      <c r="A170" s="184">
        <v>5510000</v>
      </c>
      <c r="B170" s="184" t="s">
        <v>46</v>
      </c>
      <c r="C170" s="184">
        <v>-3430046.16</v>
      </c>
      <c r="D170" s="184">
        <v>-3430046.16</v>
      </c>
      <c r="E170" s="184">
        <v>0</v>
      </c>
      <c r="F170" s="265" t="s">
        <v>486</v>
      </c>
      <c r="G170" s="231" t="s">
        <v>6</v>
      </c>
    </row>
    <row r="171" spans="1:7" x14ac:dyDescent="0.25">
      <c r="C171" s="184">
        <v>-3430046.16</v>
      </c>
      <c r="D171" s="184">
        <v>-3430046.16</v>
      </c>
      <c r="E171" s="184">
        <v>0</v>
      </c>
      <c r="F171" s="265" t="s">
        <v>486</v>
      </c>
      <c r="G171" s="231" t="s">
        <v>6</v>
      </c>
    </row>
    <row r="172" spans="1:7" x14ac:dyDescent="0.25">
      <c r="A172" s="184" t="s">
        <v>654</v>
      </c>
      <c r="C172" s="184">
        <v>-5031229.47</v>
      </c>
      <c r="D172" s="184">
        <v>-4911397.91</v>
      </c>
      <c r="E172" s="184">
        <v>-119831.56</v>
      </c>
      <c r="F172" s="265" t="s">
        <v>486</v>
      </c>
      <c r="G172" s="231" t="s">
        <v>6</v>
      </c>
    </row>
    <row r="173" spans="1:7" x14ac:dyDescent="0.25">
      <c r="A173" s="184" t="s">
        <v>655</v>
      </c>
      <c r="F173" s="265" t="s">
        <v>486</v>
      </c>
      <c r="G173" s="231" t="s">
        <v>6</v>
      </c>
    </row>
    <row r="174" spans="1:7" x14ac:dyDescent="0.25">
      <c r="F174" s="265" t="s">
        <v>486</v>
      </c>
      <c r="G174" s="231" t="s">
        <v>6</v>
      </c>
    </row>
    <row r="175" spans="1:7" x14ac:dyDescent="0.25">
      <c r="A175" s="184" t="s">
        <v>656</v>
      </c>
      <c r="F175" s="265" t="s">
        <v>486</v>
      </c>
      <c r="G175" s="231" t="s">
        <v>6</v>
      </c>
    </row>
    <row r="176" spans="1:7" x14ac:dyDescent="0.25">
      <c r="A176" s="184" t="s">
        <v>107</v>
      </c>
      <c r="F176" s="265" t="s">
        <v>486</v>
      </c>
      <c r="G176" s="231" t="s">
        <v>6</v>
      </c>
    </row>
    <row r="177" spans="1:7" x14ac:dyDescent="0.25">
      <c r="A177" s="184">
        <v>1420000</v>
      </c>
      <c r="B177" s="184" t="s">
        <v>108</v>
      </c>
      <c r="C177" s="184">
        <v>-21471.66</v>
      </c>
      <c r="D177" s="184">
        <v>-15255.56</v>
      </c>
      <c r="E177" s="184">
        <v>-6216.1</v>
      </c>
      <c r="F177" s="265" t="s">
        <v>486</v>
      </c>
      <c r="G177" s="231" t="s">
        <v>6</v>
      </c>
    </row>
    <row r="178" spans="1:7" x14ac:dyDescent="0.25">
      <c r="C178" s="184">
        <v>-21471.66</v>
      </c>
      <c r="D178" s="184">
        <v>-15255.56</v>
      </c>
      <c r="E178" s="184">
        <v>-6216.1</v>
      </c>
      <c r="F178" s="265" t="s">
        <v>486</v>
      </c>
      <c r="G178" s="231" t="s">
        <v>6</v>
      </c>
    </row>
    <row r="179" spans="1:7" x14ac:dyDescent="0.25">
      <c r="C179" s="184">
        <v>-21471.66</v>
      </c>
      <c r="D179" s="184">
        <v>-15255.56</v>
      </c>
      <c r="E179" s="184">
        <v>-6216.1</v>
      </c>
      <c r="F179" s="265" t="s">
        <v>486</v>
      </c>
      <c r="G179" s="231" t="s">
        <v>6</v>
      </c>
    </row>
    <row r="180" spans="1:7" x14ac:dyDescent="0.25">
      <c r="A180" s="184" t="s">
        <v>657</v>
      </c>
      <c r="C180" s="184">
        <v>-5052701.13</v>
      </c>
      <c r="D180" s="184">
        <v>-4926653.47</v>
      </c>
      <c r="E180" s="184">
        <v>-126047.66</v>
      </c>
      <c r="F180" s="265" t="s">
        <v>486</v>
      </c>
      <c r="G180" s="231" t="s">
        <v>6</v>
      </c>
    </row>
    <row r="181" spans="1:7" x14ac:dyDescent="0.25">
      <c r="A181" s="184" t="s">
        <v>658</v>
      </c>
      <c r="F181" s="265" t="s">
        <v>486</v>
      </c>
      <c r="G181" s="231" t="s">
        <v>6</v>
      </c>
    </row>
    <row r="182" spans="1:7" x14ac:dyDescent="0.25">
      <c r="F182" s="265" t="s">
        <v>486</v>
      </c>
      <c r="G182" s="231" t="s">
        <v>6</v>
      </c>
    </row>
    <row r="183" spans="1:7" x14ac:dyDescent="0.25">
      <c r="F183" s="265" t="s">
        <v>486</v>
      </c>
      <c r="G183" s="231" t="s">
        <v>6</v>
      </c>
    </row>
    <row r="184" spans="1:7" x14ac:dyDescent="0.25">
      <c r="F184" s="265" t="s">
        <v>486</v>
      </c>
      <c r="G184" s="231" t="s">
        <v>6</v>
      </c>
    </row>
    <row r="185" spans="1:7" x14ac:dyDescent="0.25">
      <c r="F185" s="265" t="s">
        <v>486</v>
      </c>
      <c r="G185" s="231" t="s">
        <v>6</v>
      </c>
    </row>
    <row r="186" spans="1:7" x14ac:dyDescent="0.25">
      <c r="F186" s="265" t="s">
        <v>486</v>
      </c>
      <c r="G186" s="231" t="s">
        <v>6</v>
      </c>
    </row>
    <row r="187" spans="1:7" x14ac:dyDescent="0.25">
      <c r="F187" s="265" t="s">
        <v>486</v>
      </c>
      <c r="G187" s="231" t="s">
        <v>6</v>
      </c>
    </row>
    <row r="188" spans="1:7" x14ac:dyDescent="0.25">
      <c r="F188" s="265" t="s">
        <v>486</v>
      </c>
      <c r="G188" s="231" t="s">
        <v>6</v>
      </c>
    </row>
    <row r="189" spans="1:7" x14ac:dyDescent="0.25">
      <c r="F189" s="265" t="s">
        <v>486</v>
      </c>
      <c r="G189" s="231" t="s">
        <v>6</v>
      </c>
    </row>
    <row r="190" spans="1:7" x14ac:dyDescent="0.25">
      <c r="A190" s="184" t="s">
        <v>644</v>
      </c>
      <c r="E190" s="184" t="s">
        <v>645</v>
      </c>
      <c r="F190" s="265" t="s">
        <v>486</v>
      </c>
      <c r="G190" s="231" t="s">
        <v>6</v>
      </c>
    </row>
    <row r="191" spans="1:7" x14ac:dyDescent="0.25">
      <c r="A191" s="184" t="s">
        <v>646</v>
      </c>
      <c r="E191" s="184" t="s">
        <v>647</v>
      </c>
      <c r="F191" s="265" t="s">
        <v>486</v>
      </c>
      <c r="G191" s="231" t="s">
        <v>6</v>
      </c>
    </row>
    <row r="192" spans="1:7" x14ac:dyDescent="0.25">
      <c r="F192" s="265" t="s">
        <v>486</v>
      </c>
      <c r="G192" s="231" t="s">
        <v>6</v>
      </c>
    </row>
    <row r="193" spans="1:7" x14ac:dyDescent="0.25">
      <c r="A193" s="184" t="s">
        <v>659</v>
      </c>
      <c r="F193" s="265" t="s">
        <v>486</v>
      </c>
      <c r="G193" s="231" t="s">
        <v>6</v>
      </c>
    </row>
    <row r="194" spans="1:7" x14ac:dyDescent="0.25">
      <c r="A194" s="184" t="s">
        <v>660</v>
      </c>
      <c r="F194" s="265" t="s">
        <v>486</v>
      </c>
      <c r="G194" s="231" t="s">
        <v>6</v>
      </c>
    </row>
    <row r="195" spans="1:7" x14ac:dyDescent="0.25">
      <c r="A195" s="184" t="s">
        <v>661</v>
      </c>
      <c r="F195" s="265" t="s">
        <v>486</v>
      </c>
      <c r="G195" s="231" t="s">
        <v>6</v>
      </c>
    </row>
    <row r="196" spans="1:7" x14ac:dyDescent="0.25">
      <c r="A196" s="184">
        <v>1000000</v>
      </c>
      <c r="B196" s="184" t="s">
        <v>111</v>
      </c>
      <c r="C196" s="184">
        <v>-131020</v>
      </c>
      <c r="D196" s="184">
        <v>-131020</v>
      </c>
      <c r="E196" s="184">
        <v>0</v>
      </c>
      <c r="F196" s="265" t="s">
        <v>486</v>
      </c>
      <c r="G196" s="231" t="s">
        <v>6</v>
      </c>
    </row>
    <row r="197" spans="1:7" x14ac:dyDescent="0.25">
      <c r="C197" s="184">
        <v>-131020</v>
      </c>
      <c r="D197" s="184">
        <v>-131020</v>
      </c>
      <c r="E197" s="184">
        <v>0</v>
      </c>
      <c r="F197" s="265" t="s">
        <v>486</v>
      </c>
      <c r="G197" s="231" t="s">
        <v>6</v>
      </c>
    </row>
    <row r="198" spans="1:7" x14ac:dyDescent="0.25">
      <c r="C198" s="184">
        <v>-131020</v>
      </c>
      <c r="D198" s="184">
        <v>-131020</v>
      </c>
      <c r="E198" s="184">
        <v>0</v>
      </c>
      <c r="F198" s="265" t="s">
        <v>486</v>
      </c>
      <c r="G198" s="231" t="s">
        <v>6</v>
      </c>
    </row>
    <row r="199" spans="1:7" x14ac:dyDescent="0.25">
      <c r="A199" s="184" t="s">
        <v>662</v>
      </c>
      <c r="F199" s="265" t="s">
        <v>486</v>
      </c>
      <c r="G199" s="231" t="s">
        <v>6</v>
      </c>
    </row>
    <row r="200" spans="1:7" x14ac:dyDescent="0.25">
      <c r="A200" s="184" t="s">
        <v>112</v>
      </c>
      <c r="F200" s="265" t="s">
        <v>486</v>
      </c>
      <c r="G200" s="231" t="s">
        <v>6</v>
      </c>
    </row>
    <row r="201" spans="1:7" x14ac:dyDescent="0.25">
      <c r="A201" s="184">
        <v>1120000</v>
      </c>
      <c r="B201" s="184" t="s">
        <v>112</v>
      </c>
      <c r="C201" s="184">
        <v>-34703.160000000003</v>
      </c>
      <c r="D201" s="184">
        <v>-34703.160000000003</v>
      </c>
      <c r="E201" s="184">
        <v>0</v>
      </c>
      <c r="F201" s="265" t="s">
        <v>486</v>
      </c>
      <c r="G201" s="231" t="s">
        <v>6</v>
      </c>
    </row>
    <row r="202" spans="1:7" x14ac:dyDescent="0.25">
      <c r="C202" s="184">
        <v>-34703.160000000003</v>
      </c>
      <c r="D202" s="184">
        <v>-34703.160000000003</v>
      </c>
      <c r="E202" s="184">
        <v>0</v>
      </c>
      <c r="F202" s="265" t="s">
        <v>486</v>
      </c>
      <c r="G202" s="231" t="s">
        <v>6</v>
      </c>
    </row>
    <row r="203" spans="1:7" x14ac:dyDescent="0.25">
      <c r="C203" s="184">
        <v>-34703.160000000003</v>
      </c>
      <c r="D203" s="184">
        <v>-34703.160000000003</v>
      </c>
      <c r="E203" s="184">
        <v>0</v>
      </c>
      <c r="F203" s="265" t="s">
        <v>486</v>
      </c>
      <c r="G203" s="231" t="s">
        <v>6</v>
      </c>
    </row>
    <row r="204" spans="1:7" x14ac:dyDescent="0.25">
      <c r="A204" s="184" t="s">
        <v>663</v>
      </c>
      <c r="F204" s="265" t="s">
        <v>486</v>
      </c>
      <c r="G204" s="231" t="s">
        <v>6</v>
      </c>
    </row>
    <row r="205" spans="1:7" x14ac:dyDescent="0.25">
      <c r="A205" s="184" t="s">
        <v>663</v>
      </c>
      <c r="F205" s="265" t="s">
        <v>486</v>
      </c>
      <c r="G205" s="231" t="s">
        <v>6</v>
      </c>
    </row>
    <row r="206" spans="1:7" x14ac:dyDescent="0.25">
      <c r="A206" s="184">
        <v>1210000</v>
      </c>
      <c r="B206" s="184" t="s">
        <v>664</v>
      </c>
      <c r="C206" s="184">
        <v>-355100.53</v>
      </c>
      <c r="D206" s="184">
        <v>-355100.53</v>
      </c>
      <c r="E206" s="184">
        <v>0</v>
      </c>
      <c r="F206" s="265" t="s">
        <v>486</v>
      </c>
      <c r="G206" s="231" t="s">
        <v>6</v>
      </c>
    </row>
    <row r="207" spans="1:7" x14ac:dyDescent="0.25">
      <c r="C207" s="184">
        <v>-355100.53</v>
      </c>
      <c r="D207" s="184">
        <v>-355100.53</v>
      </c>
      <c r="E207" s="184">
        <v>0</v>
      </c>
      <c r="F207" s="265" t="s">
        <v>486</v>
      </c>
      <c r="G207" s="231" t="s">
        <v>6</v>
      </c>
    </row>
    <row r="208" spans="1:7" x14ac:dyDescent="0.25">
      <c r="C208" s="184">
        <v>-355100.53</v>
      </c>
      <c r="D208" s="184">
        <v>-355100.53</v>
      </c>
      <c r="E208" s="184">
        <v>0</v>
      </c>
      <c r="F208" s="265" t="s">
        <v>486</v>
      </c>
      <c r="G208" s="231" t="s">
        <v>6</v>
      </c>
    </row>
    <row r="209" spans="1:7" x14ac:dyDescent="0.25">
      <c r="A209" s="184" t="s">
        <v>665</v>
      </c>
      <c r="F209" s="265" t="s">
        <v>486</v>
      </c>
      <c r="G209" s="231" t="s">
        <v>6</v>
      </c>
    </row>
    <row r="210" spans="1:7" x14ac:dyDescent="0.25">
      <c r="A210" s="184" t="s">
        <v>665</v>
      </c>
      <c r="F210" s="265" t="s">
        <v>486</v>
      </c>
      <c r="G210" s="231" t="s">
        <v>6</v>
      </c>
    </row>
    <row r="211" spans="1:7" x14ac:dyDescent="0.25">
      <c r="A211" s="184">
        <v>1200000</v>
      </c>
      <c r="B211" s="184" t="s">
        <v>666</v>
      </c>
      <c r="C211" s="184">
        <v>173646.43</v>
      </c>
      <c r="D211" s="184">
        <v>173646.43</v>
      </c>
      <c r="E211" s="184">
        <v>0</v>
      </c>
      <c r="F211" s="265" t="s">
        <v>486</v>
      </c>
      <c r="G211" s="231" t="s">
        <v>6</v>
      </c>
    </row>
    <row r="212" spans="1:7" x14ac:dyDescent="0.25">
      <c r="C212" s="184">
        <v>173646.43</v>
      </c>
      <c r="D212" s="184">
        <v>173646.43</v>
      </c>
      <c r="E212" s="184">
        <v>0</v>
      </c>
      <c r="F212" s="265" t="s">
        <v>486</v>
      </c>
      <c r="G212" s="231" t="s">
        <v>6</v>
      </c>
    </row>
    <row r="213" spans="1:7" x14ac:dyDescent="0.25">
      <c r="C213" s="184">
        <v>173646.43</v>
      </c>
      <c r="D213" s="184">
        <v>173646.43</v>
      </c>
      <c r="E213" s="184">
        <v>0</v>
      </c>
      <c r="F213" s="265" t="s">
        <v>486</v>
      </c>
      <c r="G213" s="231" t="s">
        <v>6</v>
      </c>
    </row>
    <row r="214" spans="1:7" x14ac:dyDescent="0.25">
      <c r="C214" s="184">
        <v>-347177.26</v>
      </c>
      <c r="D214" s="184">
        <v>-347177.26</v>
      </c>
      <c r="E214" s="184">
        <v>0</v>
      </c>
      <c r="F214" s="265" t="s">
        <v>486</v>
      </c>
      <c r="G214" s="231" t="s">
        <v>6</v>
      </c>
    </row>
    <row r="215" spans="1:7" x14ac:dyDescent="0.25">
      <c r="F215" s="265" t="s">
        <v>486</v>
      </c>
      <c r="G215" s="231" t="s">
        <v>6</v>
      </c>
    </row>
    <row r="216" spans="1:7" x14ac:dyDescent="0.25">
      <c r="F216" s="265" t="s">
        <v>486</v>
      </c>
      <c r="G216" s="231" t="s">
        <v>6</v>
      </c>
    </row>
    <row r="217" spans="1:7" x14ac:dyDescent="0.25">
      <c r="F217" s="265" t="s">
        <v>486</v>
      </c>
      <c r="G217" s="231" t="s">
        <v>6</v>
      </c>
    </row>
    <row r="218" spans="1:7" x14ac:dyDescent="0.25">
      <c r="F218" s="265" t="s">
        <v>486</v>
      </c>
      <c r="G218" s="231" t="s">
        <v>6</v>
      </c>
    </row>
    <row r="219" spans="1:7" x14ac:dyDescent="0.25">
      <c r="F219" s="265" t="s">
        <v>486</v>
      </c>
      <c r="G219" s="231" t="s">
        <v>6</v>
      </c>
    </row>
    <row r="220" spans="1:7" x14ac:dyDescent="0.25">
      <c r="F220" s="265" t="s">
        <v>486</v>
      </c>
      <c r="G220" s="231" t="s">
        <v>6</v>
      </c>
    </row>
    <row r="221" spans="1:7" x14ac:dyDescent="0.25">
      <c r="A221" s="184" t="s">
        <v>644</v>
      </c>
      <c r="E221" s="184" t="s">
        <v>645</v>
      </c>
      <c r="F221" s="265" t="s">
        <v>486</v>
      </c>
      <c r="G221" s="231" t="s">
        <v>6</v>
      </c>
    </row>
    <row r="222" spans="1:7" x14ac:dyDescent="0.25">
      <c r="A222" s="184" t="s">
        <v>646</v>
      </c>
      <c r="E222" s="184" t="s">
        <v>647</v>
      </c>
      <c r="F222" s="265" t="s">
        <v>486</v>
      </c>
      <c r="G222" s="231" t="s">
        <v>6</v>
      </c>
    </row>
    <row r="223" spans="1:7" x14ac:dyDescent="0.25">
      <c r="F223" s="265" t="s">
        <v>486</v>
      </c>
      <c r="G223" s="231" t="s">
        <v>6</v>
      </c>
    </row>
    <row r="224" spans="1:7" x14ac:dyDescent="0.25">
      <c r="A224" s="184" t="s">
        <v>392</v>
      </c>
      <c r="C224" s="184">
        <v>-338111.58</v>
      </c>
      <c r="D224" s="184">
        <v>-589765.28</v>
      </c>
      <c r="E224" s="184">
        <v>251653.7</v>
      </c>
      <c r="F224" s="265" t="s">
        <v>486</v>
      </c>
      <c r="G224" s="231" t="s">
        <v>6</v>
      </c>
    </row>
    <row r="225" spans="1:7" x14ac:dyDescent="0.25">
      <c r="F225" s="265" t="s">
        <v>486</v>
      </c>
      <c r="G225" s="231" t="s">
        <v>6</v>
      </c>
    </row>
    <row r="226" spans="1:7" x14ac:dyDescent="0.25">
      <c r="F226" s="265" t="s">
        <v>486</v>
      </c>
      <c r="G226" s="231" t="s">
        <v>6</v>
      </c>
    </row>
    <row r="227" spans="1:7" x14ac:dyDescent="0.25">
      <c r="F227" s="265" t="s">
        <v>486</v>
      </c>
      <c r="G227" s="231" t="s">
        <v>6</v>
      </c>
    </row>
    <row r="228" spans="1:7" x14ac:dyDescent="0.25">
      <c r="F228" s="265" t="s">
        <v>486</v>
      </c>
      <c r="G228" s="231" t="s">
        <v>6</v>
      </c>
    </row>
    <row r="229" spans="1:7" x14ac:dyDescent="0.25">
      <c r="F229" s="265" t="s">
        <v>486</v>
      </c>
      <c r="G229" s="231" t="s">
        <v>6</v>
      </c>
    </row>
    <row r="230" spans="1:7" x14ac:dyDescent="0.25">
      <c r="F230" s="265" t="s">
        <v>486</v>
      </c>
      <c r="G230" s="231" t="s">
        <v>6</v>
      </c>
    </row>
    <row r="231" spans="1:7" x14ac:dyDescent="0.25">
      <c r="F231" s="265" t="s">
        <v>486</v>
      </c>
      <c r="G231" s="231" t="s">
        <v>6</v>
      </c>
    </row>
    <row r="232" spans="1:7" x14ac:dyDescent="0.25">
      <c r="F232" s="265" t="s">
        <v>486</v>
      </c>
      <c r="G232" s="231" t="s">
        <v>6</v>
      </c>
    </row>
    <row r="233" spans="1:7" x14ac:dyDescent="0.25">
      <c r="F233" s="265" t="s">
        <v>486</v>
      </c>
      <c r="G233" s="231" t="s">
        <v>6</v>
      </c>
    </row>
    <row r="234" spans="1:7" x14ac:dyDescent="0.25">
      <c r="A234" s="184" t="s">
        <v>644</v>
      </c>
      <c r="E234" s="184" t="s">
        <v>645</v>
      </c>
      <c r="F234" s="265" t="s">
        <v>486</v>
      </c>
      <c r="G234" s="231" t="s">
        <v>6</v>
      </c>
    </row>
    <row r="235" spans="1:7" x14ac:dyDescent="0.25">
      <c r="A235" s="184" t="s">
        <v>646</v>
      </c>
      <c r="E235" s="184" t="s">
        <v>647</v>
      </c>
      <c r="F235" s="265" t="s">
        <v>486</v>
      </c>
      <c r="G235" s="231" t="s">
        <v>6</v>
      </c>
    </row>
    <row r="236" spans="1:7" x14ac:dyDescent="0.25">
      <c r="F236" s="265" t="s">
        <v>486</v>
      </c>
      <c r="G236" s="231" t="s">
        <v>6</v>
      </c>
    </row>
    <row r="237" spans="1:7" x14ac:dyDescent="0.25">
      <c r="A237" s="184" t="s">
        <v>667</v>
      </c>
      <c r="F237" s="265" t="s">
        <v>486</v>
      </c>
      <c r="G237" s="231" t="s">
        <v>6</v>
      </c>
    </row>
    <row r="238" spans="1:7" x14ac:dyDescent="0.25">
      <c r="A238" s="184" t="s">
        <v>668</v>
      </c>
      <c r="F238" s="265" t="s">
        <v>486</v>
      </c>
      <c r="G238" s="231" t="s">
        <v>6</v>
      </c>
    </row>
    <row r="239" spans="1:7" x14ac:dyDescent="0.25">
      <c r="A239" s="184" t="s">
        <v>669</v>
      </c>
      <c r="F239" s="265" t="s">
        <v>486</v>
      </c>
      <c r="G239" s="231" t="s">
        <v>6</v>
      </c>
    </row>
    <row r="240" spans="1:7" x14ac:dyDescent="0.25">
      <c r="A240" s="184">
        <v>7072008</v>
      </c>
      <c r="B240" s="184" t="s">
        <v>670</v>
      </c>
      <c r="C240" s="184">
        <v>-36.229999999999997</v>
      </c>
      <c r="D240" s="184">
        <v>-36.229999999999997</v>
      </c>
      <c r="E240" s="184">
        <v>0</v>
      </c>
      <c r="F240" s="265" t="s">
        <v>486</v>
      </c>
      <c r="G240" s="231" t="s">
        <v>6</v>
      </c>
    </row>
    <row r="241" spans="1:7" x14ac:dyDescent="0.25">
      <c r="C241" s="184">
        <v>-36.229999999999997</v>
      </c>
      <c r="D241" s="184">
        <v>-36.229999999999997</v>
      </c>
      <c r="E241" s="184">
        <v>0</v>
      </c>
      <c r="F241" s="265" t="s">
        <v>486</v>
      </c>
      <c r="G241" s="231" t="s">
        <v>6</v>
      </c>
    </row>
    <row r="242" spans="1:7" x14ac:dyDescent="0.25">
      <c r="A242" s="184">
        <v>7000020</v>
      </c>
      <c r="B242" s="184" t="s">
        <v>563</v>
      </c>
      <c r="C242" s="184">
        <v>-1818747.84</v>
      </c>
      <c r="D242" s="184">
        <v>-1419307</v>
      </c>
      <c r="E242" s="184">
        <v>-399440.84</v>
      </c>
      <c r="F242" s="265" t="s">
        <v>486</v>
      </c>
      <c r="G242" s="231" t="s">
        <v>6</v>
      </c>
    </row>
    <row r="243" spans="1:7" x14ac:dyDescent="0.25">
      <c r="C243" s="184">
        <v>-1818747.84</v>
      </c>
      <c r="D243" s="184">
        <v>-1419307</v>
      </c>
      <c r="E243" s="184">
        <v>-399440.84</v>
      </c>
      <c r="F243" s="265" t="s">
        <v>486</v>
      </c>
      <c r="G243" s="231" t="s">
        <v>6</v>
      </c>
    </row>
    <row r="244" spans="1:7" x14ac:dyDescent="0.25">
      <c r="A244" s="184" t="s">
        <v>669</v>
      </c>
      <c r="C244" s="184">
        <v>-1818784.07</v>
      </c>
      <c r="D244" s="184">
        <v>-1419343.23</v>
      </c>
      <c r="E244" s="184">
        <v>-399440.84</v>
      </c>
      <c r="F244" s="265" t="s">
        <v>486</v>
      </c>
      <c r="G244" s="231" t="s">
        <v>6</v>
      </c>
    </row>
    <row r="245" spans="1:7" x14ac:dyDescent="0.25">
      <c r="F245" s="265" t="s">
        <v>486</v>
      </c>
      <c r="G245" s="231" t="s">
        <v>6</v>
      </c>
    </row>
    <row r="246" spans="1:7" x14ac:dyDescent="0.25">
      <c r="A246" s="184" t="s">
        <v>667</v>
      </c>
      <c r="C246" s="184">
        <v>-1818784.07</v>
      </c>
      <c r="D246" s="184">
        <v>-1419343.23</v>
      </c>
      <c r="E246" s="184">
        <v>-399440.84</v>
      </c>
      <c r="F246" s="265" t="s">
        <v>486</v>
      </c>
      <c r="G246" s="231" t="s">
        <v>6</v>
      </c>
    </row>
    <row r="247" spans="1:7" x14ac:dyDescent="0.25">
      <c r="A247" s="184" t="s">
        <v>668</v>
      </c>
      <c r="F247" s="265" t="s">
        <v>486</v>
      </c>
      <c r="G247" s="231" t="s">
        <v>6</v>
      </c>
    </row>
    <row r="248" spans="1:7" x14ac:dyDescent="0.25">
      <c r="F248" s="265" t="s">
        <v>486</v>
      </c>
      <c r="G248" s="231" t="s">
        <v>6</v>
      </c>
    </row>
    <row r="249" spans="1:7" x14ac:dyDescent="0.25">
      <c r="F249" s="265" t="s">
        <v>486</v>
      </c>
      <c r="G249" s="231" t="s">
        <v>6</v>
      </c>
    </row>
    <row r="250" spans="1:7" x14ac:dyDescent="0.25">
      <c r="F250" s="265" t="s">
        <v>486</v>
      </c>
      <c r="G250" s="231" t="s">
        <v>6</v>
      </c>
    </row>
    <row r="251" spans="1:7" x14ac:dyDescent="0.25">
      <c r="F251" s="265" t="s">
        <v>486</v>
      </c>
      <c r="G251" s="231" t="s">
        <v>6</v>
      </c>
    </row>
    <row r="252" spans="1:7" x14ac:dyDescent="0.25">
      <c r="F252" s="265" t="s">
        <v>486</v>
      </c>
      <c r="G252" s="231" t="s">
        <v>6</v>
      </c>
    </row>
    <row r="253" spans="1:7" x14ac:dyDescent="0.25">
      <c r="F253" s="265" t="s">
        <v>486</v>
      </c>
      <c r="G253" s="231" t="s">
        <v>6</v>
      </c>
    </row>
    <row r="254" spans="1:7" x14ac:dyDescent="0.25">
      <c r="F254" s="265" t="s">
        <v>486</v>
      </c>
      <c r="G254" s="231" t="s">
        <v>6</v>
      </c>
    </row>
    <row r="255" spans="1:7" x14ac:dyDescent="0.25">
      <c r="F255" s="265" t="s">
        <v>486</v>
      </c>
      <c r="G255" s="231" t="s">
        <v>6</v>
      </c>
    </row>
    <row r="256" spans="1:7" x14ac:dyDescent="0.25">
      <c r="A256" s="184" t="s">
        <v>644</v>
      </c>
      <c r="E256" s="184" t="s">
        <v>645</v>
      </c>
      <c r="F256" s="265" t="s">
        <v>486</v>
      </c>
      <c r="G256" s="231" t="s">
        <v>6</v>
      </c>
    </row>
    <row r="257" spans="1:7" x14ac:dyDescent="0.25">
      <c r="A257" s="184" t="s">
        <v>646</v>
      </c>
      <c r="E257" s="184" t="s">
        <v>647</v>
      </c>
      <c r="F257" s="265" t="s">
        <v>486</v>
      </c>
      <c r="G257" s="231" t="s">
        <v>6</v>
      </c>
    </row>
    <row r="258" spans="1:7" x14ac:dyDescent="0.25">
      <c r="F258" s="265" t="s">
        <v>486</v>
      </c>
      <c r="G258" s="231" t="s">
        <v>6</v>
      </c>
    </row>
    <row r="259" spans="1:7" x14ac:dyDescent="0.25">
      <c r="A259" s="184" t="s">
        <v>671</v>
      </c>
      <c r="F259" s="265" t="s">
        <v>486</v>
      </c>
      <c r="G259" s="231" t="s">
        <v>6</v>
      </c>
    </row>
    <row r="260" spans="1:7" x14ac:dyDescent="0.25">
      <c r="A260" s="184" t="s">
        <v>672</v>
      </c>
      <c r="F260" s="265" t="s">
        <v>486</v>
      </c>
      <c r="G260" s="231" t="s">
        <v>6</v>
      </c>
    </row>
    <row r="261" spans="1:7" x14ac:dyDescent="0.25">
      <c r="A261" s="184">
        <v>6240000</v>
      </c>
      <c r="B261" s="184" t="s">
        <v>558</v>
      </c>
      <c r="C261" s="184">
        <v>4811.8</v>
      </c>
      <c r="D261" s="184">
        <v>3101.83</v>
      </c>
      <c r="E261" s="184">
        <v>1709.97</v>
      </c>
      <c r="F261" s="265" t="s">
        <v>486</v>
      </c>
      <c r="G261" s="231" t="s">
        <v>6</v>
      </c>
    </row>
    <row r="262" spans="1:7" x14ac:dyDescent="0.25">
      <c r="C262" s="184">
        <v>4811.8</v>
      </c>
      <c r="D262" s="184">
        <v>3101.83</v>
      </c>
      <c r="E262" s="184">
        <v>1709.97</v>
      </c>
      <c r="F262" s="265" t="s">
        <v>486</v>
      </c>
      <c r="G262" s="231" t="s">
        <v>6</v>
      </c>
    </row>
    <row r="263" spans="1:7" x14ac:dyDescent="0.25">
      <c r="A263" s="184">
        <v>6242000</v>
      </c>
      <c r="B263" s="184" t="s">
        <v>673</v>
      </c>
      <c r="C263" s="184">
        <v>342.09</v>
      </c>
      <c r="D263" s="184">
        <v>219.36</v>
      </c>
      <c r="E263" s="184">
        <v>122.73</v>
      </c>
      <c r="F263" s="265" t="s">
        <v>486</v>
      </c>
      <c r="G263" s="231" t="s">
        <v>6</v>
      </c>
    </row>
    <row r="264" spans="1:7" x14ac:dyDescent="0.25">
      <c r="C264" s="184">
        <v>342.09</v>
      </c>
      <c r="D264" s="184">
        <v>219.36</v>
      </c>
      <c r="E264" s="184">
        <v>122.73</v>
      </c>
      <c r="F264" s="265" t="s">
        <v>486</v>
      </c>
      <c r="G264" s="231" t="s">
        <v>6</v>
      </c>
    </row>
    <row r="265" spans="1:7" x14ac:dyDescent="0.25">
      <c r="A265" s="184">
        <v>6241910</v>
      </c>
      <c r="B265" s="184" t="s">
        <v>674</v>
      </c>
      <c r="C265" s="184">
        <v>180696.44</v>
      </c>
      <c r="D265" s="184">
        <v>0</v>
      </c>
      <c r="E265" s="184">
        <v>180696.44</v>
      </c>
      <c r="F265" s="265" t="s">
        <v>486</v>
      </c>
      <c r="G265" s="231" t="s">
        <v>6</v>
      </c>
    </row>
    <row r="266" spans="1:7" x14ac:dyDescent="0.25">
      <c r="C266" s="184">
        <v>180696.44</v>
      </c>
      <c r="D266" s="184">
        <v>0</v>
      </c>
      <c r="E266" s="184">
        <v>180696.44</v>
      </c>
      <c r="F266" s="265" t="s">
        <v>486</v>
      </c>
      <c r="G266" s="231" t="s">
        <v>6</v>
      </c>
    </row>
    <row r="267" spans="1:7" x14ac:dyDescent="0.25">
      <c r="A267" s="184">
        <v>6251901</v>
      </c>
      <c r="B267" s="184" t="s">
        <v>675</v>
      </c>
      <c r="C267" s="184">
        <v>18781.5</v>
      </c>
      <c r="D267" s="184">
        <v>14497.11</v>
      </c>
      <c r="E267" s="184">
        <v>4284.3900000000003</v>
      </c>
      <c r="F267" s="265" t="s">
        <v>486</v>
      </c>
      <c r="G267" s="231" t="s">
        <v>6</v>
      </c>
    </row>
    <row r="268" spans="1:7" x14ac:dyDescent="0.25">
      <c r="A268" s="184">
        <v>6297200</v>
      </c>
      <c r="B268" s="184" t="s">
        <v>676</v>
      </c>
      <c r="C268" s="184">
        <v>1090.5</v>
      </c>
      <c r="D268" s="184">
        <v>1090.5</v>
      </c>
      <c r="E268" s="184">
        <v>0</v>
      </c>
      <c r="F268" s="265" t="s">
        <v>486</v>
      </c>
      <c r="G268" s="231" t="s">
        <v>6</v>
      </c>
    </row>
    <row r="269" spans="1:7" x14ac:dyDescent="0.25">
      <c r="A269" s="184">
        <v>6400000</v>
      </c>
      <c r="B269" s="184" t="s">
        <v>677</v>
      </c>
      <c r="C269" s="184">
        <v>238849.79</v>
      </c>
      <c r="D269" s="184">
        <v>167234.66</v>
      </c>
      <c r="E269" s="184">
        <v>71615.13</v>
      </c>
      <c r="F269" s="265" t="s">
        <v>486</v>
      </c>
      <c r="G269" s="231" t="s">
        <v>6</v>
      </c>
    </row>
    <row r="270" spans="1:7" x14ac:dyDescent="0.25">
      <c r="A270" s="184">
        <v>6400001</v>
      </c>
      <c r="B270" s="184" t="s">
        <v>678</v>
      </c>
      <c r="C270" s="184">
        <v>43325.83</v>
      </c>
      <c r="D270" s="184">
        <v>30888.67</v>
      </c>
      <c r="E270" s="184">
        <v>12437.16</v>
      </c>
      <c r="F270" s="265" t="s">
        <v>486</v>
      </c>
      <c r="G270" s="231" t="s">
        <v>6</v>
      </c>
    </row>
    <row r="271" spans="1:7" x14ac:dyDescent="0.25">
      <c r="A271" s="184">
        <v>6401001</v>
      </c>
      <c r="B271" s="184" t="s">
        <v>679</v>
      </c>
      <c r="C271" s="184">
        <v>37304.67</v>
      </c>
      <c r="D271" s="184">
        <v>29822.7</v>
      </c>
      <c r="E271" s="184">
        <v>7481.97</v>
      </c>
      <c r="F271" s="265" t="s">
        <v>486</v>
      </c>
      <c r="G271" s="231" t="s">
        <v>6</v>
      </c>
    </row>
    <row r="272" spans="1:7" x14ac:dyDescent="0.25">
      <c r="A272" s="184">
        <v>6401002</v>
      </c>
      <c r="B272" s="184" t="s">
        <v>680</v>
      </c>
      <c r="C272" s="184">
        <v>129.80000000000001</v>
      </c>
      <c r="D272" s="184">
        <v>129.80000000000001</v>
      </c>
      <c r="E272" s="184">
        <v>0</v>
      </c>
      <c r="F272" s="265" t="s">
        <v>486</v>
      </c>
      <c r="G272" s="231" t="s">
        <v>6</v>
      </c>
    </row>
    <row r="273" spans="1:7" x14ac:dyDescent="0.25">
      <c r="A273" s="184">
        <v>6410000</v>
      </c>
      <c r="B273" s="184" t="s">
        <v>547</v>
      </c>
      <c r="C273" s="184">
        <v>21690.71</v>
      </c>
      <c r="D273" s="184">
        <v>15474.61</v>
      </c>
      <c r="E273" s="184">
        <v>6216.1</v>
      </c>
      <c r="F273" s="265" t="s">
        <v>486</v>
      </c>
      <c r="G273" s="231" t="s">
        <v>6</v>
      </c>
    </row>
    <row r="274" spans="1:7" x14ac:dyDescent="0.25">
      <c r="A274" s="184">
        <v>6420000</v>
      </c>
      <c r="B274" s="184" t="s">
        <v>681</v>
      </c>
      <c r="C274" s="184">
        <v>33215.82</v>
      </c>
      <c r="D274" s="184">
        <v>23481.56</v>
      </c>
      <c r="E274" s="184">
        <v>9734.26</v>
      </c>
      <c r="F274" s="265" t="s">
        <v>486</v>
      </c>
      <c r="G274" s="231" t="s">
        <v>6</v>
      </c>
    </row>
    <row r="275" spans="1:7" x14ac:dyDescent="0.25">
      <c r="C275" s="184">
        <v>394388.62</v>
      </c>
      <c r="D275" s="184">
        <v>282619.61</v>
      </c>
      <c r="E275" s="184">
        <v>111769.01</v>
      </c>
      <c r="F275" s="265" t="s">
        <v>486</v>
      </c>
      <c r="G275" s="231" t="s">
        <v>6</v>
      </c>
    </row>
    <row r="276" spans="1:7" x14ac:dyDescent="0.25">
      <c r="A276" s="184">
        <v>6211200</v>
      </c>
      <c r="B276" s="184" t="s">
        <v>682</v>
      </c>
      <c r="C276" s="184">
        <v>18924.939999999999</v>
      </c>
      <c r="D276" s="184">
        <v>14448.26</v>
      </c>
      <c r="E276" s="184">
        <v>4476.68</v>
      </c>
      <c r="F276" s="265" t="s">
        <v>486</v>
      </c>
      <c r="G276" s="231" t="s">
        <v>6</v>
      </c>
    </row>
    <row r="277" spans="1:7" x14ac:dyDescent="0.25">
      <c r="A277" s="184">
        <v>6251030</v>
      </c>
      <c r="B277" s="184" t="s">
        <v>683</v>
      </c>
      <c r="C277" s="184">
        <v>2654.55</v>
      </c>
      <c r="D277" s="184">
        <v>1993.3</v>
      </c>
      <c r="E277" s="184">
        <v>661.25</v>
      </c>
      <c r="F277" s="265" t="s">
        <v>486</v>
      </c>
      <c r="G277" s="231" t="s">
        <v>6</v>
      </c>
    </row>
    <row r="278" spans="1:7" x14ac:dyDescent="0.25">
      <c r="A278" s="184">
        <v>6283100</v>
      </c>
      <c r="B278" s="184" t="s">
        <v>684</v>
      </c>
      <c r="C278" s="184">
        <v>1140.3</v>
      </c>
      <c r="D278" s="184">
        <v>759.4</v>
      </c>
      <c r="E278" s="184">
        <v>380.9</v>
      </c>
      <c r="F278" s="265" t="s">
        <v>486</v>
      </c>
      <c r="G278" s="231" t="s">
        <v>6</v>
      </c>
    </row>
    <row r="279" spans="1:7" x14ac:dyDescent="0.25">
      <c r="A279" s="184">
        <v>6290600</v>
      </c>
      <c r="B279" s="184" t="s">
        <v>685</v>
      </c>
      <c r="C279" s="184">
        <v>2421.06</v>
      </c>
      <c r="D279" s="184">
        <v>2325.0300000000002</v>
      </c>
      <c r="E279" s="184">
        <v>96.03</v>
      </c>
      <c r="F279" s="265" t="s">
        <v>486</v>
      </c>
      <c r="G279" s="231" t="s">
        <v>6</v>
      </c>
    </row>
    <row r="280" spans="1:7" x14ac:dyDescent="0.25">
      <c r="A280" s="184">
        <v>6299900</v>
      </c>
      <c r="B280" s="184" t="s">
        <v>686</v>
      </c>
      <c r="C280" s="184">
        <v>18703.29</v>
      </c>
      <c r="D280" s="184">
        <v>12680.55</v>
      </c>
      <c r="E280" s="184">
        <v>6022.74</v>
      </c>
      <c r="F280" s="265" t="s">
        <v>486</v>
      </c>
      <c r="G280" s="231" t="s">
        <v>6</v>
      </c>
    </row>
    <row r="281" spans="1:7" x14ac:dyDescent="0.25">
      <c r="C281" s="184">
        <v>43844.14</v>
      </c>
      <c r="D281" s="184">
        <v>32206.54</v>
      </c>
      <c r="E281" s="184">
        <v>11637.6</v>
      </c>
      <c r="F281" s="265" t="s">
        <v>486</v>
      </c>
      <c r="G281" s="231" t="s">
        <v>6</v>
      </c>
    </row>
    <row r="282" spans="1:7" x14ac:dyDescent="0.25">
      <c r="A282" s="184" t="s">
        <v>672</v>
      </c>
      <c r="C282" s="184">
        <v>624083.09</v>
      </c>
      <c r="D282" s="184">
        <v>318147.34000000003</v>
      </c>
      <c r="E282" s="184">
        <v>305935.75</v>
      </c>
      <c r="F282" s="265" t="s">
        <v>486</v>
      </c>
      <c r="G282" s="231" t="s">
        <v>6</v>
      </c>
    </row>
    <row r="283" spans="1:7" x14ac:dyDescent="0.25">
      <c r="F283" s="265" t="s">
        <v>486</v>
      </c>
      <c r="G283" s="231" t="s">
        <v>6</v>
      </c>
    </row>
    <row r="284" spans="1:7" x14ac:dyDescent="0.25">
      <c r="A284" s="184" t="s">
        <v>687</v>
      </c>
      <c r="F284" s="265" t="s">
        <v>486</v>
      </c>
      <c r="G284" s="231" t="s">
        <v>6</v>
      </c>
    </row>
    <row r="285" spans="1:7" x14ac:dyDescent="0.25">
      <c r="A285" s="184">
        <v>6000100</v>
      </c>
      <c r="B285" s="184" t="s">
        <v>688</v>
      </c>
      <c r="C285" s="184">
        <v>490861.49</v>
      </c>
      <c r="D285" s="184">
        <v>374479.21</v>
      </c>
      <c r="E285" s="184">
        <v>116382.28</v>
      </c>
      <c r="F285" s="265" t="s">
        <v>486</v>
      </c>
      <c r="G285" s="231" t="s">
        <v>6</v>
      </c>
    </row>
    <row r="286" spans="1:7" x14ac:dyDescent="0.25">
      <c r="A286" s="184">
        <v>6008201</v>
      </c>
      <c r="B286" s="184" t="s">
        <v>689</v>
      </c>
      <c r="C286" s="184">
        <v>1777.45</v>
      </c>
      <c r="D286" s="184">
        <v>1456.11</v>
      </c>
      <c r="E286" s="184">
        <v>321.33999999999997</v>
      </c>
      <c r="F286" s="265" t="s">
        <v>486</v>
      </c>
      <c r="G286" s="231" t="s">
        <v>6</v>
      </c>
    </row>
    <row r="287" spans="1:7" x14ac:dyDescent="0.25">
      <c r="A287" s="184">
        <v>6008202</v>
      </c>
      <c r="B287" s="184" t="s">
        <v>690</v>
      </c>
      <c r="C287" s="184">
        <v>989.35</v>
      </c>
      <c r="D287" s="184">
        <v>514.42999999999995</v>
      </c>
      <c r="E287" s="184">
        <v>474.92</v>
      </c>
      <c r="F287" s="265" t="s">
        <v>486</v>
      </c>
      <c r="G287" s="231" t="s">
        <v>6</v>
      </c>
    </row>
    <row r="288" spans="1:7" x14ac:dyDescent="0.25">
      <c r="A288" s="184">
        <v>6008400</v>
      </c>
      <c r="B288" s="184" t="s">
        <v>691</v>
      </c>
      <c r="C288" s="184">
        <v>251.56</v>
      </c>
      <c r="D288" s="184">
        <v>251.56</v>
      </c>
      <c r="E288" s="184">
        <v>0</v>
      </c>
      <c r="F288" s="265" t="s">
        <v>486</v>
      </c>
      <c r="G288" s="231" t="s">
        <v>6</v>
      </c>
    </row>
    <row r="289" spans="1:7" x14ac:dyDescent="0.25">
      <c r="A289" s="184">
        <v>6008900</v>
      </c>
      <c r="B289" s="184" t="s">
        <v>692</v>
      </c>
      <c r="C289" s="184">
        <v>2955.94</v>
      </c>
      <c r="D289" s="184">
        <v>1106.05</v>
      </c>
      <c r="E289" s="184">
        <v>1849.89</v>
      </c>
      <c r="F289" s="265" t="s">
        <v>486</v>
      </c>
      <c r="G289" s="231" t="s">
        <v>6</v>
      </c>
    </row>
    <row r="290" spans="1:7" x14ac:dyDescent="0.25">
      <c r="A290" s="184">
        <v>6009000</v>
      </c>
      <c r="B290" s="184" t="s">
        <v>693</v>
      </c>
      <c r="C290" s="184">
        <v>9971.76</v>
      </c>
      <c r="D290" s="184">
        <v>8601.91</v>
      </c>
      <c r="E290" s="184">
        <v>1369.85</v>
      </c>
      <c r="F290" s="265" t="s">
        <v>486</v>
      </c>
      <c r="G290" s="231" t="s">
        <v>6</v>
      </c>
    </row>
    <row r="291" spans="1:7" x14ac:dyDescent="0.25">
      <c r="A291" s="184">
        <v>6030000</v>
      </c>
      <c r="B291" s="184" t="s">
        <v>694</v>
      </c>
      <c r="C291" s="184">
        <v>191000.02</v>
      </c>
      <c r="D291" s="184">
        <v>147440.89000000001</v>
      </c>
      <c r="E291" s="184">
        <v>43559.13</v>
      </c>
      <c r="F291" s="265" t="s">
        <v>486</v>
      </c>
      <c r="G291" s="231" t="s">
        <v>6</v>
      </c>
    </row>
    <row r="292" spans="1:7" x14ac:dyDescent="0.25">
      <c r="A292" s="184">
        <v>6031000</v>
      </c>
      <c r="B292" s="184" t="s">
        <v>695</v>
      </c>
      <c r="C292" s="184">
        <v>2868.67</v>
      </c>
      <c r="D292" s="184">
        <v>1931.52</v>
      </c>
      <c r="E292" s="184">
        <v>937.15</v>
      </c>
      <c r="F292" s="265" t="s">
        <v>486</v>
      </c>
      <c r="G292" s="231" t="s">
        <v>6</v>
      </c>
    </row>
    <row r="293" spans="1:7" x14ac:dyDescent="0.25">
      <c r="A293" s="184">
        <v>6039000</v>
      </c>
      <c r="B293" s="184" t="s">
        <v>696</v>
      </c>
      <c r="C293" s="184">
        <v>3541.67</v>
      </c>
      <c r="D293" s="184">
        <v>3541.67</v>
      </c>
      <c r="E293" s="184">
        <v>0</v>
      </c>
      <c r="F293" s="265" t="s">
        <v>486</v>
      </c>
      <c r="G293" s="231" t="s">
        <v>6</v>
      </c>
    </row>
    <row r="294" spans="1:7" x14ac:dyDescent="0.25">
      <c r="A294" s="184">
        <v>6201612</v>
      </c>
      <c r="B294" s="184" t="s">
        <v>697</v>
      </c>
      <c r="C294" s="184">
        <v>709.78</v>
      </c>
      <c r="D294" s="184">
        <v>604.83000000000004</v>
      </c>
      <c r="E294" s="184">
        <v>104.95</v>
      </c>
      <c r="F294" s="265" t="s">
        <v>486</v>
      </c>
      <c r="G294" s="231" t="s">
        <v>6</v>
      </c>
    </row>
    <row r="295" spans="1:7" x14ac:dyDescent="0.25">
      <c r="A295" s="184">
        <v>6201613</v>
      </c>
      <c r="B295" s="184" t="s">
        <v>698</v>
      </c>
      <c r="C295" s="184">
        <v>26974.97</v>
      </c>
      <c r="D295" s="184">
        <v>16059.53</v>
      </c>
      <c r="E295" s="184">
        <v>10915.44</v>
      </c>
      <c r="F295" s="265" t="s">
        <v>486</v>
      </c>
      <c r="G295" s="231" t="s">
        <v>6</v>
      </c>
    </row>
    <row r="296" spans="1:7" x14ac:dyDescent="0.25">
      <c r="A296" s="184">
        <v>6201645</v>
      </c>
      <c r="B296" s="184" t="s">
        <v>699</v>
      </c>
      <c r="C296" s="184">
        <v>18</v>
      </c>
      <c r="D296" s="184">
        <v>52.73</v>
      </c>
      <c r="E296" s="184">
        <v>-34.729999999999997</v>
      </c>
      <c r="F296" s="265" t="s">
        <v>486</v>
      </c>
      <c r="G296" s="231" t="s">
        <v>6</v>
      </c>
    </row>
    <row r="297" spans="1:7" x14ac:dyDescent="0.25">
      <c r="A297" s="184">
        <v>6201646</v>
      </c>
      <c r="B297" s="184" t="s">
        <v>700</v>
      </c>
      <c r="C297" s="184">
        <v>12387</v>
      </c>
      <c r="D297" s="184">
        <v>6148.96</v>
      </c>
      <c r="E297" s="184">
        <v>6238.04</v>
      </c>
      <c r="F297" s="265" t="s">
        <v>486</v>
      </c>
      <c r="G297" s="231" t="s">
        <v>6</v>
      </c>
    </row>
    <row r="298" spans="1:7" x14ac:dyDescent="0.25">
      <c r="A298" s="184">
        <v>6220602</v>
      </c>
      <c r="B298" s="184" t="s">
        <v>701</v>
      </c>
      <c r="C298" s="184">
        <v>3577.99</v>
      </c>
      <c r="D298" s="184">
        <v>2878.31</v>
      </c>
      <c r="E298" s="184">
        <v>699.68</v>
      </c>
      <c r="F298" s="265" t="s">
        <v>486</v>
      </c>
      <c r="G298" s="231" t="s">
        <v>6</v>
      </c>
    </row>
    <row r="299" spans="1:7" x14ac:dyDescent="0.25">
      <c r="A299" s="184">
        <v>6221603</v>
      </c>
      <c r="B299" s="184" t="s">
        <v>702</v>
      </c>
      <c r="C299" s="184">
        <v>4341.95</v>
      </c>
      <c r="D299" s="184">
        <v>494.96</v>
      </c>
      <c r="E299" s="184">
        <v>3846.99</v>
      </c>
      <c r="F299" s="265" t="s">
        <v>486</v>
      </c>
      <c r="G299" s="231" t="s">
        <v>6</v>
      </c>
    </row>
    <row r="300" spans="1:7" x14ac:dyDescent="0.25">
      <c r="A300" s="184">
        <v>6221604</v>
      </c>
      <c r="B300" s="184" t="s">
        <v>703</v>
      </c>
      <c r="C300" s="184">
        <v>14293.98</v>
      </c>
      <c r="D300" s="184">
        <v>11653.64</v>
      </c>
      <c r="E300" s="184">
        <v>2640.34</v>
      </c>
      <c r="F300" s="265" t="s">
        <v>486</v>
      </c>
      <c r="G300" s="231" t="s">
        <v>6</v>
      </c>
    </row>
    <row r="301" spans="1:7" x14ac:dyDescent="0.25">
      <c r="A301" s="184">
        <v>6221605</v>
      </c>
      <c r="B301" s="184" t="s">
        <v>704</v>
      </c>
      <c r="C301" s="184">
        <v>9422.94</v>
      </c>
      <c r="D301" s="184">
        <v>6649.74</v>
      </c>
      <c r="E301" s="184">
        <v>2773.2</v>
      </c>
      <c r="F301" s="265" t="s">
        <v>486</v>
      </c>
      <c r="G301" s="231" t="s">
        <v>6</v>
      </c>
    </row>
    <row r="302" spans="1:7" x14ac:dyDescent="0.25">
      <c r="A302" s="184">
        <v>6221607</v>
      </c>
      <c r="B302" s="184" t="s">
        <v>705</v>
      </c>
      <c r="C302" s="184">
        <v>204.3</v>
      </c>
      <c r="D302" s="184">
        <v>204.3</v>
      </c>
      <c r="E302" s="184">
        <v>0</v>
      </c>
      <c r="F302" s="265" t="s">
        <v>486</v>
      </c>
      <c r="G302" s="231" t="s">
        <v>6</v>
      </c>
    </row>
    <row r="303" spans="1:7" x14ac:dyDescent="0.25">
      <c r="A303" s="184">
        <v>6221608</v>
      </c>
      <c r="B303" s="184" t="s">
        <v>706</v>
      </c>
      <c r="C303" s="184">
        <v>4949.17</v>
      </c>
      <c r="D303" s="184">
        <v>4946.1499999999996</v>
      </c>
      <c r="E303" s="184">
        <v>3.02</v>
      </c>
      <c r="F303" s="265" t="s">
        <v>486</v>
      </c>
      <c r="G303" s="231" t="s">
        <v>6</v>
      </c>
    </row>
    <row r="304" spans="1:7" x14ac:dyDescent="0.25">
      <c r="A304" s="184">
        <v>6221610</v>
      </c>
      <c r="B304" s="184" t="s">
        <v>707</v>
      </c>
      <c r="C304" s="184">
        <v>3914.08</v>
      </c>
      <c r="D304" s="184">
        <v>2662.93</v>
      </c>
      <c r="E304" s="184">
        <v>1251.1500000000001</v>
      </c>
      <c r="F304" s="265" t="s">
        <v>486</v>
      </c>
      <c r="G304" s="231" t="s">
        <v>6</v>
      </c>
    </row>
    <row r="305" spans="1:7" x14ac:dyDescent="0.25">
      <c r="A305" s="184">
        <v>6235000</v>
      </c>
      <c r="B305" s="184" t="s">
        <v>708</v>
      </c>
      <c r="C305" s="184">
        <v>21491.82</v>
      </c>
      <c r="D305" s="184">
        <v>2950.43</v>
      </c>
      <c r="E305" s="184">
        <v>18541.39</v>
      </c>
      <c r="F305" s="265" t="s">
        <v>486</v>
      </c>
      <c r="G305" s="231" t="s">
        <v>6</v>
      </c>
    </row>
    <row r="306" spans="1:7" x14ac:dyDescent="0.25">
      <c r="A306" s="184">
        <v>6239630</v>
      </c>
      <c r="B306" s="184" t="s">
        <v>709</v>
      </c>
      <c r="C306" s="184">
        <v>10767.89</v>
      </c>
      <c r="D306" s="184">
        <v>8082.58</v>
      </c>
      <c r="E306" s="184">
        <v>2685.31</v>
      </c>
      <c r="F306" s="265" t="s">
        <v>486</v>
      </c>
      <c r="G306" s="231" t="s">
        <v>6</v>
      </c>
    </row>
    <row r="307" spans="1:7" x14ac:dyDescent="0.25">
      <c r="A307" s="184">
        <v>6243000</v>
      </c>
      <c r="B307" s="184" t="s">
        <v>689</v>
      </c>
      <c r="C307" s="184">
        <v>728.68</v>
      </c>
      <c r="D307" s="184">
        <v>728.68</v>
      </c>
      <c r="E307" s="184">
        <v>0</v>
      </c>
      <c r="F307" s="265" t="s">
        <v>486</v>
      </c>
      <c r="G307" s="231" t="s">
        <v>6</v>
      </c>
    </row>
    <row r="308" spans="1:7" x14ac:dyDescent="0.25">
      <c r="A308" s="184">
        <v>6270408</v>
      </c>
      <c r="B308" s="184" t="s">
        <v>710</v>
      </c>
      <c r="C308" s="184">
        <v>108.38</v>
      </c>
      <c r="D308" s="184">
        <v>108.38</v>
      </c>
      <c r="E308" s="184">
        <v>0</v>
      </c>
      <c r="F308" s="265" t="s">
        <v>486</v>
      </c>
      <c r="G308" s="231" t="s">
        <v>6</v>
      </c>
    </row>
    <row r="309" spans="1:7" x14ac:dyDescent="0.25">
      <c r="A309" s="184">
        <v>6280600</v>
      </c>
      <c r="B309" s="184" t="s">
        <v>711</v>
      </c>
      <c r="C309" s="184">
        <v>260.49</v>
      </c>
      <c r="D309" s="184">
        <v>186.17</v>
      </c>
      <c r="E309" s="184">
        <v>74.319999999999993</v>
      </c>
      <c r="F309" s="265" t="s">
        <v>486</v>
      </c>
      <c r="G309" s="231" t="s">
        <v>6</v>
      </c>
    </row>
    <row r="310" spans="1:7" x14ac:dyDescent="0.25">
      <c r="A310" s="184">
        <v>6282600</v>
      </c>
      <c r="B310" s="184" t="s">
        <v>712</v>
      </c>
      <c r="C310" s="184">
        <v>1531.8</v>
      </c>
      <c r="D310" s="184">
        <v>1531.8</v>
      </c>
      <c r="E310" s="184">
        <v>0</v>
      </c>
      <c r="F310" s="265" t="s">
        <v>486</v>
      </c>
      <c r="G310" s="231" t="s">
        <v>6</v>
      </c>
    </row>
    <row r="311" spans="1:7" x14ac:dyDescent="0.25">
      <c r="A311" s="184">
        <v>6299607</v>
      </c>
      <c r="B311" s="184" t="s">
        <v>713</v>
      </c>
      <c r="C311" s="184">
        <v>1080.27</v>
      </c>
      <c r="D311" s="184">
        <v>1015.13</v>
      </c>
      <c r="E311" s="184">
        <v>65.14</v>
      </c>
      <c r="F311" s="265" t="s">
        <v>486</v>
      </c>
      <c r="G311" s="231" t="s">
        <v>6</v>
      </c>
    </row>
    <row r="312" spans="1:7" x14ac:dyDescent="0.25">
      <c r="A312" s="184">
        <v>6492601</v>
      </c>
      <c r="B312" s="184" t="s">
        <v>714</v>
      </c>
      <c r="C312" s="184">
        <v>15584.28</v>
      </c>
      <c r="D312" s="184">
        <v>10308.209999999999</v>
      </c>
      <c r="E312" s="184">
        <v>5276.07</v>
      </c>
      <c r="F312" s="265" t="s">
        <v>486</v>
      </c>
      <c r="G312" s="231" t="s">
        <v>6</v>
      </c>
    </row>
    <row r="313" spans="1:7" x14ac:dyDescent="0.25">
      <c r="A313" s="184">
        <v>6810201</v>
      </c>
      <c r="B313" s="184" t="s">
        <v>562</v>
      </c>
      <c r="C313" s="184">
        <v>46635.28</v>
      </c>
      <c r="D313" s="184">
        <v>34809.78</v>
      </c>
      <c r="E313" s="184">
        <v>11825.5</v>
      </c>
      <c r="F313" s="265" t="s">
        <v>486</v>
      </c>
      <c r="G313" s="231" t="s">
        <v>6</v>
      </c>
    </row>
    <row r="314" spans="1:7" x14ac:dyDescent="0.25">
      <c r="A314" s="184">
        <v>6810501</v>
      </c>
      <c r="B314" s="184" t="s">
        <v>715</v>
      </c>
      <c r="C314" s="184">
        <v>489</v>
      </c>
      <c r="D314" s="184">
        <v>367</v>
      </c>
      <c r="E314" s="184">
        <v>122</v>
      </c>
      <c r="F314" s="265" t="s">
        <v>486</v>
      </c>
      <c r="G314" s="231" t="s">
        <v>6</v>
      </c>
    </row>
    <row r="315" spans="1:7" x14ac:dyDescent="0.25">
      <c r="A315" s="184">
        <v>7100000</v>
      </c>
      <c r="B315" s="184" t="s">
        <v>551</v>
      </c>
      <c r="C315" s="184">
        <v>-198871.33</v>
      </c>
      <c r="D315" s="184">
        <v>-88.72</v>
      </c>
      <c r="E315" s="184">
        <v>-198782.61</v>
      </c>
      <c r="F315" s="265" t="s">
        <v>486</v>
      </c>
      <c r="G315" s="231" t="s">
        <v>6</v>
      </c>
    </row>
    <row r="316" spans="1:7" x14ac:dyDescent="0.25">
      <c r="A316" s="184">
        <v>7110000</v>
      </c>
      <c r="B316" s="184" t="s">
        <v>716</v>
      </c>
      <c r="C316" s="184">
        <v>131323.53</v>
      </c>
      <c r="D316" s="184">
        <v>65295.77</v>
      </c>
      <c r="E316" s="184">
        <v>66027.759999999995</v>
      </c>
      <c r="F316" s="265" t="s">
        <v>486</v>
      </c>
      <c r="G316" s="231" t="s">
        <v>6</v>
      </c>
    </row>
    <row r="317" spans="1:7" x14ac:dyDescent="0.25">
      <c r="C317" s="184">
        <v>816142.16</v>
      </c>
      <c r="D317" s="184">
        <v>716974.64</v>
      </c>
      <c r="E317" s="184">
        <v>99167.52</v>
      </c>
      <c r="F317" s="265" t="s">
        <v>486</v>
      </c>
      <c r="G317" s="231" t="s">
        <v>6</v>
      </c>
    </row>
    <row r="318" spans="1:7" x14ac:dyDescent="0.25">
      <c r="A318" s="184" t="s">
        <v>687</v>
      </c>
      <c r="C318" s="184">
        <v>816142.16</v>
      </c>
      <c r="D318" s="184">
        <v>716974.64</v>
      </c>
      <c r="E318" s="184">
        <v>99167.52</v>
      </c>
      <c r="F318" s="265" t="s">
        <v>486</v>
      </c>
      <c r="G318" s="231" t="s">
        <v>6</v>
      </c>
    </row>
    <row r="319" spans="1:7" x14ac:dyDescent="0.25">
      <c r="F319" s="265" t="s">
        <v>486</v>
      </c>
      <c r="G319" s="231" t="s">
        <v>6</v>
      </c>
    </row>
    <row r="320" spans="1:7" x14ac:dyDescent="0.25">
      <c r="A320" s="184" t="s">
        <v>671</v>
      </c>
      <c r="C320" s="184">
        <v>1440225.25</v>
      </c>
      <c r="D320" s="184">
        <v>1035121.98</v>
      </c>
      <c r="E320" s="184">
        <v>405103.27</v>
      </c>
      <c r="F320" s="265" t="s">
        <v>486</v>
      </c>
      <c r="G320" s="231" t="s">
        <v>6</v>
      </c>
    </row>
    <row r="321" spans="1:7" x14ac:dyDescent="0.25">
      <c r="F321" s="265" t="s">
        <v>486</v>
      </c>
      <c r="G321" s="231" t="s">
        <v>6</v>
      </c>
    </row>
    <row r="322" spans="1:7" x14ac:dyDescent="0.25">
      <c r="F322" s="265" t="s">
        <v>486</v>
      </c>
      <c r="G322" s="231" t="s">
        <v>6</v>
      </c>
    </row>
    <row r="323" spans="1:7" x14ac:dyDescent="0.25">
      <c r="F323" s="265" t="s">
        <v>486</v>
      </c>
      <c r="G323" s="231" t="s">
        <v>6</v>
      </c>
    </row>
    <row r="324" spans="1:7" x14ac:dyDescent="0.25">
      <c r="F324" s="265" t="s">
        <v>486</v>
      </c>
      <c r="G324" s="231" t="s">
        <v>6</v>
      </c>
    </row>
    <row r="325" spans="1:7" x14ac:dyDescent="0.25">
      <c r="F325" s="265" t="s">
        <v>486</v>
      </c>
      <c r="G325" s="231" t="s">
        <v>6</v>
      </c>
    </row>
    <row r="326" spans="1:7" x14ac:dyDescent="0.25">
      <c r="F326" s="265" t="s">
        <v>486</v>
      </c>
      <c r="G326" s="231" t="s">
        <v>6</v>
      </c>
    </row>
    <row r="327" spans="1:7" x14ac:dyDescent="0.25">
      <c r="F327" s="265" t="s">
        <v>486</v>
      </c>
      <c r="G327" s="231" t="s">
        <v>6</v>
      </c>
    </row>
    <row r="328" spans="1:7" x14ac:dyDescent="0.25">
      <c r="F328" s="265" t="s">
        <v>486</v>
      </c>
      <c r="G328" s="231" t="s">
        <v>6</v>
      </c>
    </row>
    <row r="329" spans="1:7" x14ac:dyDescent="0.25">
      <c r="A329" s="184" t="s">
        <v>644</v>
      </c>
      <c r="E329" s="184" t="s">
        <v>645</v>
      </c>
      <c r="F329" s="265" t="s">
        <v>486</v>
      </c>
      <c r="G329" s="231" t="s">
        <v>6</v>
      </c>
    </row>
    <row r="330" spans="1:7" x14ac:dyDescent="0.25">
      <c r="A330" s="184" t="s">
        <v>646</v>
      </c>
      <c r="E330" s="184" t="s">
        <v>647</v>
      </c>
      <c r="F330" s="265" t="s">
        <v>486</v>
      </c>
      <c r="G330" s="231" t="s">
        <v>6</v>
      </c>
    </row>
    <row r="331" spans="1:7" x14ac:dyDescent="0.25">
      <c r="F331" s="265" t="s">
        <v>486</v>
      </c>
      <c r="G331" s="231" t="s">
        <v>6</v>
      </c>
    </row>
    <row r="332" spans="1:7" x14ac:dyDescent="0.25">
      <c r="A332" s="184" t="s">
        <v>717</v>
      </c>
      <c r="F332" s="265" t="s">
        <v>486</v>
      </c>
      <c r="G332" s="231" t="s">
        <v>6</v>
      </c>
    </row>
    <row r="333" spans="1:7" x14ac:dyDescent="0.25">
      <c r="A333" s="184" t="s">
        <v>718</v>
      </c>
      <c r="F333" s="265" t="s">
        <v>486</v>
      </c>
      <c r="G333" s="231" t="s">
        <v>6</v>
      </c>
    </row>
    <row r="334" spans="1:7" x14ac:dyDescent="0.25">
      <c r="A334" s="184">
        <v>6490000</v>
      </c>
      <c r="B334" s="184" t="s">
        <v>719</v>
      </c>
      <c r="C334" s="184">
        <v>418.87</v>
      </c>
      <c r="D334" s="184">
        <v>418.87</v>
      </c>
      <c r="E334" s="184">
        <v>0</v>
      </c>
      <c r="F334" s="265" t="s">
        <v>486</v>
      </c>
      <c r="G334" s="231" t="s">
        <v>6</v>
      </c>
    </row>
    <row r="335" spans="1:7" x14ac:dyDescent="0.25">
      <c r="C335" s="184">
        <v>418.87</v>
      </c>
      <c r="D335" s="184">
        <v>418.87</v>
      </c>
      <c r="E335" s="184">
        <v>0</v>
      </c>
      <c r="F335" s="265" t="s">
        <v>486</v>
      </c>
      <c r="G335" s="231" t="s">
        <v>6</v>
      </c>
    </row>
    <row r="336" spans="1:7" x14ac:dyDescent="0.25">
      <c r="A336" s="184" t="s">
        <v>718</v>
      </c>
      <c r="C336" s="184">
        <v>418.87</v>
      </c>
      <c r="D336" s="184">
        <v>418.87</v>
      </c>
      <c r="E336" s="184">
        <v>0</v>
      </c>
      <c r="F336" s="265" t="s">
        <v>486</v>
      </c>
      <c r="G336" s="231" t="s">
        <v>6</v>
      </c>
    </row>
    <row r="337" spans="1:7" x14ac:dyDescent="0.25">
      <c r="F337" s="265" t="s">
        <v>486</v>
      </c>
      <c r="G337" s="231" t="s">
        <v>6</v>
      </c>
    </row>
    <row r="338" spans="1:7" x14ac:dyDescent="0.25">
      <c r="A338" s="184" t="s">
        <v>720</v>
      </c>
      <c r="F338" s="265" t="s">
        <v>486</v>
      </c>
      <c r="G338" s="231" t="s">
        <v>6</v>
      </c>
    </row>
    <row r="339" spans="1:7" x14ac:dyDescent="0.25">
      <c r="A339" s="184">
        <v>6400011</v>
      </c>
      <c r="B339" s="184" t="s">
        <v>721</v>
      </c>
      <c r="C339" s="184">
        <v>32507.360000000001</v>
      </c>
      <c r="D339" s="184">
        <v>13457.42</v>
      </c>
      <c r="E339" s="184">
        <v>19049.939999999999</v>
      </c>
      <c r="F339" s="265" t="s">
        <v>486</v>
      </c>
      <c r="G339" s="231" t="s">
        <v>6</v>
      </c>
    </row>
    <row r="340" spans="1:7" x14ac:dyDescent="0.25">
      <c r="C340" s="184">
        <v>32507.360000000001</v>
      </c>
      <c r="D340" s="184">
        <v>13457.42</v>
      </c>
      <c r="E340" s="184">
        <v>19049.939999999999</v>
      </c>
      <c r="F340" s="265" t="s">
        <v>486</v>
      </c>
      <c r="G340" s="231" t="s">
        <v>6</v>
      </c>
    </row>
    <row r="341" spans="1:7" x14ac:dyDescent="0.25">
      <c r="A341" s="184">
        <v>6295100</v>
      </c>
      <c r="B341" s="184" t="s">
        <v>722</v>
      </c>
      <c r="C341" s="184">
        <v>516.99</v>
      </c>
      <c r="D341" s="184">
        <v>516.99</v>
      </c>
      <c r="E341" s="184">
        <v>0</v>
      </c>
      <c r="F341" s="265" t="s">
        <v>486</v>
      </c>
      <c r="G341" s="231" t="s">
        <v>6</v>
      </c>
    </row>
    <row r="342" spans="1:7" x14ac:dyDescent="0.25">
      <c r="C342" s="184">
        <v>516.99</v>
      </c>
      <c r="D342" s="184">
        <v>516.99</v>
      </c>
      <c r="E342" s="184">
        <v>0</v>
      </c>
      <c r="F342" s="265" t="s">
        <v>486</v>
      </c>
      <c r="G342" s="231" t="s">
        <v>6</v>
      </c>
    </row>
    <row r="343" spans="1:7" x14ac:dyDescent="0.25">
      <c r="A343" s="184">
        <v>6235200</v>
      </c>
      <c r="B343" s="184" t="s">
        <v>723</v>
      </c>
      <c r="C343" s="184">
        <v>2318.5</v>
      </c>
      <c r="D343" s="184">
        <v>2115.83</v>
      </c>
      <c r="E343" s="184">
        <v>202.67</v>
      </c>
      <c r="F343" s="265" t="s">
        <v>486</v>
      </c>
      <c r="G343" s="231" t="s">
        <v>6</v>
      </c>
    </row>
    <row r="344" spans="1:7" x14ac:dyDescent="0.25">
      <c r="C344" s="184">
        <v>2318.5</v>
      </c>
      <c r="D344" s="184">
        <v>2115.83</v>
      </c>
      <c r="E344" s="184">
        <v>202.67</v>
      </c>
      <c r="F344" s="265" t="s">
        <v>486</v>
      </c>
      <c r="G344" s="231" t="s">
        <v>6</v>
      </c>
    </row>
    <row r="345" spans="1:7" x14ac:dyDescent="0.25">
      <c r="A345" s="184">
        <v>6241900</v>
      </c>
      <c r="B345" s="184" t="s">
        <v>674</v>
      </c>
      <c r="C345" s="184">
        <v>33.93</v>
      </c>
      <c r="D345" s="184">
        <v>0.01</v>
      </c>
      <c r="E345" s="184">
        <v>33.92</v>
      </c>
      <c r="F345" s="265" t="s">
        <v>486</v>
      </c>
      <c r="G345" s="231" t="s">
        <v>6</v>
      </c>
    </row>
    <row r="346" spans="1:7" x14ac:dyDescent="0.25">
      <c r="C346" s="184">
        <v>33.93</v>
      </c>
      <c r="D346" s="184">
        <v>0.01</v>
      </c>
      <c r="E346" s="184">
        <v>33.92</v>
      </c>
      <c r="F346" s="265" t="s">
        <v>486</v>
      </c>
      <c r="G346" s="231" t="s">
        <v>6</v>
      </c>
    </row>
    <row r="347" spans="1:7" x14ac:dyDescent="0.25">
      <c r="A347" s="184">
        <v>6221601</v>
      </c>
      <c r="B347" s="184" t="s">
        <v>724</v>
      </c>
      <c r="C347" s="184">
        <v>14698.82</v>
      </c>
      <c r="D347" s="184">
        <v>10105.629999999999</v>
      </c>
      <c r="E347" s="184">
        <v>4593.1899999999996</v>
      </c>
      <c r="F347" s="265" t="s">
        <v>486</v>
      </c>
      <c r="G347" s="231" t="s">
        <v>6</v>
      </c>
    </row>
    <row r="348" spans="1:7" x14ac:dyDescent="0.25">
      <c r="C348" s="184">
        <v>14698.82</v>
      </c>
      <c r="D348" s="184">
        <v>10105.629999999999</v>
      </c>
      <c r="E348" s="184">
        <v>4593.1899999999996</v>
      </c>
      <c r="F348" s="265" t="s">
        <v>486</v>
      </c>
      <c r="G348" s="231" t="s">
        <v>6</v>
      </c>
    </row>
    <row r="349" spans="1:7" x14ac:dyDescent="0.25">
      <c r="A349" s="184" t="s">
        <v>720</v>
      </c>
      <c r="C349" s="184">
        <v>50075.6</v>
      </c>
      <c r="D349" s="184">
        <v>26195.88</v>
      </c>
      <c r="E349" s="184">
        <v>23879.72</v>
      </c>
      <c r="F349" s="265" t="s">
        <v>486</v>
      </c>
      <c r="G349" s="231" t="s">
        <v>6</v>
      </c>
    </row>
    <row r="350" spans="1:7" x14ac:dyDescent="0.25">
      <c r="F350" s="265" t="s">
        <v>486</v>
      </c>
      <c r="G350" s="231" t="s">
        <v>6</v>
      </c>
    </row>
    <row r="351" spans="1:7" x14ac:dyDescent="0.25">
      <c r="A351" s="184" t="s">
        <v>725</v>
      </c>
      <c r="F351" s="265" t="s">
        <v>486</v>
      </c>
      <c r="G351" s="231" t="s">
        <v>6</v>
      </c>
    </row>
    <row r="352" spans="1:7" x14ac:dyDescent="0.25">
      <c r="A352" s="184">
        <v>6233103</v>
      </c>
      <c r="B352" s="184" t="s">
        <v>726</v>
      </c>
      <c r="C352" s="184">
        <v>13042.19</v>
      </c>
      <c r="D352" s="184">
        <v>10374.64</v>
      </c>
      <c r="E352" s="184">
        <v>2667.55</v>
      </c>
      <c r="F352" s="265" t="s">
        <v>486</v>
      </c>
      <c r="G352" s="231" t="s">
        <v>6</v>
      </c>
    </row>
    <row r="353" spans="1:7" x14ac:dyDescent="0.25">
      <c r="C353" s="184">
        <v>13042.19</v>
      </c>
      <c r="D353" s="184">
        <v>10374.64</v>
      </c>
      <c r="E353" s="184">
        <v>2667.55</v>
      </c>
      <c r="F353" s="265" t="s">
        <v>486</v>
      </c>
      <c r="G353" s="231" t="s">
        <v>6</v>
      </c>
    </row>
    <row r="354" spans="1:7" x14ac:dyDescent="0.25">
      <c r="A354" s="184" t="s">
        <v>725</v>
      </c>
      <c r="C354" s="184">
        <v>13042.19</v>
      </c>
      <c r="D354" s="184">
        <v>10374.64</v>
      </c>
      <c r="E354" s="184">
        <v>2667.55</v>
      </c>
      <c r="F354" s="265" t="s">
        <v>486</v>
      </c>
      <c r="G354" s="231" t="s">
        <v>6</v>
      </c>
    </row>
    <row r="355" spans="1:7" x14ac:dyDescent="0.25">
      <c r="F355" s="265" t="s">
        <v>486</v>
      </c>
      <c r="G355" s="231" t="s">
        <v>6</v>
      </c>
    </row>
    <row r="356" spans="1:7" x14ac:dyDescent="0.25">
      <c r="A356" s="184" t="s">
        <v>727</v>
      </c>
      <c r="F356" s="265" t="s">
        <v>486</v>
      </c>
      <c r="G356" s="231" t="s">
        <v>6</v>
      </c>
    </row>
    <row r="357" spans="1:7" x14ac:dyDescent="0.25">
      <c r="A357" s="184">
        <v>6221200</v>
      </c>
      <c r="B357" s="184" t="s">
        <v>728</v>
      </c>
      <c r="C357" s="184">
        <v>3805.28</v>
      </c>
      <c r="D357" s="184">
        <v>3093.85</v>
      </c>
      <c r="E357" s="184">
        <v>711.43</v>
      </c>
      <c r="F357" s="265" t="s">
        <v>486</v>
      </c>
      <c r="G357" s="231" t="s">
        <v>6</v>
      </c>
    </row>
    <row r="358" spans="1:7" x14ac:dyDescent="0.25">
      <c r="A358" s="184">
        <v>6221602</v>
      </c>
      <c r="B358" s="184" t="s">
        <v>729</v>
      </c>
      <c r="C358" s="184">
        <v>4495.42</v>
      </c>
      <c r="D358" s="184">
        <v>1096.68</v>
      </c>
      <c r="E358" s="184">
        <v>3398.74</v>
      </c>
      <c r="F358" s="265" t="s">
        <v>486</v>
      </c>
      <c r="G358" s="231" t="s">
        <v>6</v>
      </c>
    </row>
    <row r="359" spans="1:7" x14ac:dyDescent="0.25">
      <c r="A359" s="184">
        <v>6281600</v>
      </c>
      <c r="B359" s="184" t="s">
        <v>730</v>
      </c>
      <c r="C359" s="184">
        <v>18430.169999999998</v>
      </c>
      <c r="D359" s="184">
        <v>13178.85</v>
      </c>
      <c r="E359" s="184">
        <v>5251.32</v>
      </c>
      <c r="F359" s="265" t="s">
        <v>486</v>
      </c>
      <c r="G359" s="231" t="s">
        <v>6</v>
      </c>
    </row>
    <row r="360" spans="1:7" x14ac:dyDescent="0.25">
      <c r="A360" s="184">
        <v>6283102</v>
      </c>
      <c r="B360" s="184" t="s">
        <v>731</v>
      </c>
      <c r="C360" s="184">
        <v>2021.27</v>
      </c>
      <c r="D360" s="184">
        <v>1516.15</v>
      </c>
      <c r="E360" s="184">
        <v>505.12</v>
      </c>
      <c r="F360" s="265" t="s">
        <v>486</v>
      </c>
      <c r="G360" s="231" t="s">
        <v>6</v>
      </c>
    </row>
    <row r="361" spans="1:7" x14ac:dyDescent="0.25">
      <c r="A361" s="184">
        <v>6292100</v>
      </c>
      <c r="B361" s="184" t="s">
        <v>732</v>
      </c>
      <c r="C361" s="184">
        <v>3083.86</v>
      </c>
      <c r="D361" s="184">
        <v>1796.62</v>
      </c>
      <c r="E361" s="184">
        <v>1287.24</v>
      </c>
      <c r="F361" s="265" t="s">
        <v>486</v>
      </c>
      <c r="G361" s="231" t="s">
        <v>6</v>
      </c>
    </row>
    <row r="362" spans="1:7" x14ac:dyDescent="0.25">
      <c r="C362" s="184">
        <v>31836</v>
      </c>
      <c r="D362" s="184">
        <v>20682.150000000001</v>
      </c>
      <c r="E362" s="184">
        <v>11153.85</v>
      </c>
      <c r="F362" s="265" t="s">
        <v>486</v>
      </c>
      <c r="G362" s="231" t="s">
        <v>6</v>
      </c>
    </row>
    <row r="363" spans="1:7" x14ac:dyDescent="0.25">
      <c r="A363" s="184">
        <v>6810101</v>
      </c>
      <c r="B363" s="184" t="s">
        <v>733</v>
      </c>
      <c r="C363" s="184">
        <v>19087.400000000001</v>
      </c>
      <c r="D363" s="184">
        <v>14310.41</v>
      </c>
      <c r="E363" s="184">
        <v>4776.99</v>
      </c>
      <c r="F363" s="265" t="s">
        <v>486</v>
      </c>
      <c r="G363" s="231" t="s">
        <v>6</v>
      </c>
    </row>
    <row r="364" spans="1:7" x14ac:dyDescent="0.25">
      <c r="A364" s="184">
        <v>6810401</v>
      </c>
      <c r="B364" s="184" t="s">
        <v>734</v>
      </c>
      <c r="C364" s="184">
        <v>38634.910000000003</v>
      </c>
      <c r="D364" s="184">
        <v>28942.68</v>
      </c>
      <c r="E364" s="184">
        <v>9692.23</v>
      </c>
      <c r="F364" s="265" t="s">
        <v>486</v>
      </c>
      <c r="G364" s="231" t="s">
        <v>6</v>
      </c>
    </row>
    <row r="365" spans="1:7" x14ac:dyDescent="0.25">
      <c r="A365" s="184">
        <v>6810701</v>
      </c>
      <c r="B365" s="184" t="s">
        <v>735</v>
      </c>
      <c r="C365" s="184">
        <v>3463.84</v>
      </c>
      <c r="D365" s="184">
        <v>2591.84</v>
      </c>
      <c r="E365" s="184">
        <v>872</v>
      </c>
      <c r="F365" s="265" t="s">
        <v>486</v>
      </c>
      <c r="G365" s="231" t="s">
        <v>6</v>
      </c>
    </row>
    <row r="366" spans="1:7" x14ac:dyDescent="0.25">
      <c r="C366" s="184">
        <v>61186.15</v>
      </c>
      <c r="D366" s="184">
        <v>45844.93</v>
      </c>
      <c r="E366" s="184">
        <v>15341.22</v>
      </c>
      <c r="F366" s="265" t="s">
        <v>486</v>
      </c>
      <c r="G366" s="231" t="s">
        <v>6</v>
      </c>
    </row>
    <row r="367" spans="1:7" x14ac:dyDescent="0.25">
      <c r="A367" s="184">
        <v>6310004</v>
      </c>
      <c r="B367" s="184" t="s">
        <v>736</v>
      </c>
      <c r="C367" s="184">
        <v>56.01</v>
      </c>
      <c r="D367" s="184">
        <v>44.47</v>
      </c>
      <c r="E367" s="184">
        <v>11.54</v>
      </c>
      <c r="F367" s="265" t="s">
        <v>486</v>
      </c>
      <c r="G367" s="231" t="s">
        <v>6</v>
      </c>
    </row>
    <row r="368" spans="1:7" x14ac:dyDescent="0.25">
      <c r="C368" s="184">
        <v>56.01</v>
      </c>
      <c r="D368" s="184">
        <v>44.47</v>
      </c>
      <c r="E368" s="184">
        <v>11.54</v>
      </c>
      <c r="F368" s="265" t="s">
        <v>486</v>
      </c>
      <c r="G368" s="231" t="s">
        <v>6</v>
      </c>
    </row>
    <row r="369" spans="1:7" x14ac:dyDescent="0.25">
      <c r="A369" s="184">
        <v>6235300</v>
      </c>
      <c r="B369" s="184" t="s">
        <v>737</v>
      </c>
      <c r="C369" s="184">
        <v>54.21</v>
      </c>
      <c r="D369" s="184">
        <v>40.69</v>
      </c>
      <c r="E369" s="184">
        <v>13.52</v>
      </c>
      <c r="F369" s="265" t="s">
        <v>486</v>
      </c>
      <c r="G369" s="231" t="s">
        <v>6</v>
      </c>
    </row>
    <row r="370" spans="1:7" x14ac:dyDescent="0.25">
      <c r="C370" s="184">
        <v>54.21</v>
      </c>
      <c r="D370" s="184">
        <v>40.69</v>
      </c>
      <c r="E370" s="184">
        <v>13.52</v>
      </c>
      <c r="F370" s="265" t="s">
        <v>486</v>
      </c>
      <c r="G370" s="231" t="s">
        <v>6</v>
      </c>
    </row>
    <row r="371" spans="1:7" x14ac:dyDescent="0.25">
      <c r="A371" s="184" t="s">
        <v>727</v>
      </c>
      <c r="C371" s="184">
        <v>93132.37</v>
      </c>
      <c r="D371" s="184">
        <v>66612.240000000005</v>
      </c>
      <c r="E371" s="184">
        <v>26520.13</v>
      </c>
      <c r="F371" s="265" t="s">
        <v>486</v>
      </c>
      <c r="G371" s="231" t="s">
        <v>6</v>
      </c>
    </row>
    <row r="372" spans="1:7" x14ac:dyDescent="0.25">
      <c r="F372" s="265" t="s">
        <v>486</v>
      </c>
      <c r="G372" s="231" t="s">
        <v>6</v>
      </c>
    </row>
    <row r="373" spans="1:7" x14ac:dyDescent="0.25">
      <c r="A373" s="184" t="s">
        <v>738</v>
      </c>
      <c r="F373" s="265" t="s">
        <v>486</v>
      </c>
      <c r="G373" s="231" t="s">
        <v>6</v>
      </c>
    </row>
    <row r="374" spans="1:7" x14ac:dyDescent="0.25">
      <c r="A374" s="184">
        <v>6200100</v>
      </c>
      <c r="B374" s="184" t="s">
        <v>739</v>
      </c>
      <c r="C374" s="184">
        <v>-0.01</v>
      </c>
      <c r="D374" s="184">
        <v>-0.01</v>
      </c>
      <c r="E374" s="184">
        <v>0</v>
      </c>
      <c r="F374" s="265" t="s">
        <v>486</v>
      </c>
      <c r="G374" s="231" t="s">
        <v>6</v>
      </c>
    </row>
    <row r="375" spans="1:7" x14ac:dyDescent="0.25">
      <c r="C375" s="184">
        <v>-0.01</v>
      </c>
      <c r="D375" s="184">
        <v>-0.01</v>
      </c>
      <c r="E375" s="184">
        <v>0</v>
      </c>
      <c r="F375" s="265" t="s">
        <v>486</v>
      </c>
      <c r="G375" s="231" t="s">
        <v>6</v>
      </c>
    </row>
    <row r="376" spans="1:7" x14ac:dyDescent="0.25">
      <c r="A376" s="184" t="s">
        <v>738</v>
      </c>
      <c r="C376" s="184">
        <v>-0.01</v>
      </c>
      <c r="D376" s="184">
        <v>-0.01</v>
      </c>
      <c r="E376" s="184">
        <v>0</v>
      </c>
      <c r="F376" s="265" t="s">
        <v>486</v>
      </c>
      <c r="G376" s="231" t="s">
        <v>6</v>
      </c>
    </row>
    <row r="377" spans="1:7" x14ac:dyDescent="0.25">
      <c r="F377" s="265" t="s">
        <v>486</v>
      </c>
      <c r="G377" s="231" t="s">
        <v>6</v>
      </c>
    </row>
    <row r="378" spans="1:7" x14ac:dyDescent="0.25">
      <c r="A378" s="184" t="s">
        <v>717</v>
      </c>
      <c r="C378" s="184">
        <v>156669.01999999999</v>
      </c>
      <c r="D378" s="184">
        <v>103601.62</v>
      </c>
      <c r="E378" s="184">
        <v>53067.4</v>
      </c>
      <c r="F378" s="265" t="s">
        <v>486</v>
      </c>
      <c r="G378" s="231" t="s">
        <v>6</v>
      </c>
    </row>
    <row r="379" spans="1:7" x14ac:dyDescent="0.25">
      <c r="F379" s="265" t="s">
        <v>486</v>
      </c>
      <c r="G379" s="231" t="s">
        <v>6</v>
      </c>
    </row>
    <row r="380" spans="1:7" x14ac:dyDescent="0.25">
      <c r="F380" s="265" t="s">
        <v>486</v>
      </c>
      <c r="G380" s="231" t="s">
        <v>6</v>
      </c>
    </row>
    <row r="381" spans="1:7" x14ac:dyDescent="0.25">
      <c r="F381" s="265" t="s">
        <v>486</v>
      </c>
      <c r="G381" s="231" t="s">
        <v>6</v>
      </c>
    </row>
    <row r="382" spans="1:7" x14ac:dyDescent="0.25">
      <c r="F382" s="265" t="s">
        <v>486</v>
      </c>
      <c r="G382" s="231" t="s">
        <v>6</v>
      </c>
    </row>
    <row r="383" spans="1:7" x14ac:dyDescent="0.25">
      <c r="F383" s="265" t="s">
        <v>486</v>
      </c>
      <c r="G383" s="231" t="s">
        <v>6</v>
      </c>
    </row>
    <row r="384" spans="1:7" x14ac:dyDescent="0.25">
      <c r="F384" s="265" t="s">
        <v>486</v>
      </c>
      <c r="G384" s="231" t="s">
        <v>6</v>
      </c>
    </row>
    <row r="385" spans="1:7" x14ac:dyDescent="0.25">
      <c r="F385" s="265" t="s">
        <v>486</v>
      </c>
      <c r="G385" s="231" t="s">
        <v>6</v>
      </c>
    </row>
    <row r="386" spans="1:7" x14ac:dyDescent="0.25">
      <c r="F386" s="265" t="s">
        <v>486</v>
      </c>
      <c r="G386" s="231" t="s">
        <v>6</v>
      </c>
    </row>
    <row r="387" spans="1:7" x14ac:dyDescent="0.25">
      <c r="A387" s="184" t="s">
        <v>644</v>
      </c>
      <c r="E387" s="184" t="s">
        <v>645</v>
      </c>
      <c r="F387" s="265" t="s">
        <v>486</v>
      </c>
      <c r="G387" s="231" t="s">
        <v>6</v>
      </c>
    </row>
    <row r="388" spans="1:7" x14ac:dyDescent="0.25">
      <c r="A388" s="184" t="s">
        <v>646</v>
      </c>
      <c r="E388" s="184" t="s">
        <v>647</v>
      </c>
      <c r="F388" s="265" t="s">
        <v>486</v>
      </c>
      <c r="G388" s="231" t="s">
        <v>6</v>
      </c>
    </row>
    <row r="389" spans="1:7" x14ac:dyDescent="0.25">
      <c r="F389" s="265" t="s">
        <v>486</v>
      </c>
      <c r="G389" s="231" t="s">
        <v>6</v>
      </c>
    </row>
    <row r="390" spans="1:7" x14ac:dyDescent="0.25">
      <c r="A390" s="184" t="s">
        <v>740</v>
      </c>
      <c r="F390" s="265" t="s">
        <v>486</v>
      </c>
      <c r="G390" s="231" t="s">
        <v>6</v>
      </c>
    </row>
    <row r="391" spans="1:7" x14ac:dyDescent="0.25">
      <c r="A391" s="184" t="s">
        <v>741</v>
      </c>
      <c r="F391" s="265" t="s">
        <v>486</v>
      </c>
      <c r="G391" s="231" t="s">
        <v>6</v>
      </c>
    </row>
    <row r="392" spans="1:7" x14ac:dyDescent="0.25">
      <c r="A392" s="184" t="s">
        <v>742</v>
      </c>
      <c r="F392" s="265" t="s">
        <v>486</v>
      </c>
      <c r="G392" s="231" t="s">
        <v>6</v>
      </c>
    </row>
    <row r="393" spans="1:7" x14ac:dyDescent="0.25">
      <c r="A393" s="184">
        <v>7639001</v>
      </c>
      <c r="B393" s="184" t="s">
        <v>743</v>
      </c>
      <c r="C393" s="184">
        <v>-560.20000000000005</v>
      </c>
      <c r="D393" s="184">
        <v>-444.77</v>
      </c>
      <c r="E393" s="184">
        <v>-115.43</v>
      </c>
      <c r="F393" s="265" t="s">
        <v>486</v>
      </c>
      <c r="G393" s="231" t="s">
        <v>6</v>
      </c>
    </row>
    <row r="394" spans="1:7" x14ac:dyDescent="0.25">
      <c r="A394" s="184" t="s">
        <v>742</v>
      </c>
      <c r="C394" s="184">
        <v>-560.20000000000005</v>
      </c>
      <c r="D394" s="184">
        <v>-444.77</v>
      </c>
      <c r="E394" s="184">
        <v>-115.43</v>
      </c>
      <c r="F394" s="265" t="s">
        <v>486</v>
      </c>
      <c r="G394" s="231" t="s">
        <v>6</v>
      </c>
    </row>
    <row r="395" spans="1:7" x14ac:dyDescent="0.25">
      <c r="F395" s="265" t="s">
        <v>486</v>
      </c>
      <c r="G395" s="231" t="s">
        <v>6</v>
      </c>
    </row>
    <row r="396" spans="1:7" x14ac:dyDescent="0.25">
      <c r="A396" s="184" t="s">
        <v>744</v>
      </c>
      <c r="F396" s="265" t="s">
        <v>486</v>
      </c>
      <c r="G396" s="231" t="s">
        <v>6</v>
      </c>
    </row>
    <row r="397" spans="1:7" x14ac:dyDescent="0.25">
      <c r="A397" s="184">
        <v>6261000</v>
      </c>
      <c r="B397" s="184" t="s">
        <v>745</v>
      </c>
      <c r="C397" s="184">
        <v>246.71</v>
      </c>
      <c r="D397" s="184">
        <v>219.69</v>
      </c>
      <c r="E397" s="184">
        <v>27.02</v>
      </c>
      <c r="F397" s="265" t="s">
        <v>486</v>
      </c>
      <c r="G397" s="231" t="s">
        <v>6</v>
      </c>
    </row>
    <row r="398" spans="1:7" x14ac:dyDescent="0.25">
      <c r="A398" s="184" t="s">
        <v>744</v>
      </c>
      <c r="C398" s="184">
        <v>246.71</v>
      </c>
      <c r="D398" s="184">
        <v>219.69</v>
      </c>
      <c r="E398" s="184">
        <v>27.02</v>
      </c>
      <c r="F398" s="265" t="s">
        <v>486</v>
      </c>
      <c r="G398" s="231" t="s">
        <v>6</v>
      </c>
    </row>
    <row r="399" spans="1:7" x14ac:dyDescent="0.25">
      <c r="F399" s="265" t="s">
        <v>486</v>
      </c>
      <c r="G399" s="231" t="s">
        <v>6</v>
      </c>
    </row>
    <row r="400" spans="1:7" x14ac:dyDescent="0.25">
      <c r="A400" s="184" t="s">
        <v>741</v>
      </c>
      <c r="C400" s="184">
        <v>-313.49</v>
      </c>
      <c r="D400" s="184">
        <v>-225.08</v>
      </c>
      <c r="E400" s="184">
        <v>-88.41</v>
      </c>
      <c r="F400" s="265" t="s">
        <v>486</v>
      </c>
      <c r="G400" s="231" t="s">
        <v>6</v>
      </c>
    </row>
    <row r="401" spans="1:7" x14ac:dyDescent="0.25">
      <c r="F401" s="265" t="s">
        <v>486</v>
      </c>
      <c r="G401" s="231" t="s">
        <v>6</v>
      </c>
    </row>
    <row r="402" spans="1:7" x14ac:dyDescent="0.25">
      <c r="A402" s="184" t="s">
        <v>746</v>
      </c>
      <c r="F402" s="265" t="s">
        <v>486</v>
      </c>
      <c r="G402" s="231" t="s">
        <v>6</v>
      </c>
    </row>
    <row r="403" spans="1:7" x14ac:dyDescent="0.25">
      <c r="A403" s="184" t="s">
        <v>746</v>
      </c>
      <c r="F403" s="265" t="s">
        <v>486</v>
      </c>
      <c r="G403" s="231" t="s">
        <v>6</v>
      </c>
    </row>
    <row r="404" spans="1:7" x14ac:dyDescent="0.25">
      <c r="A404" s="184">
        <v>7590000</v>
      </c>
      <c r="B404" s="184" t="s">
        <v>747</v>
      </c>
      <c r="C404" s="184">
        <v>-4661.67</v>
      </c>
      <c r="D404" s="184">
        <v>-4640.3999999999996</v>
      </c>
      <c r="E404" s="184">
        <v>-21.27</v>
      </c>
      <c r="F404" s="265" t="s">
        <v>486</v>
      </c>
      <c r="G404" s="231" t="s">
        <v>6</v>
      </c>
    </row>
    <row r="405" spans="1:7" x14ac:dyDescent="0.25">
      <c r="A405" s="184">
        <v>7684000</v>
      </c>
      <c r="B405" s="184" t="s">
        <v>748</v>
      </c>
      <c r="C405" s="184">
        <v>-17231.95</v>
      </c>
      <c r="D405" s="184">
        <v>-3559.02</v>
      </c>
      <c r="E405" s="184">
        <v>-13672.93</v>
      </c>
      <c r="F405" s="265" t="s">
        <v>486</v>
      </c>
      <c r="G405" s="231" t="s">
        <v>6</v>
      </c>
    </row>
    <row r="406" spans="1:7" x14ac:dyDescent="0.25">
      <c r="C406" s="184">
        <v>-21893.62</v>
      </c>
      <c r="D406" s="184">
        <v>-8199.42</v>
      </c>
      <c r="E406" s="184">
        <v>-13694.2</v>
      </c>
      <c r="F406" s="265" t="s">
        <v>486</v>
      </c>
      <c r="G406" s="231" t="s">
        <v>6</v>
      </c>
    </row>
    <row r="407" spans="1:7" x14ac:dyDescent="0.25">
      <c r="A407" s="184">
        <v>6201698</v>
      </c>
      <c r="B407" s="184" t="s">
        <v>749</v>
      </c>
      <c r="C407" s="184">
        <v>199599.09</v>
      </c>
      <c r="D407" s="184">
        <v>0</v>
      </c>
      <c r="E407" s="184">
        <v>199599.09</v>
      </c>
      <c r="F407" s="265" t="s">
        <v>486</v>
      </c>
      <c r="G407" s="231" t="s">
        <v>6</v>
      </c>
    </row>
    <row r="408" spans="1:7" x14ac:dyDescent="0.25">
      <c r="A408" s="184">
        <v>6239610</v>
      </c>
      <c r="B408" s="184" t="s">
        <v>750</v>
      </c>
      <c r="C408" s="184">
        <v>1617.44</v>
      </c>
      <c r="D408" s="184">
        <v>1285.68</v>
      </c>
      <c r="E408" s="184">
        <v>331.76</v>
      </c>
      <c r="F408" s="265" t="s">
        <v>486</v>
      </c>
      <c r="G408" s="231" t="s">
        <v>6</v>
      </c>
    </row>
    <row r="409" spans="1:7" x14ac:dyDescent="0.25">
      <c r="A409" s="184">
        <v>6299600</v>
      </c>
      <c r="B409" s="184" t="s">
        <v>751</v>
      </c>
      <c r="C409" s="184">
        <v>19926.45</v>
      </c>
      <c r="D409" s="184">
        <v>19926.45</v>
      </c>
      <c r="E409" s="184">
        <v>0</v>
      </c>
      <c r="F409" s="265" t="s">
        <v>486</v>
      </c>
      <c r="G409" s="231" t="s">
        <v>6</v>
      </c>
    </row>
    <row r="410" spans="1:7" x14ac:dyDescent="0.25">
      <c r="A410" s="184">
        <v>6299700</v>
      </c>
      <c r="B410" s="184" t="s">
        <v>554</v>
      </c>
      <c r="C410" s="184">
        <v>109.4</v>
      </c>
      <c r="D410" s="184">
        <v>109.33</v>
      </c>
      <c r="E410" s="184">
        <v>7.0000000000000007E-2</v>
      </c>
      <c r="F410" s="265" t="s">
        <v>486</v>
      </c>
      <c r="G410" s="231" t="s">
        <v>6</v>
      </c>
    </row>
    <row r="411" spans="1:7" x14ac:dyDescent="0.25">
      <c r="A411" s="184">
        <v>6299901</v>
      </c>
      <c r="B411" s="184" t="s">
        <v>752</v>
      </c>
      <c r="C411" s="184">
        <v>0.74</v>
      </c>
      <c r="D411" s="184">
        <v>0.03</v>
      </c>
      <c r="E411" s="184">
        <v>0.71</v>
      </c>
      <c r="F411" s="265" t="s">
        <v>486</v>
      </c>
      <c r="G411" s="231" t="s">
        <v>6</v>
      </c>
    </row>
    <row r="412" spans="1:7" x14ac:dyDescent="0.25">
      <c r="A412" s="184">
        <v>6684000</v>
      </c>
      <c r="B412" s="184" t="s">
        <v>753</v>
      </c>
      <c r="C412" s="184">
        <v>16839.080000000002</v>
      </c>
      <c r="D412" s="184">
        <v>3879.76</v>
      </c>
      <c r="E412" s="184">
        <v>12959.32</v>
      </c>
      <c r="F412" s="265" t="s">
        <v>486</v>
      </c>
      <c r="G412" s="231" t="s">
        <v>6</v>
      </c>
    </row>
    <row r="413" spans="1:7" x14ac:dyDescent="0.25">
      <c r="A413" s="184">
        <v>6684100</v>
      </c>
      <c r="B413" s="184" t="s">
        <v>754</v>
      </c>
      <c r="C413" s="184">
        <v>498.76</v>
      </c>
      <c r="D413" s="184">
        <v>498.76</v>
      </c>
      <c r="E413" s="184">
        <v>0</v>
      </c>
      <c r="F413" s="265" t="s">
        <v>486</v>
      </c>
      <c r="G413" s="231" t="s">
        <v>6</v>
      </c>
    </row>
    <row r="414" spans="1:7" x14ac:dyDescent="0.25">
      <c r="A414" s="184">
        <v>6940000</v>
      </c>
      <c r="B414" s="184" t="s">
        <v>511</v>
      </c>
      <c r="C414" s="184">
        <v>14632.63</v>
      </c>
      <c r="D414" s="184">
        <v>20817.11</v>
      </c>
      <c r="E414" s="184">
        <v>-6184.48</v>
      </c>
      <c r="F414" s="265" t="s">
        <v>486</v>
      </c>
      <c r="G414" s="231" t="s">
        <v>6</v>
      </c>
    </row>
    <row r="415" spans="1:7" x14ac:dyDescent="0.25">
      <c r="C415" s="184">
        <v>253223.59</v>
      </c>
      <c r="D415" s="184">
        <v>46517.120000000003</v>
      </c>
      <c r="E415" s="184">
        <v>206706.47</v>
      </c>
      <c r="F415" s="265" t="s">
        <v>486</v>
      </c>
      <c r="G415" s="231" t="s">
        <v>6</v>
      </c>
    </row>
    <row r="416" spans="1:7" x14ac:dyDescent="0.25">
      <c r="A416" s="184" t="s">
        <v>746</v>
      </c>
      <c r="C416" s="184">
        <v>231329.97</v>
      </c>
      <c r="D416" s="184">
        <v>38317.699999999997</v>
      </c>
      <c r="E416" s="184">
        <v>193012.27</v>
      </c>
      <c r="F416" s="265" t="s">
        <v>486</v>
      </c>
      <c r="G416" s="231" t="s">
        <v>6</v>
      </c>
    </row>
    <row r="417" spans="1:7" x14ac:dyDescent="0.25">
      <c r="F417" s="265" t="s">
        <v>486</v>
      </c>
      <c r="G417" s="231" t="s">
        <v>6</v>
      </c>
    </row>
    <row r="418" spans="1:7" x14ac:dyDescent="0.25">
      <c r="A418" s="184" t="s">
        <v>746</v>
      </c>
      <c r="C418" s="184">
        <v>231329.97</v>
      </c>
      <c r="D418" s="184">
        <v>38317.699999999997</v>
      </c>
      <c r="E418" s="184">
        <v>193012.27</v>
      </c>
      <c r="F418" s="265" t="s">
        <v>486</v>
      </c>
      <c r="G418" s="231" t="s">
        <v>6</v>
      </c>
    </row>
    <row r="419" spans="1:7" x14ac:dyDescent="0.25">
      <c r="F419" s="265" t="s">
        <v>486</v>
      </c>
      <c r="G419" s="231" t="s">
        <v>6</v>
      </c>
    </row>
    <row r="420" spans="1:7" x14ac:dyDescent="0.25">
      <c r="A420" s="184" t="s">
        <v>740</v>
      </c>
      <c r="C420" s="184">
        <v>231016.48</v>
      </c>
      <c r="D420" s="184">
        <v>38092.620000000003</v>
      </c>
      <c r="E420" s="184">
        <v>192923.86</v>
      </c>
      <c r="F420" s="265" t="s">
        <v>486</v>
      </c>
      <c r="G420" s="231" t="s">
        <v>6</v>
      </c>
    </row>
    <row r="421" spans="1:7" x14ac:dyDescent="0.25">
      <c r="F421" s="265" t="s">
        <v>486</v>
      </c>
      <c r="G421" s="231" t="s">
        <v>6</v>
      </c>
    </row>
    <row r="422" spans="1:7" x14ac:dyDescent="0.25">
      <c r="F422" s="265" t="s">
        <v>486</v>
      </c>
      <c r="G422" s="231" t="s">
        <v>6</v>
      </c>
    </row>
    <row r="423" spans="1:7" x14ac:dyDescent="0.25">
      <c r="F423" s="265" t="s">
        <v>486</v>
      </c>
      <c r="G423" s="231" t="s">
        <v>6</v>
      </c>
    </row>
    <row r="424" spans="1:7" x14ac:dyDescent="0.25">
      <c r="F424" s="265" t="s">
        <v>486</v>
      </c>
      <c r="G424" s="231" t="s">
        <v>6</v>
      </c>
    </row>
    <row r="425" spans="1:7" x14ac:dyDescent="0.25">
      <c r="F425" s="265" t="s">
        <v>486</v>
      </c>
      <c r="G425" s="231" t="s">
        <v>6</v>
      </c>
    </row>
    <row r="426" spans="1:7" x14ac:dyDescent="0.25">
      <c r="F426" s="265" t="s">
        <v>486</v>
      </c>
      <c r="G426" s="231" t="s">
        <v>6</v>
      </c>
    </row>
    <row r="427" spans="1:7" x14ac:dyDescent="0.25">
      <c r="F427" s="265" t="s">
        <v>486</v>
      </c>
      <c r="G427" s="231" t="s">
        <v>6</v>
      </c>
    </row>
    <row r="428" spans="1:7" x14ac:dyDescent="0.25">
      <c r="F428" s="265" t="s">
        <v>486</v>
      </c>
      <c r="G428" s="231" t="s">
        <v>6</v>
      </c>
    </row>
    <row r="429" spans="1:7" x14ac:dyDescent="0.25">
      <c r="A429" s="184" t="s">
        <v>644</v>
      </c>
      <c r="E429" s="184" t="s">
        <v>645</v>
      </c>
      <c r="F429" s="265" t="s">
        <v>486</v>
      </c>
      <c r="G429" s="231" t="s">
        <v>6</v>
      </c>
    </row>
    <row r="430" spans="1:7" x14ac:dyDescent="0.25">
      <c r="A430" s="184" t="s">
        <v>646</v>
      </c>
      <c r="E430" s="184" t="s">
        <v>647</v>
      </c>
      <c r="F430" s="265" t="s">
        <v>486</v>
      </c>
      <c r="G430" s="231" t="s">
        <v>6</v>
      </c>
    </row>
    <row r="431" spans="1:7" x14ac:dyDescent="0.25">
      <c r="F431" s="265" t="s">
        <v>486</v>
      </c>
      <c r="G431" s="231" t="s">
        <v>6</v>
      </c>
    </row>
    <row r="432" spans="1:7" x14ac:dyDescent="0.25">
      <c r="A432" s="184" t="s">
        <v>755</v>
      </c>
      <c r="C432" s="184">
        <v>338050.58</v>
      </c>
      <c r="D432" s="184">
        <v>589704.27</v>
      </c>
      <c r="E432" s="184">
        <v>-251653.69</v>
      </c>
      <c r="F432" s="265" t="s">
        <v>486</v>
      </c>
      <c r="G432" s="231" t="s">
        <v>6</v>
      </c>
    </row>
    <row r="433" spans="1:7" x14ac:dyDescent="0.25">
      <c r="A433" s="184" t="s">
        <v>643</v>
      </c>
      <c r="F433" s="265" t="s">
        <v>486</v>
      </c>
      <c r="G433" s="231" t="s">
        <v>6</v>
      </c>
    </row>
    <row r="434" spans="1:7" x14ac:dyDescent="0.25">
      <c r="F434" s="265" t="s">
        <v>486</v>
      </c>
      <c r="G434" s="231" t="s">
        <v>6</v>
      </c>
    </row>
    <row r="435" spans="1:7" x14ac:dyDescent="0.25">
      <c r="F435" s="265" t="s">
        <v>486</v>
      </c>
      <c r="G435" s="231" t="s">
        <v>6</v>
      </c>
    </row>
    <row r="436" spans="1:7" x14ac:dyDescent="0.25">
      <c r="F436" s="265" t="s">
        <v>486</v>
      </c>
      <c r="G436" s="231" t="s">
        <v>6</v>
      </c>
    </row>
    <row r="437" spans="1:7" x14ac:dyDescent="0.25">
      <c r="F437" s="265" t="s">
        <v>486</v>
      </c>
      <c r="G437" s="231" t="s">
        <v>6</v>
      </c>
    </row>
    <row r="438" spans="1:7" x14ac:dyDescent="0.25">
      <c r="F438" s="265" t="s">
        <v>486</v>
      </c>
      <c r="G438" s="231" t="s">
        <v>6</v>
      </c>
    </row>
    <row r="439" spans="1:7" x14ac:dyDescent="0.25">
      <c r="F439" s="265" t="s">
        <v>486</v>
      </c>
      <c r="G439" s="231" t="s">
        <v>6</v>
      </c>
    </row>
    <row r="440" spans="1:7" x14ac:dyDescent="0.25">
      <c r="F440" s="265" t="s">
        <v>486</v>
      </c>
      <c r="G440" s="231" t="s">
        <v>6</v>
      </c>
    </row>
    <row r="441" spans="1:7" x14ac:dyDescent="0.25">
      <c r="F441" s="265" t="s">
        <v>486</v>
      </c>
      <c r="G441" s="231" t="s">
        <v>6</v>
      </c>
    </row>
    <row r="442" spans="1:7" x14ac:dyDescent="0.25">
      <c r="A442" s="184" t="s">
        <v>644</v>
      </c>
      <c r="E442" s="184" t="s">
        <v>645</v>
      </c>
      <c r="F442" s="265" t="s">
        <v>486</v>
      </c>
      <c r="G442" s="231" t="s">
        <v>6</v>
      </c>
    </row>
    <row r="443" spans="1:7" x14ac:dyDescent="0.25">
      <c r="A443" s="184" t="s">
        <v>646</v>
      </c>
      <c r="E443" s="184" t="s">
        <v>647</v>
      </c>
      <c r="F443" s="265" t="s">
        <v>486</v>
      </c>
      <c r="G443" s="231" t="s">
        <v>6</v>
      </c>
    </row>
    <row r="444" spans="1:7" x14ac:dyDescent="0.25">
      <c r="F444" s="265" t="s">
        <v>486</v>
      </c>
      <c r="G444" s="231" t="s">
        <v>6</v>
      </c>
    </row>
    <row r="445" spans="1:7" x14ac:dyDescent="0.25">
      <c r="A445" s="184" t="s">
        <v>756</v>
      </c>
      <c r="F445" s="265" t="s">
        <v>486</v>
      </c>
      <c r="G445" s="231" t="s">
        <v>6</v>
      </c>
    </row>
    <row r="446" spans="1:7" x14ac:dyDescent="0.25">
      <c r="A446" s="184" t="s">
        <v>757</v>
      </c>
      <c r="F446" s="265" t="s">
        <v>486</v>
      </c>
      <c r="G446" s="231" t="s">
        <v>6</v>
      </c>
    </row>
    <row r="447" spans="1:7" x14ac:dyDescent="0.25">
      <c r="A447" s="184">
        <v>6235800</v>
      </c>
      <c r="B447" s="184" t="s">
        <v>758</v>
      </c>
      <c r="C447" s="184">
        <v>0.01</v>
      </c>
      <c r="D447" s="184">
        <v>0</v>
      </c>
      <c r="E447" s="184">
        <v>0.01</v>
      </c>
      <c r="F447" s="265" t="s">
        <v>486</v>
      </c>
      <c r="G447" s="231" t="s">
        <v>6</v>
      </c>
    </row>
    <row r="448" spans="1:7" x14ac:dyDescent="0.25">
      <c r="A448" s="184" t="s">
        <v>759</v>
      </c>
      <c r="B448" s="184" t="s">
        <v>760</v>
      </c>
      <c r="C448" s="184">
        <v>-1145292.05</v>
      </c>
      <c r="D448" s="184">
        <v>-1145292.05</v>
      </c>
      <c r="E448" s="184">
        <v>0</v>
      </c>
      <c r="F448" s="265" t="s">
        <v>486</v>
      </c>
      <c r="G448" s="231" t="s">
        <v>6</v>
      </c>
    </row>
    <row r="449" spans="1:7" x14ac:dyDescent="0.25">
      <c r="A449" s="184" t="s">
        <v>473</v>
      </c>
      <c r="B449" s="184" t="s">
        <v>761</v>
      </c>
      <c r="C449" s="184">
        <v>559010.74</v>
      </c>
      <c r="D449" s="184">
        <v>555709.86</v>
      </c>
      <c r="E449" s="184">
        <v>3300.88</v>
      </c>
      <c r="F449" s="265" t="s">
        <v>486</v>
      </c>
      <c r="G449" s="231" t="s">
        <v>6</v>
      </c>
    </row>
    <row r="450" spans="1:7" x14ac:dyDescent="0.25">
      <c r="A450" s="184" t="s">
        <v>762</v>
      </c>
      <c r="B450" s="184" t="s">
        <v>763</v>
      </c>
      <c r="C450" s="184">
        <v>80597.490000000005</v>
      </c>
      <c r="D450" s="184">
        <v>140866.39000000001</v>
      </c>
      <c r="E450" s="184">
        <v>-60268.9</v>
      </c>
      <c r="F450" s="265" t="s">
        <v>486</v>
      </c>
      <c r="G450" s="231" t="s">
        <v>6</v>
      </c>
    </row>
    <row r="451" spans="1:7" x14ac:dyDescent="0.25">
      <c r="A451" s="184" t="s">
        <v>764</v>
      </c>
      <c r="B451" s="184" t="s">
        <v>765</v>
      </c>
      <c r="C451" s="184">
        <v>374406.47</v>
      </c>
      <c r="D451" s="184">
        <v>406316.85</v>
      </c>
      <c r="E451" s="184">
        <v>-31910.38</v>
      </c>
      <c r="F451" s="265" t="s">
        <v>486</v>
      </c>
      <c r="G451" s="231" t="s">
        <v>6</v>
      </c>
    </row>
    <row r="452" spans="1:7" x14ac:dyDescent="0.25">
      <c r="A452" s="184" t="s">
        <v>766</v>
      </c>
      <c r="B452" s="184" t="s">
        <v>767</v>
      </c>
      <c r="C452" s="184">
        <v>-342298.81</v>
      </c>
      <c r="D452" s="184">
        <v>-276044.18</v>
      </c>
      <c r="E452" s="184">
        <v>-66254.63</v>
      </c>
      <c r="F452" s="265" t="s">
        <v>486</v>
      </c>
      <c r="G452" s="231" t="s">
        <v>6</v>
      </c>
    </row>
    <row r="453" spans="1:7" x14ac:dyDescent="0.25">
      <c r="A453" s="184" t="s">
        <v>768</v>
      </c>
      <c r="B453" s="184" t="s">
        <v>769</v>
      </c>
      <c r="C453" s="184">
        <v>179302.09</v>
      </c>
      <c r="D453" s="184">
        <v>130422.39</v>
      </c>
      <c r="E453" s="184">
        <v>48879.7</v>
      </c>
      <c r="F453" s="265" t="s">
        <v>486</v>
      </c>
      <c r="G453" s="231" t="s">
        <v>6</v>
      </c>
    </row>
    <row r="454" spans="1:7" x14ac:dyDescent="0.25">
      <c r="A454" s="184" t="s">
        <v>770</v>
      </c>
      <c r="B454" s="184" t="s">
        <v>771</v>
      </c>
      <c r="C454" s="184">
        <v>97726.25</v>
      </c>
      <c r="D454" s="184">
        <v>110141.92</v>
      </c>
      <c r="E454" s="184">
        <v>-12415.67</v>
      </c>
      <c r="F454" s="265" t="s">
        <v>486</v>
      </c>
      <c r="G454" s="231" t="s">
        <v>6</v>
      </c>
    </row>
    <row r="455" spans="1:7" x14ac:dyDescent="0.25">
      <c r="A455" s="184" t="s">
        <v>772</v>
      </c>
      <c r="B455" s="184" t="s">
        <v>773</v>
      </c>
      <c r="C455" s="184">
        <v>-174960.39</v>
      </c>
      <c r="D455" s="184">
        <v>-174960.39</v>
      </c>
      <c r="E455" s="184">
        <v>0</v>
      </c>
      <c r="F455" s="265" t="s">
        <v>486</v>
      </c>
      <c r="G455" s="231" t="s">
        <v>6</v>
      </c>
    </row>
    <row r="456" spans="1:7" x14ac:dyDescent="0.25">
      <c r="A456" s="184" t="s">
        <v>774</v>
      </c>
      <c r="B456" s="184" t="s">
        <v>775</v>
      </c>
      <c r="C456" s="184">
        <v>-24782.32</v>
      </c>
      <c r="D456" s="184">
        <v>-11762.54</v>
      </c>
      <c r="E456" s="184">
        <v>-13019.78</v>
      </c>
      <c r="F456" s="265" t="s">
        <v>486</v>
      </c>
      <c r="G456" s="231" t="s">
        <v>6</v>
      </c>
    </row>
    <row r="457" spans="1:7" x14ac:dyDescent="0.25">
      <c r="A457" s="184" t="s">
        <v>776</v>
      </c>
      <c r="B457" s="184" t="s">
        <v>777</v>
      </c>
      <c r="C457" s="184">
        <v>1699802.02</v>
      </c>
      <c r="D457" s="184">
        <v>1172524.6599999999</v>
      </c>
      <c r="E457" s="184">
        <v>527277.36</v>
      </c>
      <c r="F457" s="265" t="s">
        <v>486</v>
      </c>
      <c r="G457" s="231" t="s">
        <v>6</v>
      </c>
    </row>
    <row r="458" spans="1:7" x14ac:dyDescent="0.25">
      <c r="A458" s="184" t="s">
        <v>778</v>
      </c>
      <c r="B458" s="184" t="s">
        <v>779</v>
      </c>
      <c r="C458" s="184">
        <v>-144993.37</v>
      </c>
      <c r="D458" s="184">
        <v>-118487.17</v>
      </c>
      <c r="E458" s="184">
        <v>-26506.2</v>
      </c>
      <c r="F458" s="265" t="s">
        <v>486</v>
      </c>
      <c r="G458" s="231" t="s">
        <v>6</v>
      </c>
    </row>
    <row r="459" spans="1:7" x14ac:dyDescent="0.25">
      <c r="A459" s="184" t="s">
        <v>780</v>
      </c>
      <c r="B459" s="184" t="s">
        <v>781</v>
      </c>
      <c r="C459" s="184">
        <v>-12582.84</v>
      </c>
      <c r="D459" s="184">
        <v>-15656.22</v>
      </c>
      <c r="E459" s="184">
        <v>3073.38</v>
      </c>
      <c r="F459" s="265" t="s">
        <v>486</v>
      </c>
      <c r="G459" s="231" t="s">
        <v>6</v>
      </c>
    </row>
    <row r="460" spans="1:7" x14ac:dyDescent="0.25">
      <c r="A460" s="184" t="s">
        <v>782</v>
      </c>
      <c r="B460" s="184" t="s">
        <v>783</v>
      </c>
      <c r="C460" s="184">
        <v>-4595.91</v>
      </c>
      <c r="D460" s="184">
        <v>-34766.43</v>
      </c>
      <c r="E460" s="184">
        <v>30170.52</v>
      </c>
      <c r="F460" s="265" t="s">
        <v>486</v>
      </c>
      <c r="G460" s="231" t="s">
        <v>6</v>
      </c>
    </row>
    <row r="461" spans="1:7" x14ac:dyDescent="0.25">
      <c r="A461" s="184" t="s">
        <v>784</v>
      </c>
      <c r="B461" s="184" t="s">
        <v>785</v>
      </c>
      <c r="C461" s="184">
        <v>72996.539999999994</v>
      </c>
      <c r="D461" s="184">
        <v>94085.9</v>
      </c>
      <c r="E461" s="184">
        <v>-21089.360000000001</v>
      </c>
      <c r="F461" s="265" t="s">
        <v>486</v>
      </c>
      <c r="G461" s="231" t="s">
        <v>6</v>
      </c>
    </row>
    <row r="462" spans="1:7" x14ac:dyDescent="0.25">
      <c r="A462" s="184" t="s">
        <v>786</v>
      </c>
      <c r="B462" s="184" t="s">
        <v>787</v>
      </c>
      <c r="C462" s="184">
        <v>-1141901.17</v>
      </c>
      <c r="D462" s="184">
        <v>-833160</v>
      </c>
      <c r="E462" s="184">
        <v>-308741.17</v>
      </c>
      <c r="F462" s="265" t="s">
        <v>486</v>
      </c>
      <c r="G462" s="231" t="s">
        <v>6</v>
      </c>
    </row>
    <row r="463" spans="1:7" x14ac:dyDescent="0.25">
      <c r="A463" s="184" t="s">
        <v>788</v>
      </c>
      <c r="B463" s="184" t="s">
        <v>789</v>
      </c>
      <c r="C463" s="184">
        <v>-72495.75</v>
      </c>
      <c r="D463" s="184">
        <v>0</v>
      </c>
      <c r="E463" s="184">
        <v>-72495.75</v>
      </c>
      <c r="F463" s="265" t="s">
        <v>486</v>
      </c>
      <c r="G463" s="231" t="s">
        <v>6</v>
      </c>
    </row>
    <row r="464" spans="1:7" x14ac:dyDescent="0.25">
      <c r="C464" s="184">
        <v>-61</v>
      </c>
      <c r="D464" s="184">
        <v>-61.01</v>
      </c>
      <c r="E464" s="184">
        <v>0.01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5"/>
  <sheetViews>
    <sheetView topLeftCell="A248" workbookViewId="0">
      <selection activeCell="A2" sqref="A2:E285"/>
    </sheetView>
  </sheetViews>
  <sheetFormatPr baseColWidth="10" defaultColWidth="11.42578125" defaultRowHeight="15" x14ac:dyDescent="0.25"/>
  <cols>
    <col min="1" max="1" width="10.140625" style="184" customWidth="1"/>
    <col min="2" max="2" width="55.85546875" style="184" customWidth="1"/>
    <col min="3" max="5" width="12.42578125" style="184" bestFit="1" customWidth="1"/>
    <col min="6" max="6" width="5.85546875" style="184" bestFit="1" customWidth="1"/>
    <col min="7" max="7" width="5.28515625" style="184" bestFit="1" customWidth="1"/>
    <col min="8" max="9" width="11.42578125" style="184"/>
    <col min="10" max="10" width="55.85546875" style="22" bestFit="1" customWidth="1"/>
    <col min="11" max="16384" width="11.42578125" style="184"/>
  </cols>
  <sheetData>
    <row r="1" spans="1:10" x14ac:dyDescent="0.25">
      <c r="A1" s="229" t="s">
        <v>509</v>
      </c>
      <c r="B1" s="229" t="s">
        <v>381</v>
      </c>
      <c r="C1" s="230" t="s">
        <v>382</v>
      </c>
      <c r="D1" s="230" t="s">
        <v>383</v>
      </c>
      <c r="E1" s="230" t="s">
        <v>384</v>
      </c>
      <c r="F1" s="230" t="s">
        <v>485</v>
      </c>
      <c r="G1" s="229" t="s">
        <v>393</v>
      </c>
    </row>
    <row r="2" spans="1:10" x14ac:dyDescent="0.25">
      <c r="A2" s="231" t="s">
        <v>790</v>
      </c>
      <c r="B2" s="231"/>
      <c r="C2" s="232"/>
      <c r="D2" s="232"/>
      <c r="E2" s="232"/>
      <c r="F2" s="265" t="s">
        <v>486</v>
      </c>
      <c r="G2" s="231" t="s">
        <v>396</v>
      </c>
      <c r="J2" s="67"/>
    </row>
    <row r="3" spans="1:10" x14ac:dyDescent="0.25">
      <c r="A3" s="231">
        <v>5730090</v>
      </c>
      <c r="B3" s="231" t="s">
        <v>14</v>
      </c>
      <c r="C3" s="232">
        <v>-25655.59</v>
      </c>
      <c r="D3" s="232">
        <v>-25655.59</v>
      </c>
      <c r="E3" s="232">
        <v>0</v>
      </c>
      <c r="F3" s="265" t="s">
        <v>486</v>
      </c>
      <c r="G3" s="231" t="s">
        <v>396</v>
      </c>
      <c r="J3" s="67"/>
    </row>
    <row r="4" spans="1:10" x14ac:dyDescent="0.25">
      <c r="A4" s="231">
        <v>5730990</v>
      </c>
      <c r="B4" s="231" t="s">
        <v>21</v>
      </c>
      <c r="C4" s="232">
        <v>83029.14</v>
      </c>
      <c r="D4" s="232">
        <v>127553.99</v>
      </c>
      <c r="E4" s="232">
        <v>-44524.85</v>
      </c>
      <c r="F4" s="265" t="s">
        <v>486</v>
      </c>
      <c r="G4" s="231" t="s">
        <v>396</v>
      </c>
      <c r="J4" s="67"/>
    </row>
    <row r="5" spans="1:10" x14ac:dyDescent="0.25">
      <c r="A5" s="231"/>
      <c r="B5" s="231"/>
      <c r="C5" s="232">
        <v>57373.55</v>
      </c>
      <c r="D5" s="232">
        <v>101898.4</v>
      </c>
      <c r="E5" s="232">
        <v>-44524.85</v>
      </c>
      <c r="F5" s="265" t="s">
        <v>486</v>
      </c>
      <c r="G5" s="231" t="s">
        <v>396</v>
      </c>
      <c r="J5" s="67"/>
    </row>
    <row r="6" spans="1:10" x14ac:dyDescent="0.25">
      <c r="A6" s="231"/>
      <c r="B6" s="231"/>
      <c r="C6" s="232">
        <v>57373.55</v>
      </c>
      <c r="D6" s="232">
        <v>101898.4</v>
      </c>
      <c r="E6" s="232">
        <v>-44524.85</v>
      </c>
      <c r="F6" s="265" t="s">
        <v>486</v>
      </c>
      <c r="G6" s="231" t="s">
        <v>396</v>
      </c>
      <c r="J6" s="67"/>
    </row>
    <row r="7" spans="1:10" x14ac:dyDescent="0.25">
      <c r="A7" s="231"/>
      <c r="B7" s="231"/>
      <c r="C7" s="232">
        <v>57373.55</v>
      </c>
      <c r="D7" s="232">
        <v>101898.4</v>
      </c>
      <c r="E7" s="232">
        <v>-44524.85</v>
      </c>
      <c r="F7" s="265" t="s">
        <v>486</v>
      </c>
      <c r="G7" s="231" t="s">
        <v>396</v>
      </c>
      <c r="J7" s="67"/>
    </row>
    <row r="8" spans="1:10" x14ac:dyDescent="0.25">
      <c r="A8" s="231" t="s">
        <v>609</v>
      </c>
      <c r="B8" s="231"/>
      <c r="C8" s="232"/>
      <c r="D8" s="232"/>
      <c r="E8" s="232"/>
      <c r="F8" s="265" t="s">
        <v>486</v>
      </c>
      <c r="G8" s="231" t="s">
        <v>396</v>
      </c>
      <c r="J8" s="67"/>
    </row>
    <row r="9" spans="1:10" x14ac:dyDescent="0.25">
      <c r="A9" s="231" t="s">
        <v>611</v>
      </c>
      <c r="B9" s="231"/>
      <c r="C9" s="232"/>
      <c r="D9" s="232"/>
      <c r="E9" s="232"/>
      <c r="F9" s="265" t="s">
        <v>486</v>
      </c>
      <c r="G9" s="231" t="s">
        <v>396</v>
      </c>
      <c r="J9" s="67"/>
    </row>
    <row r="10" spans="1:10" x14ac:dyDescent="0.25">
      <c r="A10" s="231">
        <v>4330001</v>
      </c>
      <c r="B10" s="231" t="s">
        <v>27</v>
      </c>
      <c r="C10" s="232">
        <v>263245.53000000003</v>
      </c>
      <c r="D10" s="232">
        <v>231245.35</v>
      </c>
      <c r="E10" s="232">
        <v>32000.18</v>
      </c>
      <c r="F10" s="265" t="s">
        <v>486</v>
      </c>
      <c r="G10" s="231" t="s">
        <v>396</v>
      </c>
      <c r="J10" s="67"/>
    </row>
    <row r="11" spans="1:10" x14ac:dyDescent="0.25">
      <c r="A11" s="231"/>
      <c r="B11" s="231"/>
      <c r="C11" s="232">
        <v>263245.53000000003</v>
      </c>
      <c r="D11" s="232">
        <v>231245.35</v>
      </c>
      <c r="E11" s="232">
        <v>32000.18</v>
      </c>
      <c r="F11" s="265" t="s">
        <v>486</v>
      </c>
      <c r="G11" s="231" t="s">
        <v>396</v>
      </c>
      <c r="J11" s="67"/>
    </row>
    <row r="12" spans="1:10" x14ac:dyDescent="0.25">
      <c r="A12" s="231">
        <v>4900000</v>
      </c>
      <c r="B12" s="231" t="s">
        <v>613</v>
      </c>
      <c r="C12" s="232">
        <v>-7895.54</v>
      </c>
      <c r="D12" s="232">
        <v>-6936.25</v>
      </c>
      <c r="E12" s="232">
        <v>-959.29</v>
      </c>
      <c r="F12" s="265" t="s">
        <v>486</v>
      </c>
      <c r="G12" s="231" t="s">
        <v>396</v>
      </c>
      <c r="J12" s="67"/>
    </row>
    <row r="13" spans="1:10" x14ac:dyDescent="0.25">
      <c r="A13" s="231"/>
      <c r="B13" s="231"/>
      <c r="C13" s="232">
        <v>-7895.54</v>
      </c>
      <c r="D13" s="232">
        <v>-6936.25</v>
      </c>
      <c r="E13" s="232">
        <v>-959.29</v>
      </c>
      <c r="F13" s="265" t="s">
        <v>486</v>
      </c>
      <c r="G13" s="231" t="s">
        <v>396</v>
      </c>
      <c r="J13" s="67"/>
    </row>
    <row r="14" spans="1:10" x14ac:dyDescent="0.25">
      <c r="A14" s="231"/>
      <c r="B14" s="231"/>
      <c r="C14" s="232">
        <v>255349.99</v>
      </c>
      <c r="D14" s="232">
        <v>224309.1</v>
      </c>
      <c r="E14" s="232">
        <v>31040.89</v>
      </c>
      <c r="F14" s="265" t="s">
        <v>486</v>
      </c>
      <c r="G14" s="231" t="s">
        <v>396</v>
      </c>
      <c r="J14" s="67"/>
    </row>
    <row r="15" spans="1:10" x14ac:dyDescent="0.25">
      <c r="A15" s="231" t="s">
        <v>614</v>
      </c>
      <c r="B15" s="231"/>
      <c r="C15" s="232"/>
      <c r="D15" s="232"/>
      <c r="E15" s="232"/>
      <c r="F15" s="265" t="s">
        <v>486</v>
      </c>
      <c r="G15" s="231" t="s">
        <v>396</v>
      </c>
      <c r="J15" s="67"/>
    </row>
    <row r="16" spans="1:10" x14ac:dyDescent="0.25">
      <c r="A16" s="231" t="s">
        <v>615</v>
      </c>
      <c r="B16" s="231"/>
      <c r="C16" s="232"/>
      <c r="D16" s="232"/>
      <c r="E16" s="232"/>
      <c r="F16" s="265" t="s">
        <v>486</v>
      </c>
      <c r="G16" s="231" t="s">
        <v>396</v>
      </c>
      <c r="J16" s="67"/>
    </row>
    <row r="17" spans="1:10" x14ac:dyDescent="0.25">
      <c r="A17" s="231">
        <v>4700000</v>
      </c>
      <c r="B17" s="231" t="s">
        <v>38</v>
      </c>
      <c r="C17" s="232">
        <v>12240.6</v>
      </c>
      <c r="D17" s="232">
        <v>13199.26</v>
      </c>
      <c r="E17" s="232">
        <v>-958.66</v>
      </c>
      <c r="F17" s="265" t="s">
        <v>486</v>
      </c>
      <c r="G17" s="231" t="s">
        <v>396</v>
      </c>
      <c r="J17" s="67"/>
    </row>
    <row r="18" spans="1:10" x14ac:dyDescent="0.25">
      <c r="A18" s="231">
        <v>4709032</v>
      </c>
      <c r="B18" s="231" t="s">
        <v>40</v>
      </c>
      <c r="C18" s="232">
        <v>-55.27</v>
      </c>
      <c r="D18" s="232">
        <v>-56.76</v>
      </c>
      <c r="E18" s="232">
        <v>1.49</v>
      </c>
      <c r="F18" s="265" t="s">
        <v>486</v>
      </c>
      <c r="G18" s="231" t="s">
        <v>396</v>
      </c>
      <c r="J18" s="67"/>
    </row>
    <row r="19" spans="1:10" x14ac:dyDescent="0.25">
      <c r="A19" s="231">
        <v>4720000</v>
      </c>
      <c r="B19" s="231" t="s">
        <v>41</v>
      </c>
      <c r="C19" s="232">
        <v>10.76</v>
      </c>
      <c r="D19" s="232">
        <v>9.34</v>
      </c>
      <c r="E19" s="232">
        <v>1.42</v>
      </c>
      <c r="F19" s="265" t="s">
        <v>486</v>
      </c>
      <c r="G19" s="231" t="s">
        <v>396</v>
      </c>
      <c r="J19" s="67"/>
    </row>
    <row r="20" spans="1:10" x14ac:dyDescent="0.25">
      <c r="A20" s="231">
        <v>4731023</v>
      </c>
      <c r="B20" s="231" t="s">
        <v>43</v>
      </c>
      <c r="C20" s="232">
        <v>4362.88</v>
      </c>
      <c r="D20" s="232">
        <v>3840.19</v>
      </c>
      <c r="E20" s="232">
        <v>522.69000000000005</v>
      </c>
      <c r="F20" s="265" t="s">
        <v>486</v>
      </c>
      <c r="G20" s="231" t="s">
        <v>396</v>
      </c>
      <c r="J20" s="67"/>
    </row>
    <row r="21" spans="1:10" x14ac:dyDescent="0.25">
      <c r="A21" s="231"/>
      <c r="B21" s="231"/>
      <c r="C21" s="232">
        <v>16558.97</v>
      </c>
      <c r="D21" s="232">
        <v>16992.03</v>
      </c>
      <c r="E21" s="232">
        <v>-433.06</v>
      </c>
      <c r="F21" s="265" t="s">
        <v>486</v>
      </c>
      <c r="G21" s="231" t="s">
        <v>396</v>
      </c>
      <c r="J21" s="67"/>
    </row>
    <row r="22" spans="1:10" x14ac:dyDescent="0.25">
      <c r="A22" s="231" t="s">
        <v>616</v>
      </c>
      <c r="B22" s="231"/>
      <c r="C22" s="232"/>
      <c r="D22" s="232"/>
      <c r="E22" s="232"/>
      <c r="F22" s="265" t="s">
        <v>486</v>
      </c>
      <c r="G22" s="231" t="s">
        <v>396</v>
      </c>
      <c r="J22" s="67"/>
    </row>
    <row r="23" spans="1:10" x14ac:dyDescent="0.25">
      <c r="A23" s="231">
        <v>4070000</v>
      </c>
      <c r="B23" s="231" t="s">
        <v>31</v>
      </c>
      <c r="C23" s="232">
        <v>160709.75</v>
      </c>
      <c r="D23" s="232">
        <v>160133.06</v>
      </c>
      <c r="E23" s="232">
        <v>576.69000000000005</v>
      </c>
      <c r="F23" s="265" t="s">
        <v>486</v>
      </c>
      <c r="G23" s="231" t="s">
        <v>396</v>
      </c>
      <c r="J23" s="67"/>
    </row>
    <row r="24" spans="1:10" x14ac:dyDescent="0.25">
      <c r="A24" s="231">
        <v>4070001</v>
      </c>
      <c r="B24" s="231" t="s">
        <v>32</v>
      </c>
      <c r="C24" s="232">
        <v>1913</v>
      </c>
      <c r="D24" s="232">
        <v>1913</v>
      </c>
      <c r="E24" s="232">
        <v>0</v>
      </c>
      <c r="F24" s="265" t="s">
        <v>486</v>
      </c>
      <c r="G24" s="231" t="s">
        <v>396</v>
      </c>
      <c r="J24" s="67"/>
    </row>
    <row r="25" spans="1:10" x14ac:dyDescent="0.25">
      <c r="A25" s="231">
        <v>4170004</v>
      </c>
      <c r="B25" s="231" t="s">
        <v>34</v>
      </c>
      <c r="C25" s="232">
        <v>569.12</v>
      </c>
      <c r="D25" s="232">
        <v>285.41000000000003</v>
      </c>
      <c r="E25" s="232">
        <v>283.70999999999998</v>
      </c>
      <c r="F25" s="265" t="s">
        <v>486</v>
      </c>
      <c r="G25" s="231" t="s">
        <v>396</v>
      </c>
      <c r="J25" s="67"/>
    </row>
    <row r="26" spans="1:10" x14ac:dyDescent="0.25">
      <c r="A26" s="231"/>
      <c r="B26" s="231"/>
      <c r="C26" s="232">
        <v>163191.87</v>
      </c>
      <c r="D26" s="232">
        <v>162331.47</v>
      </c>
      <c r="E26" s="232">
        <v>860.4</v>
      </c>
      <c r="F26" s="265" t="s">
        <v>486</v>
      </c>
      <c r="G26" s="231" t="s">
        <v>396</v>
      </c>
      <c r="J26" s="67"/>
    </row>
    <row r="27" spans="1:10" x14ac:dyDescent="0.25">
      <c r="A27" s="231"/>
      <c r="B27" s="231"/>
      <c r="C27" s="232">
        <v>179750.84</v>
      </c>
      <c r="D27" s="232">
        <v>179323.5</v>
      </c>
      <c r="E27" s="232">
        <v>427.34</v>
      </c>
      <c r="F27" s="265" t="s">
        <v>486</v>
      </c>
      <c r="G27" s="231" t="s">
        <v>396</v>
      </c>
      <c r="J27" s="67"/>
    </row>
    <row r="28" spans="1:10" x14ac:dyDescent="0.25">
      <c r="A28" s="231" t="s">
        <v>617</v>
      </c>
      <c r="B28" s="231"/>
      <c r="C28" s="232"/>
      <c r="D28" s="232"/>
      <c r="E28" s="232"/>
      <c r="F28" s="265" t="s">
        <v>486</v>
      </c>
      <c r="G28" s="231" t="s">
        <v>396</v>
      </c>
      <c r="J28" s="67"/>
    </row>
    <row r="29" spans="1:10" x14ac:dyDescent="0.25">
      <c r="A29" s="231">
        <v>3100000</v>
      </c>
      <c r="B29" s="231" t="s">
        <v>48</v>
      </c>
      <c r="C29" s="232">
        <v>168806.51</v>
      </c>
      <c r="D29" s="232">
        <v>176042.67</v>
      </c>
      <c r="E29" s="232">
        <v>-7236.16</v>
      </c>
      <c r="F29" s="265" t="s">
        <v>486</v>
      </c>
      <c r="G29" s="231" t="s">
        <v>396</v>
      </c>
      <c r="J29" s="67"/>
    </row>
    <row r="30" spans="1:10" x14ac:dyDescent="0.25">
      <c r="A30" s="231">
        <v>3270000</v>
      </c>
      <c r="B30" s="231" t="s">
        <v>49</v>
      </c>
      <c r="C30" s="232">
        <v>27635.65</v>
      </c>
      <c r="D30" s="232">
        <v>21970.13</v>
      </c>
      <c r="E30" s="232">
        <v>5665.52</v>
      </c>
      <c r="F30" s="265" t="s">
        <v>486</v>
      </c>
      <c r="G30" s="231" t="s">
        <v>396</v>
      </c>
      <c r="J30" s="67"/>
    </row>
    <row r="31" spans="1:10" x14ac:dyDescent="0.25">
      <c r="A31" s="231"/>
      <c r="B31" s="231"/>
      <c r="C31" s="232">
        <v>196442.16</v>
      </c>
      <c r="D31" s="232">
        <v>198012.79999999999</v>
      </c>
      <c r="E31" s="232">
        <v>-1570.64</v>
      </c>
      <c r="F31" s="265" t="s">
        <v>486</v>
      </c>
      <c r="G31" s="231" t="s">
        <v>396</v>
      </c>
      <c r="J31" s="67"/>
    </row>
    <row r="32" spans="1:10" x14ac:dyDescent="0.25">
      <c r="A32" s="231" t="s">
        <v>618</v>
      </c>
      <c r="B32" s="231"/>
      <c r="C32" s="232"/>
      <c r="D32" s="232"/>
      <c r="E32" s="232"/>
      <c r="F32" s="265" t="s">
        <v>486</v>
      </c>
      <c r="G32" s="231" t="s">
        <v>396</v>
      </c>
      <c r="J32" s="67"/>
    </row>
    <row r="33" spans="1:10" x14ac:dyDescent="0.25">
      <c r="A33" s="231">
        <v>3700000</v>
      </c>
      <c r="B33" s="231" t="s">
        <v>51</v>
      </c>
      <c r="C33" s="232">
        <v>38814.080000000002</v>
      </c>
      <c r="D33" s="232">
        <v>6836.48</v>
      </c>
      <c r="E33" s="232">
        <v>31977.599999999999</v>
      </c>
      <c r="F33" s="265" t="s">
        <v>486</v>
      </c>
      <c r="G33" s="231" t="s">
        <v>396</v>
      </c>
      <c r="J33" s="67"/>
    </row>
    <row r="34" spans="1:10" x14ac:dyDescent="0.25">
      <c r="A34" s="231"/>
      <c r="B34" s="231"/>
      <c r="C34" s="232">
        <v>38814.080000000002</v>
      </c>
      <c r="D34" s="232">
        <v>6836.48</v>
      </c>
      <c r="E34" s="232">
        <v>31977.599999999999</v>
      </c>
      <c r="F34" s="265" t="s">
        <v>486</v>
      </c>
      <c r="G34" s="231" t="s">
        <v>396</v>
      </c>
      <c r="J34" s="67"/>
    </row>
    <row r="35" spans="1:10" x14ac:dyDescent="0.25">
      <c r="A35" s="231" t="s">
        <v>619</v>
      </c>
      <c r="B35" s="231"/>
      <c r="C35" s="232"/>
      <c r="D35" s="232"/>
      <c r="E35" s="232"/>
      <c r="F35" s="265" t="s">
        <v>486</v>
      </c>
      <c r="G35" s="231" t="s">
        <v>385</v>
      </c>
    </row>
    <row r="36" spans="1:10" x14ac:dyDescent="0.25">
      <c r="A36" s="231">
        <v>3500001</v>
      </c>
      <c r="B36" s="231" t="s">
        <v>52</v>
      </c>
      <c r="C36" s="232">
        <v>9237.26</v>
      </c>
      <c r="D36" s="232">
        <v>9536.2800000000007</v>
      </c>
      <c r="E36" s="232">
        <v>-299.02</v>
      </c>
      <c r="F36" s="265" t="s">
        <v>385</v>
      </c>
      <c r="G36" s="231" t="s">
        <v>385</v>
      </c>
    </row>
    <row r="37" spans="1:10" x14ac:dyDescent="0.25">
      <c r="C37" s="184">
        <v>9237.26</v>
      </c>
      <c r="D37" s="184">
        <v>9536.2800000000007</v>
      </c>
      <c r="E37" s="184">
        <v>-299.02</v>
      </c>
    </row>
    <row r="38" spans="1:10" x14ac:dyDescent="0.25">
      <c r="A38" s="184" t="s">
        <v>620</v>
      </c>
    </row>
    <row r="39" spans="1:10" x14ac:dyDescent="0.25">
      <c r="A39" s="184">
        <v>3900000</v>
      </c>
      <c r="B39" s="184" t="s">
        <v>621</v>
      </c>
      <c r="C39" s="184">
        <v>-465.53</v>
      </c>
      <c r="D39" s="184">
        <v>-465.53</v>
      </c>
      <c r="E39" s="184">
        <v>0</v>
      </c>
    </row>
    <row r="40" spans="1:10" x14ac:dyDescent="0.25">
      <c r="C40" s="184">
        <v>-465.53</v>
      </c>
      <c r="D40" s="184">
        <v>-465.53</v>
      </c>
      <c r="E40" s="184">
        <v>0</v>
      </c>
    </row>
    <row r="41" spans="1:10" x14ac:dyDescent="0.25">
      <c r="C41" s="184">
        <v>736502.35</v>
      </c>
      <c r="D41" s="184">
        <v>719451.03</v>
      </c>
      <c r="E41" s="184">
        <v>17051.32</v>
      </c>
    </row>
    <row r="42" spans="1:10" x14ac:dyDescent="0.25">
      <c r="A42" s="184" t="s">
        <v>634</v>
      </c>
    </row>
    <row r="43" spans="1:10" x14ac:dyDescent="0.25">
      <c r="A43" s="184" t="s">
        <v>155</v>
      </c>
    </row>
    <row r="44" spans="1:10" x14ac:dyDescent="0.25">
      <c r="A44" s="184" t="s">
        <v>635</v>
      </c>
    </row>
    <row r="45" spans="1:10" x14ac:dyDescent="0.25">
      <c r="A45" s="184">
        <v>4732002</v>
      </c>
      <c r="B45" s="184" t="s">
        <v>73</v>
      </c>
      <c r="C45" s="184">
        <v>1659.7</v>
      </c>
      <c r="D45" s="184">
        <v>1659.7</v>
      </c>
      <c r="E45" s="184">
        <v>0</v>
      </c>
    </row>
    <row r="46" spans="1:10" x14ac:dyDescent="0.25">
      <c r="C46" s="184">
        <v>1659.7</v>
      </c>
      <c r="D46" s="184">
        <v>1659.7</v>
      </c>
      <c r="E46" s="184">
        <v>0</v>
      </c>
    </row>
    <row r="47" spans="1:10" x14ac:dyDescent="0.25">
      <c r="A47" s="184" t="s">
        <v>636</v>
      </c>
    </row>
    <row r="48" spans="1:10" x14ac:dyDescent="0.25">
      <c r="A48" s="184">
        <v>4732003</v>
      </c>
      <c r="B48" s="184" t="s">
        <v>74</v>
      </c>
      <c r="C48" s="184">
        <v>11805.77</v>
      </c>
      <c r="D48" s="184">
        <v>9038.34</v>
      </c>
      <c r="E48" s="184">
        <v>2767.43</v>
      </c>
    </row>
    <row r="49" spans="1:5" x14ac:dyDescent="0.25">
      <c r="C49" s="184">
        <v>11805.77</v>
      </c>
      <c r="D49" s="184">
        <v>9038.34</v>
      </c>
      <c r="E49" s="184">
        <v>2767.43</v>
      </c>
    </row>
    <row r="50" spans="1:5" x14ac:dyDescent="0.25">
      <c r="C50" s="184">
        <v>13465.47</v>
      </c>
      <c r="D50" s="184">
        <v>10698.04</v>
      </c>
      <c r="E50" s="184">
        <v>2767.43</v>
      </c>
    </row>
    <row r="51" spans="1:5" x14ac:dyDescent="0.25">
      <c r="C51" s="184">
        <v>13465.47</v>
      </c>
      <c r="D51" s="184">
        <v>10698.04</v>
      </c>
      <c r="E51" s="184">
        <v>2767.43</v>
      </c>
    </row>
    <row r="52" spans="1:5" x14ac:dyDescent="0.25">
      <c r="A52" s="184" t="s">
        <v>642</v>
      </c>
      <c r="C52" s="184">
        <v>749967.82</v>
      </c>
      <c r="D52" s="184">
        <v>730149.07</v>
      </c>
      <c r="E52" s="184">
        <v>19818.75</v>
      </c>
    </row>
    <row r="53" spans="1:5" x14ac:dyDescent="0.25">
      <c r="A53" s="184" t="s">
        <v>643</v>
      </c>
    </row>
    <row r="62" spans="1:5" x14ac:dyDescent="0.25">
      <c r="A62" s="184" t="s">
        <v>644</v>
      </c>
      <c r="E62" s="184" t="s">
        <v>645</v>
      </c>
    </row>
    <row r="63" spans="1:5" x14ac:dyDescent="0.25">
      <c r="A63" s="184" t="s">
        <v>646</v>
      </c>
      <c r="E63" s="184" t="s">
        <v>647</v>
      </c>
    </row>
    <row r="65" spans="1:5" x14ac:dyDescent="0.25">
      <c r="A65" s="184" t="s">
        <v>79</v>
      </c>
    </row>
    <row r="66" spans="1:5" x14ac:dyDescent="0.25">
      <c r="A66" s="184" t="s">
        <v>648</v>
      </c>
    </row>
    <row r="67" spans="1:5" x14ac:dyDescent="0.25">
      <c r="A67" s="184" t="s">
        <v>649</v>
      </c>
    </row>
    <row r="68" spans="1:5" x14ac:dyDescent="0.25">
      <c r="A68" s="184" t="s">
        <v>633</v>
      </c>
    </row>
    <row r="69" spans="1:5" x14ac:dyDescent="0.25">
      <c r="A69" s="184" t="s">
        <v>650</v>
      </c>
    </row>
    <row r="70" spans="1:5" x14ac:dyDescent="0.25">
      <c r="A70" s="184">
        <v>4100000</v>
      </c>
      <c r="B70" s="184" t="s">
        <v>86</v>
      </c>
      <c r="C70" s="184">
        <v>-3979.89</v>
      </c>
      <c r="D70" s="184">
        <v>-3979.89</v>
      </c>
      <c r="E70" s="184">
        <v>0</v>
      </c>
    </row>
    <row r="71" spans="1:5" x14ac:dyDescent="0.25">
      <c r="A71" s="184">
        <v>4100004</v>
      </c>
      <c r="B71" s="184" t="s">
        <v>94</v>
      </c>
      <c r="C71" s="184">
        <v>-159.05000000000001</v>
      </c>
      <c r="D71" s="184">
        <v>-132.76</v>
      </c>
      <c r="E71" s="184">
        <v>-26.29</v>
      </c>
    </row>
    <row r="72" spans="1:5" x14ac:dyDescent="0.25">
      <c r="A72" s="184">
        <v>4104000</v>
      </c>
      <c r="B72" s="184" t="s">
        <v>87</v>
      </c>
      <c r="C72" s="184">
        <v>113.34</v>
      </c>
      <c r="D72" s="184">
        <v>113.34</v>
      </c>
      <c r="E72" s="184">
        <v>0</v>
      </c>
    </row>
    <row r="73" spans="1:5" x14ac:dyDescent="0.25">
      <c r="C73" s="184">
        <v>-4025.6</v>
      </c>
      <c r="D73" s="184">
        <v>-3999.31</v>
      </c>
      <c r="E73" s="184">
        <v>-26.29</v>
      </c>
    </row>
    <row r="74" spans="1:5" x14ac:dyDescent="0.25">
      <c r="A74" s="184" t="s">
        <v>88</v>
      </c>
    </row>
    <row r="75" spans="1:5" x14ac:dyDescent="0.25">
      <c r="A75" s="184">
        <v>4000000</v>
      </c>
      <c r="B75" s="184" t="s">
        <v>89</v>
      </c>
      <c r="C75" s="184">
        <v>-28664.76</v>
      </c>
      <c r="D75" s="184">
        <v>-37854.730000000003</v>
      </c>
      <c r="E75" s="184">
        <v>9189.9699999999993</v>
      </c>
    </row>
    <row r="76" spans="1:5" x14ac:dyDescent="0.25">
      <c r="A76" s="184">
        <v>4004000</v>
      </c>
      <c r="B76" s="184" t="s">
        <v>90</v>
      </c>
      <c r="C76" s="184">
        <v>-527387.87</v>
      </c>
      <c r="D76" s="184">
        <v>-498104.93</v>
      </c>
      <c r="E76" s="184">
        <v>-29282.94</v>
      </c>
    </row>
    <row r="77" spans="1:5" x14ac:dyDescent="0.25">
      <c r="A77" s="184">
        <v>4009000</v>
      </c>
      <c r="B77" s="184" t="s">
        <v>91</v>
      </c>
      <c r="C77" s="184">
        <v>-22595.41</v>
      </c>
      <c r="D77" s="184">
        <v>-31326.84</v>
      </c>
      <c r="E77" s="184">
        <v>8731.43</v>
      </c>
    </row>
    <row r="78" spans="1:5" x14ac:dyDescent="0.25">
      <c r="A78" s="184">
        <v>4009002</v>
      </c>
      <c r="B78" s="184" t="s">
        <v>92</v>
      </c>
      <c r="C78" s="184">
        <v>-3810.78</v>
      </c>
      <c r="D78" s="184">
        <v>-3811.88</v>
      </c>
      <c r="E78" s="184">
        <v>1.1000000000000001</v>
      </c>
    </row>
    <row r="79" spans="1:5" x14ac:dyDescent="0.25">
      <c r="A79" s="184">
        <v>4030000</v>
      </c>
      <c r="B79" s="184" t="s">
        <v>83</v>
      </c>
      <c r="C79" s="184">
        <v>-46415.88</v>
      </c>
      <c r="D79" s="184">
        <v>-46106.61</v>
      </c>
      <c r="E79" s="184">
        <v>-309.27</v>
      </c>
    </row>
    <row r="80" spans="1:5" x14ac:dyDescent="0.25">
      <c r="C80" s="184">
        <v>-628874.69999999995</v>
      </c>
      <c r="D80" s="184">
        <v>-617204.99</v>
      </c>
      <c r="E80" s="184">
        <v>-11669.71</v>
      </c>
    </row>
    <row r="81" spans="1:5" x14ac:dyDescent="0.25">
      <c r="A81" s="184" t="s">
        <v>652</v>
      </c>
    </row>
    <row r="82" spans="1:5" x14ac:dyDescent="0.25">
      <c r="A82" s="184">
        <v>4751007</v>
      </c>
      <c r="B82" s="184" t="s">
        <v>104</v>
      </c>
      <c r="C82" s="184">
        <v>-52.13</v>
      </c>
      <c r="D82" s="184">
        <v>-12.07</v>
      </c>
      <c r="E82" s="184">
        <v>-40.06</v>
      </c>
    </row>
    <row r="83" spans="1:5" x14ac:dyDescent="0.25">
      <c r="A83" s="184">
        <v>4770000</v>
      </c>
      <c r="B83" s="184" t="s">
        <v>105</v>
      </c>
      <c r="C83" s="184">
        <v>48.39</v>
      </c>
      <c r="D83" s="184">
        <v>50.75</v>
      </c>
      <c r="E83" s="184">
        <v>-2.36</v>
      </c>
    </row>
    <row r="84" spans="1:5" x14ac:dyDescent="0.25">
      <c r="C84" s="184">
        <v>-3.74</v>
      </c>
      <c r="D84" s="184">
        <v>38.68</v>
      </c>
      <c r="E84" s="184">
        <v>-42.42</v>
      </c>
    </row>
    <row r="85" spans="1:5" x14ac:dyDescent="0.25">
      <c r="A85" s="184" t="s">
        <v>654</v>
      </c>
      <c r="C85" s="184">
        <v>-632904.04</v>
      </c>
      <c r="D85" s="184">
        <v>-621165.62</v>
      </c>
      <c r="E85" s="184">
        <v>-11738.42</v>
      </c>
    </row>
    <row r="86" spans="1:5" x14ac:dyDescent="0.25">
      <c r="A86" s="184" t="s">
        <v>655</v>
      </c>
    </row>
    <row r="88" spans="1:5" x14ac:dyDescent="0.25">
      <c r="A88" s="184" t="s">
        <v>657</v>
      </c>
      <c r="C88" s="184">
        <v>-632904.04</v>
      </c>
      <c r="D88" s="184">
        <v>-621165.62</v>
      </c>
      <c r="E88" s="184">
        <v>-11738.42</v>
      </c>
    </row>
    <row r="89" spans="1:5" x14ac:dyDescent="0.25">
      <c r="A89" s="184" t="s">
        <v>658</v>
      </c>
    </row>
    <row r="98" spans="1:5" x14ac:dyDescent="0.25">
      <c r="A98" s="184" t="s">
        <v>644</v>
      </c>
      <c r="E98" s="184" t="s">
        <v>645</v>
      </c>
    </row>
    <row r="99" spans="1:5" x14ac:dyDescent="0.25">
      <c r="A99" s="184" t="s">
        <v>646</v>
      </c>
      <c r="E99" s="184" t="s">
        <v>647</v>
      </c>
    </row>
    <row r="101" spans="1:5" x14ac:dyDescent="0.25">
      <c r="A101" s="184" t="s">
        <v>659</v>
      </c>
    </row>
    <row r="102" spans="1:5" x14ac:dyDescent="0.25">
      <c r="A102" s="184" t="s">
        <v>660</v>
      </c>
    </row>
    <row r="103" spans="1:5" x14ac:dyDescent="0.25">
      <c r="A103" s="184" t="s">
        <v>661</v>
      </c>
    </row>
    <row r="104" spans="1:5" x14ac:dyDescent="0.25">
      <c r="A104" s="184">
        <v>1000000</v>
      </c>
      <c r="B104" s="184" t="s">
        <v>111</v>
      </c>
      <c r="C104" s="184">
        <v>-13102</v>
      </c>
      <c r="D104" s="184">
        <v>-13102</v>
      </c>
      <c r="E104" s="184">
        <v>0</v>
      </c>
    </row>
    <row r="105" spans="1:5" x14ac:dyDescent="0.25">
      <c r="C105" s="184">
        <v>-13102</v>
      </c>
      <c r="D105" s="184">
        <v>-13102</v>
      </c>
      <c r="E105" s="184">
        <v>0</v>
      </c>
    </row>
    <row r="106" spans="1:5" x14ac:dyDescent="0.25">
      <c r="C106" s="184">
        <v>-13102</v>
      </c>
      <c r="D106" s="184">
        <v>-13102</v>
      </c>
      <c r="E106" s="184">
        <v>0</v>
      </c>
    </row>
    <row r="107" spans="1:5" x14ac:dyDescent="0.25">
      <c r="A107" s="184" t="s">
        <v>662</v>
      </c>
    </row>
    <row r="108" spans="1:5" x14ac:dyDescent="0.25">
      <c r="A108" s="184" t="s">
        <v>112</v>
      </c>
    </row>
    <row r="109" spans="1:5" x14ac:dyDescent="0.25">
      <c r="A109" s="184">
        <v>1120000</v>
      </c>
      <c r="B109" s="184" t="s">
        <v>112</v>
      </c>
      <c r="C109" s="184">
        <v>-7123.49</v>
      </c>
      <c r="D109" s="184">
        <v>-7123.49</v>
      </c>
      <c r="E109" s="184">
        <v>0</v>
      </c>
    </row>
    <row r="110" spans="1:5" x14ac:dyDescent="0.25">
      <c r="C110" s="184">
        <v>-7123.49</v>
      </c>
      <c r="D110" s="184">
        <v>-7123.49</v>
      </c>
      <c r="E110" s="184">
        <v>0</v>
      </c>
    </row>
    <row r="111" spans="1:5" x14ac:dyDescent="0.25">
      <c r="C111" s="184">
        <v>-7123.49</v>
      </c>
      <c r="D111" s="184">
        <v>-7123.49</v>
      </c>
      <c r="E111" s="184">
        <v>0</v>
      </c>
    </row>
    <row r="112" spans="1:5" x14ac:dyDescent="0.25">
      <c r="A112" s="184" t="s">
        <v>663</v>
      </c>
    </row>
    <row r="113" spans="1:5" x14ac:dyDescent="0.25">
      <c r="A113" s="184" t="s">
        <v>663</v>
      </c>
    </row>
    <row r="114" spans="1:5" x14ac:dyDescent="0.25">
      <c r="A114" s="184">
        <v>1210000</v>
      </c>
      <c r="B114" s="184" t="s">
        <v>664</v>
      </c>
      <c r="C114" s="184">
        <v>-79695.350000000006</v>
      </c>
      <c r="D114" s="184">
        <v>-79695.350000000006</v>
      </c>
      <c r="E114" s="184">
        <v>0</v>
      </c>
    </row>
    <row r="115" spans="1:5" x14ac:dyDescent="0.25">
      <c r="C115" s="184">
        <v>-79695.350000000006</v>
      </c>
      <c r="D115" s="184">
        <v>-79695.350000000006</v>
      </c>
      <c r="E115" s="184">
        <v>0</v>
      </c>
    </row>
    <row r="116" spans="1:5" x14ac:dyDescent="0.25">
      <c r="C116" s="184">
        <v>-79695.350000000006</v>
      </c>
      <c r="D116" s="184">
        <v>-79695.350000000006</v>
      </c>
      <c r="E116" s="184">
        <v>0</v>
      </c>
    </row>
    <row r="117" spans="1:5" x14ac:dyDescent="0.25">
      <c r="A117" s="184" t="s">
        <v>665</v>
      </c>
    </row>
    <row r="118" spans="1:5" x14ac:dyDescent="0.25">
      <c r="A118" s="184" t="s">
        <v>665</v>
      </c>
    </row>
    <row r="119" spans="1:5" x14ac:dyDescent="0.25">
      <c r="A119" s="184">
        <v>1200000</v>
      </c>
      <c r="B119" s="184" t="s">
        <v>666</v>
      </c>
      <c r="C119" s="184">
        <v>-33349.19</v>
      </c>
      <c r="D119" s="184">
        <v>-33349.19</v>
      </c>
      <c r="E119" s="184">
        <v>0</v>
      </c>
    </row>
    <row r="120" spans="1:5" x14ac:dyDescent="0.25">
      <c r="C120" s="184">
        <v>-33349.19</v>
      </c>
      <c r="D120" s="184">
        <v>-33349.19</v>
      </c>
      <c r="E120" s="184">
        <v>0</v>
      </c>
    </row>
    <row r="121" spans="1:5" x14ac:dyDescent="0.25">
      <c r="C121" s="184">
        <v>-33349.19</v>
      </c>
      <c r="D121" s="184">
        <v>-33349.19</v>
      </c>
      <c r="E121" s="184">
        <v>0</v>
      </c>
    </row>
    <row r="122" spans="1:5" x14ac:dyDescent="0.25">
      <c r="C122" s="184">
        <v>-133270.03</v>
      </c>
      <c r="D122" s="184">
        <v>-133270.03</v>
      </c>
      <c r="E122" s="184">
        <v>0</v>
      </c>
    </row>
    <row r="129" spans="1:5" x14ac:dyDescent="0.25">
      <c r="A129" s="184" t="s">
        <v>644</v>
      </c>
      <c r="E129" s="184" t="s">
        <v>645</v>
      </c>
    </row>
    <row r="130" spans="1:5" x14ac:dyDescent="0.25">
      <c r="A130" s="184" t="s">
        <v>646</v>
      </c>
      <c r="E130" s="184" t="s">
        <v>647</v>
      </c>
    </row>
    <row r="132" spans="1:5" x14ac:dyDescent="0.25">
      <c r="A132" s="184" t="s">
        <v>392</v>
      </c>
      <c r="C132" s="184">
        <v>-117063.78</v>
      </c>
      <c r="D132" s="184">
        <v>-108983.45</v>
      </c>
      <c r="E132" s="184">
        <v>-8080.33</v>
      </c>
    </row>
    <row r="142" spans="1:5" x14ac:dyDescent="0.25">
      <c r="A142" s="184" t="s">
        <v>644</v>
      </c>
      <c r="E142" s="184" t="s">
        <v>645</v>
      </c>
    </row>
    <row r="143" spans="1:5" x14ac:dyDescent="0.25">
      <c r="A143" s="184" t="s">
        <v>646</v>
      </c>
      <c r="E143" s="184" t="s">
        <v>647</v>
      </c>
    </row>
    <row r="145" spans="1:5" x14ac:dyDescent="0.25">
      <c r="A145" s="184" t="s">
        <v>667</v>
      </c>
    </row>
    <row r="146" spans="1:5" x14ac:dyDescent="0.25">
      <c r="A146" s="184" t="s">
        <v>668</v>
      </c>
    </row>
    <row r="147" spans="1:5" x14ac:dyDescent="0.25">
      <c r="A147" s="184" t="s">
        <v>669</v>
      </c>
    </row>
    <row r="148" spans="1:5" x14ac:dyDescent="0.25">
      <c r="A148" s="184">
        <v>7000020</v>
      </c>
      <c r="B148" s="184" t="s">
        <v>563</v>
      </c>
      <c r="C148" s="184">
        <v>-242361.51</v>
      </c>
      <c r="D148" s="184">
        <v>-213325.25</v>
      </c>
      <c r="E148" s="184">
        <v>-29036.26</v>
      </c>
    </row>
    <row r="149" spans="1:5" x14ac:dyDescent="0.25">
      <c r="C149" s="184">
        <v>-242361.51</v>
      </c>
      <c r="D149" s="184">
        <v>-213325.25</v>
      </c>
      <c r="E149" s="184">
        <v>-29036.26</v>
      </c>
    </row>
    <row r="150" spans="1:5" x14ac:dyDescent="0.25">
      <c r="A150" s="184" t="s">
        <v>669</v>
      </c>
      <c r="C150" s="184">
        <v>-242361.51</v>
      </c>
      <c r="D150" s="184">
        <v>-213325.25</v>
      </c>
      <c r="E150" s="184">
        <v>-29036.26</v>
      </c>
    </row>
    <row r="152" spans="1:5" x14ac:dyDescent="0.25">
      <c r="A152" s="184" t="s">
        <v>667</v>
      </c>
      <c r="C152" s="184">
        <v>-242361.51</v>
      </c>
      <c r="D152" s="184">
        <v>-213325.25</v>
      </c>
      <c r="E152" s="184">
        <v>-29036.26</v>
      </c>
    </row>
    <row r="153" spans="1:5" x14ac:dyDescent="0.25">
      <c r="A153" s="184" t="s">
        <v>668</v>
      </c>
    </row>
    <row r="162" spans="1:5" x14ac:dyDescent="0.25">
      <c r="A162" s="184" t="s">
        <v>644</v>
      </c>
      <c r="E162" s="184" t="s">
        <v>645</v>
      </c>
    </row>
    <row r="163" spans="1:5" x14ac:dyDescent="0.25">
      <c r="A163" s="184" t="s">
        <v>646</v>
      </c>
      <c r="E163" s="184" t="s">
        <v>647</v>
      </c>
    </row>
    <row r="165" spans="1:5" x14ac:dyDescent="0.25">
      <c r="A165" s="184" t="s">
        <v>671</v>
      </c>
    </row>
    <row r="166" spans="1:5" x14ac:dyDescent="0.25">
      <c r="A166" s="184" t="s">
        <v>672</v>
      </c>
    </row>
    <row r="167" spans="1:5" x14ac:dyDescent="0.25">
      <c r="A167" s="184">
        <v>6242000</v>
      </c>
      <c r="B167" s="184" t="s">
        <v>673</v>
      </c>
      <c r="C167" s="184">
        <v>27.07</v>
      </c>
      <c r="D167" s="184">
        <v>10.89</v>
      </c>
      <c r="E167" s="184">
        <v>16.18</v>
      </c>
    </row>
    <row r="168" spans="1:5" x14ac:dyDescent="0.25">
      <c r="C168" s="184">
        <v>27.07</v>
      </c>
      <c r="D168" s="184">
        <v>10.89</v>
      </c>
      <c r="E168" s="184">
        <v>16.18</v>
      </c>
    </row>
    <row r="169" spans="1:5" x14ac:dyDescent="0.25">
      <c r="A169" s="184">
        <v>6299900</v>
      </c>
      <c r="B169" s="184" t="s">
        <v>686</v>
      </c>
      <c r="C169" s="184">
        <v>89.04</v>
      </c>
      <c r="D169" s="184">
        <v>12.52</v>
      </c>
      <c r="E169" s="184">
        <v>76.52</v>
      </c>
    </row>
    <row r="170" spans="1:5" x14ac:dyDescent="0.25">
      <c r="C170" s="184">
        <v>89.04</v>
      </c>
      <c r="D170" s="184">
        <v>12.52</v>
      </c>
      <c r="E170" s="184">
        <v>76.52</v>
      </c>
    </row>
    <row r="171" spans="1:5" x14ac:dyDescent="0.25">
      <c r="A171" s="184" t="s">
        <v>672</v>
      </c>
      <c r="C171" s="184">
        <v>116.11</v>
      </c>
      <c r="D171" s="184">
        <v>23.41</v>
      </c>
      <c r="E171" s="184">
        <v>92.7</v>
      </c>
    </row>
    <row r="173" spans="1:5" x14ac:dyDescent="0.25">
      <c r="A173" s="184" t="s">
        <v>687</v>
      </c>
    </row>
    <row r="174" spans="1:5" x14ac:dyDescent="0.25">
      <c r="A174" s="184">
        <v>6000100</v>
      </c>
      <c r="B174" s="184" t="s">
        <v>688</v>
      </c>
      <c r="C174" s="184">
        <v>160807.13</v>
      </c>
      <c r="D174" s="184">
        <v>156576.9</v>
      </c>
      <c r="E174" s="184">
        <v>4230.2299999999996</v>
      </c>
    </row>
    <row r="175" spans="1:5" x14ac:dyDescent="0.25">
      <c r="A175" s="184">
        <v>6000150</v>
      </c>
      <c r="B175" s="184" t="s">
        <v>820</v>
      </c>
      <c r="C175" s="184">
        <v>7091.14</v>
      </c>
      <c r="D175" s="184">
        <v>7091.14</v>
      </c>
      <c r="E175" s="184">
        <v>0</v>
      </c>
    </row>
    <row r="176" spans="1:5" x14ac:dyDescent="0.25">
      <c r="A176" s="184">
        <v>6008201</v>
      </c>
      <c r="B176" s="184" t="s">
        <v>689</v>
      </c>
      <c r="C176" s="184">
        <v>513.89</v>
      </c>
      <c r="D176" s="184">
        <v>461.68</v>
      </c>
      <c r="E176" s="184">
        <v>52.21</v>
      </c>
    </row>
    <row r="177" spans="1:5" x14ac:dyDescent="0.25">
      <c r="A177" s="184">
        <v>6008202</v>
      </c>
      <c r="B177" s="184" t="s">
        <v>690</v>
      </c>
      <c r="C177" s="184">
        <v>8345.36</v>
      </c>
      <c r="D177" s="184">
        <v>7519.6</v>
      </c>
      <c r="E177" s="184">
        <v>825.76</v>
      </c>
    </row>
    <row r="178" spans="1:5" x14ac:dyDescent="0.25">
      <c r="A178" s="184">
        <v>6008400</v>
      </c>
      <c r="B178" s="184" t="s">
        <v>691</v>
      </c>
      <c r="C178" s="184">
        <v>15958.48</v>
      </c>
      <c r="D178" s="184">
        <v>15958.48</v>
      </c>
      <c r="E178" s="184">
        <v>0</v>
      </c>
    </row>
    <row r="179" spans="1:5" x14ac:dyDescent="0.25">
      <c r="A179" s="184">
        <v>6008900</v>
      </c>
      <c r="B179" s="184" t="s">
        <v>692</v>
      </c>
      <c r="C179" s="184">
        <v>7106.81</v>
      </c>
      <c r="D179" s="184">
        <v>5248.06</v>
      </c>
      <c r="E179" s="184">
        <v>1858.75</v>
      </c>
    </row>
    <row r="180" spans="1:5" x14ac:dyDescent="0.25">
      <c r="A180" s="184">
        <v>6009000</v>
      </c>
      <c r="B180" s="184" t="s">
        <v>693</v>
      </c>
      <c r="C180" s="184">
        <v>141.19</v>
      </c>
      <c r="D180" s="184">
        <v>145.83000000000001</v>
      </c>
      <c r="E180" s="184">
        <v>-4.6399999999999997</v>
      </c>
    </row>
    <row r="181" spans="1:5" x14ac:dyDescent="0.25">
      <c r="A181" s="184">
        <v>6030000</v>
      </c>
      <c r="B181" s="184" t="s">
        <v>694</v>
      </c>
      <c r="C181" s="184">
        <v>29254.85</v>
      </c>
      <c r="D181" s="184">
        <v>22533.81</v>
      </c>
      <c r="E181" s="184">
        <v>6721.04</v>
      </c>
    </row>
    <row r="182" spans="1:5" x14ac:dyDescent="0.25">
      <c r="A182" s="184">
        <v>7100000</v>
      </c>
      <c r="B182" s="184" t="s">
        <v>551</v>
      </c>
      <c r="C182" s="184">
        <v>-26267.599999999999</v>
      </c>
      <c r="D182" s="184">
        <v>-28122.81</v>
      </c>
      <c r="E182" s="184">
        <v>1855.21</v>
      </c>
    </row>
    <row r="183" spans="1:5" x14ac:dyDescent="0.25">
      <c r="C183" s="184">
        <v>202951.25</v>
      </c>
      <c r="D183" s="184">
        <v>187412.69</v>
      </c>
      <c r="E183" s="184">
        <v>15538.56</v>
      </c>
    </row>
    <row r="184" spans="1:5" x14ac:dyDescent="0.25">
      <c r="A184" s="184" t="s">
        <v>687</v>
      </c>
      <c r="C184" s="184">
        <v>202951.25</v>
      </c>
      <c r="D184" s="184">
        <v>187412.69</v>
      </c>
      <c r="E184" s="184">
        <v>15538.56</v>
      </c>
    </row>
    <row r="186" spans="1:5" x14ac:dyDescent="0.25">
      <c r="A186" s="184" t="s">
        <v>671</v>
      </c>
      <c r="C186" s="184">
        <v>203067.36</v>
      </c>
      <c r="D186" s="184">
        <v>187436.1</v>
      </c>
      <c r="E186" s="184">
        <v>15631.26</v>
      </c>
    </row>
    <row r="195" spans="1:5" x14ac:dyDescent="0.25">
      <c r="A195" s="184" t="s">
        <v>644</v>
      </c>
      <c r="E195" s="184" t="s">
        <v>645</v>
      </c>
    </row>
    <row r="196" spans="1:5" x14ac:dyDescent="0.25">
      <c r="A196" s="184" t="s">
        <v>646</v>
      </c>
      <c r="E196" s="184" t="s">
        <v>647</v>
      </c>
    </row>
    <row r="198" spans="1:5" x14ac:dyDescent="0.25">
      <c r="A198" s="184" t="s">
        <v>717</v>
      </c>
    </row>
    <row r="199" spans="1:5" x14ac:dyDescent="0.25">
      <c r="A199" s="184" t="s">
        <v>720</v>
      </c>
    </row>
    <row r="200" spans="1:5" x14ac:dyDescent="0.25">
      <c r="A200" s="184">
        <v>6235200</v>
      </c>
      <c r="B200" s="184" t="s">
        <v>723</v>
      </c>
      <c r="C200" s="184">
        <v>813.17</v>
      </c>
      <c r="D200" s="184">
        <v>610.5</v>
      </c>
      <c r="E200" s="184">
        <v>202.67</v>
      </c>
    </row>
    <row r="201" spans="1:5" x14ac:dyDescent="0.25">
      <c r="C201" s="184">
        <v>813.17</v>
      </c>
      <c r="D201" s="184">
        <v>610.5</v>
      </c>
      <c r="E201" s="184">
        <v>202.67</v>
      </c>
    </row>
    <row r="202" spans="1:5" x14ac:dyDescent="0.25">
      <c r="A202" s="184" t="s">
        <v>720</v>
      </c>
      <c r="C202" s="184">
        <v>813.17</v>
      </c>
      <c r="D202" s="184">
        <v>610.5</v>
      </c>
      <c r="E202" s="184">
        <v>202.67</v>
      </c>
    </row>
    <row r="204" spans="1:5" x14ac:dyDescent="0.25">
      <c r="A204" s="184" t="s">
        <v>725</v>
      </c>
    </row>
    <row r="205" spans="1:5" x14ac:dyDescent="0.25">
      <c r="A205" s="184">
        <v>6233103</v>
      </c>
      <c r="B205" s="184" t="s">
        <v>726</v>
      </c>
      <c r="C205" s="184">
        <v>3252.52</v>
      </c>
      <c r="D205" s="184">
        <v>1548.68</v>
      </c>
      <c r="E205" s="184">
        <v>1703.84</v>
      </c>
    </row>
    <row r="206" spans="1:5" x14ac:dyDescent="0.25">
      <c r="C206" s="184">
        <v>3252.52</v>
      </c>
      <c r="D206" s="184">
        <v>1548.68</v>
      </c>
      <c r="E206" s="184">
        <v>1703.84</v>
      </c>
    </row>
    <row r="207" spans="1:5" x14ac:dyDescent="0.25">
      <c r="A207" s="184" t="s">
        <v>725</v>
      </c>
      <c r="C207" s="184">
        <v>3252.52</v>
      </c>
      <c r="D207" s="184">
        <v>1548.68</v>
      </c>
      <c r="E207" s="184">
        <v>1703.84</v>
      </c>
    </row>
    <row r="209" spans="1:5" x14ac:dyDescent="0.25">
      <c r="A209" s="184" t="s">
        <v>727</v>
      </c>
    </row>
    <row r="210" spans="1:5" x14ac:dyDescent="0.25">
      <c r="A210" s="184">
        <v>6310004</v>
      </c>
      <c r="B210" s="184" t="s">
        <v>736</v>
      </c>
      <c r="C210" s="184">
        <v>28.8</v>
      </c>
      <c r="D210" s="184">
        <v>22.89</v>
      </c>
      <c r="E210" s="184">
        <v>5.91</v>
      </c>
    </row>
    <row r="211" spans="1:5" x14ac:dyDescent="0.25">
      <c r="C211" s="184">
        <v>28.8</v>
      </c>
      <c r="D211" s="184">
        <v>22.89</v>
      </c>
      <c r="E211" s="184">
        <v>5.91</v>
      </c>
    </row>
    <row r="212" spans="1:5" x14ac:dyDescent="0.25">
      <c r="A212" s="184">
        <v>6235300</v>
      </c>
      <c r="B212" s="184" t="s">
        <v>737</v>
      </c>
      <c r="C212" s="184">
        <v>59.1</v>
      </c>
      <c r="D212" s="184">
        <v>43.96</v>
      </c>
      <c r="E212" s="184">
        <v>15.14</v>
      </c>
    </row>
    <row r="213" spans="1:5" x14ac:dyDescent="0.25">
      <c r="C213" s="184">
        <v>59.1</v>
      </c>
      <c r="D213" s="184">
        <v>43.96</v>
      </c>
      <c r="E213" s="184">
        <v>15.14</v>
      </c>
    </row>
    <row r="214" spans="1:5" x14ac:dyDescent="0.25">
      <c r="A214" s="184" t="s">
        <v>727</v>
      </c>
      <c r="C214" s="184">
        <v>87.9</v>
      </c>
      <c r="D214" s="184">
        <v>66.849999999999994</v>
      </c>
      <c r="E214" s="184">
        <v>21.05</v>
      </c>
    </row>
    <row r="216" spans="1:5" x14ac:dyDescent="0.25">
      <c r="A216" s="184" t="s">
        <v>717</v>
      </c>
      <c r="C216" s="184">
        <v>4153.59</v>
      </c>
      <c r="D216" s="184">
        <v>2226.0300000000002</v>
      </c>
      <c r="E216" s="184">
        <v>1927.56</v>
      </c>
    </row>
    <row r="225" spans="1:5" x14ac:dyDescent="0.25">
      <c r="A225" s="184" t="s">
        <v>644</v>
      </c>
      <c r="E225" s="184" t="s">
        <v>645</v>
      </c>
    </row>
    <row r="226" spans="1:5" x14ac:dyDescent="0.25">
      <c r="A226" s="184" t="s">
        <v>646</v>
      </c>
      <c r="E226" s="184" t="s">
        <v>647</v>
      </c>
    </row>
    <row r="228" spans="1:5" x14ac:dyDescent="0.25">
      <c r="A228" s="184" t="s">
        <v>740</v>
      </c>
    </row>
    <row r="229" spans="1:5" x14ac:dyDescent="0.25">
      <c r="A229" s="184" t="s">
        <v>741</v>
      </c>
    </row>
    <row r="230" spans="1:5" x14ac:dyDescent="0.25">
      <c r="A230" s="184" t="s">
        <v>742</v>
      </c>
    </row>
    <row r="231" spans="1:5" x14ac:dyDescent="0.25">
      <c r="A231" s="184">
        <v>7639001</v>
      </c>
      <c r="B231" s="184" t="s">
        <v>743</v>
      </c>
      <c r="C231" s="184">
        <v>-288.08999999999997</v>
      </c>
      <c r="D231" s="184">
        <v>-228.95</v>
      </c>
      <c r="E231" s="184">
        <v>-59.14</v>
      </c>
    </row>
    <row r="232" spans="1:5" x14ac:dyDescent="0.25">
      <c r="A232" s="184" t="s">
        <v>742</v>
      </c>
      <c r="C232" s="184">
        <v>-288.08999999999997</v>
      </c>
      <c r="D232" s="184">
        <v>-228.95</v>
      </c>
      <c r="E232" s="184">
        <v>-59.14</v>
      </c>
    </row>
    <row r="234" spans="1:5" x14ac:dyDescent="0.25">
      <c r="A234" s="184" t="s">
        <v>741</v>
      </c>
      <c r="C234" s="184">
        <v>-288.08999999999997</v>
      </c>
      <c r="D234" s="184">
        <v>-228.95</v>
      </c>
      <c r="E234" s="184">
        <v>-59.14</v>
      </c>
    </row>
    <row r="236" spans="1:5" x14ac:dyDescent="0.25">
      <c r="A236" s="184" t="s">
        <v>746</v>
      </c>
    </row>
    <row r="237" spans="1:5" x14ac:dyDescent="0.25">
      <c r="A237" s="184" t="s">
        <v>746</v>
      </c>
    </row>
    <row r="238" spans="1:5" x14ac:dyDescent="0.25">
      <c r="A238" s="184">
        <v>7684000</v>
      </c>
      <c r="B238" s="184" t="s">
        <v>748</v>
      </c>
      <c r="C238" s="184">
        <v>-5994.48</v>
      </c>
      <c r="D238" s="184">
        <v>-4739.2700000000004</v>
      </c>
      <c r="E238" s="184">
        <v>-1255.21</v>
      </c>
    </row>
    <row r="239" spans="1:5" x14ac:dyDescent="0.25">
      <c r="C239" s="184">
        <v>-5994.48</v>
      </c>
      <c r="D239" s="184">
        <v>-4739.2700000000004</v>
      </c>
      <c r="E239" s="184">
        <v>-1255.21</v>
      </c>
    </row>
    <row r="240" spans="1:5" x14ac:dyDescent="0.25">
      <c r="A240" s="184">
        <v>6299600</v>
      </c>
      <c r="B240" s="184" t="s">
        <v>751</v>
      </c>
      <c r="C240" s="184">
        <v>3839.71</v>
      </c>
      <c r="D240" s="184">
        <v>3839.71</v>
      </c>
      <c r="E240" s="184">
        <v>0</v>
      </c>
    </row>
    <row r="241" spans="1:5" x14ac:dyDescent="0.25">
      <c r="A241" s="184">
        <v>6684000</v>
      </c>
      <c r="B241" s="184" t="s">
        <v>753</v>
      </c>
      <c r="C241" s="184">
        <v>43976.73</v>
      </c>
      <c r="D241" s="184">
        <v>40224.559999999998</v>
      </c>
      <c r="E241" s="184">
        <v>3752.17</v>
      </c>
    </row>
    <row r="242" spans="1:5" x14ac:dyDescent="0.25">
      <c r="A242" s="184">
        <v>6684100</v>
      </c>
      <c r="B242" s="184" t="s">
        <v>754</v>
      </c>
      <c r="C242" s="184">
        <v>19014.310000000001</v>
      </c>
      <c r="D242" s="184">
        <v>19014.310000000001</v>
      </c>
      <c r="E242" s="184">
        <v>0</v>
      </c>
    </row>
    <row r="243" spans="1:5" x14ac:dyDescent="0.25">
      <c r="A243" s="184">
        <v>6940000</v>
      </c>
      <c r="B243" s="184" t="s">
        <v>511</v>
      </c>
      <c r="C243" s="184">
        <v>-9201.35</v>
      </c>
      <c r="D243" s="184">
        <v>-10160.64</v>
      </c>
      <c r="E243" s="184">
        <v>959.29</v>
      </c>
    </row>
    <row r="244" spans="1:5" x14ac:dyDescent="0.25">
      <c r="C244" s="184">
        <v>57629.4</v>
      </c>
      <c r="D244" s="184">
        <v>52917.94</v>
      </c>
      <c r="E244" s="184">
        <v>4711.46</v>
      </c>
    </row>
    <row r="245" spans="1:5" x14ac:dyDescent="0.25">
      <c r="A245" s="184" t="s">
        <v>746</v>
      </c>
      <c r="C245" s="184">
        <v>51634.92</v>
      </c>
      <c r="D245" s="184">
        <v>48178.67</v>
      </c>
      <c r="E245" s="184">
        <v>3456.25</v>
      </c>
    </row>
    <row r="247" spans="1:5" x14ac:dyDescent="0.25">
      <c r="A247" s="184" t="s">
        <v>746</v>
      </c>
      <c r="C247" s="184">
        <v>51634.92</v>
      </c>
      <c r="D247" s="184">
        <v>48178.67</v>
      </c>
      <c r="E247" s="184">
        <v>3456.25</v>
      </c>
    </row>
    <row r="249" spans="1:5" x14ac:dyDescent="0.25">
      <c r="A249" s="184" t="s">
        <v>740</v>
      </c>
      <c r="C249" s="184">
        <v>51346.83</v>
      </c>
      <c r="D249" s="184">
        <v>47949.72</v>
      </c>
      <c r="E249" s="184">
        <v>3397.11</v>
      </c>
    </row>
    <row r="258" spans="1:5" x14ac:dyDescent="0.25">
      <c r="A258" s="184" t="s">
        <v>644</v>
      </c>
      <c r="E258" s="184" t="s">
        <v>645</v>
      </c>
    </row>
    <row r="259" spans="1:5" x14ac:dyDescent="0.25">
      <c r="A259" s="184" t="s">
        <v>646</v>
      </c>
      <c r="E259" s="184" t="s">
        <v>647</v>
      </c>
    </row>
    <row r="261" spans="1:5" x14ac:dyDescent="0.25">
      <c r="A261" s="184" t="s">
        <v>755</v>
      </c>
      <c r="C261" s="184">
        <v>117063.76</v>
      </c>
      <c r="D261" s="184">
        <v>108983.43</v>
      </c>
      <c r="E261" s="184">
        <v>8080.33</v>
      </c>
    </row>
    <row r="262" spans="1:5" x14ac:dyDescent="0.25">
      <c r="A262" s="184" t="s">
        <v>643</v>
      </c>
    </row>
    <row r="271" spans="1:5" x14ac:dyDescent="0.25">
      <c r="A271" s="184" t="s">
        <v>644</v>
      </c>
      <c r="E271" s="184" t="s">
        <v>645</v>
      </c>
    </row>
    <row r="272" spans="1:5" x14ac:dyDescent="0.25">
      <c r="A272" s="184" t="s">
        <v>646</v>
      </c>
      <c r="E272" s="184" t="s">
        <v>647</v>
      </c>
    </row>
    <row r="274" spans="1:5" x14ac:dyDescent="0.25">
      <c r="A274" s="184" t="s">
        <v>756</v>
      </c>
    </row>
    <row r="275" spans="1:5" x14ac:dyDescent="0.25">
      <c r="A275" s="184" t="s">
        <v>757</v>
      </c>
    </row>
    <row r="276" spans="1:5" x14ac:dyDescent="0.25">
      <c r="A276" s="184" t="s">
        <v>759</v>
      </c>
      <c r="B276" s="184" t="s">
        <v>760</v>
      </c>
      <c r="C276" s="184">
        <v>-1570516.17</v>
      </c>
      <c r="D276" s="184">
        <v>-1570516.17</v>
      </c>
      <c r="E276" s="184">
        <v>0</v>
      </c>
    </row>
    <row r="277" spans="1:5" x14ac:dyDescent="0.25">
      <c r="A277" s="184" t="s">
        <v>764</v>
      </c>
      <c r="B277" s="184" t="s">
        <v>765</v>
      </c>
      <c r="C277" s="184">
        <v>1185142.32</v>
      </c>
      <c r="D277" s="184">
        <v>1179469.92</v>
      </c>
      <c r="E277" s="184">
        <v>5672.4</v>
      </c>
    </row>
    <row r="278" spans="1:5" x14ac:dyDescent="0.25">
      <c r="A278" s="184" t="s">
        <v>766</v>
      </c>
      <c r="B278" s="184" t="s">
        <v>767</v>
      </c>
      <c r="C278" s="184">
        <v>-1484.78</v>
      </c>
      <c r="D278" s="184">
        <v>-1484.78</v>
      </c>
      <c r="E278" s="184">
        <v>0</v>
      </c>
    </row>
    <row r="279" spans="1:5" x14ac:dyDescent="0.25">
      <c r="A279" s="184" t="s">
        <v>768</v>
      </c>
      <c r="B279" s="184" t="s">
        <v>769</v>
      </c>
      <c r="C279" s="184">
        <v>390959.82</v>
      </c>
      <c r="D279" s="184">
        <v>398057.18</v>
      </c>
      <c r="E279" s="184">
        <v>-7097.36</v>
      </c>
    </row>
    <row r="280" spans="1:5" x14ac:dyDescent="0.25">
      <c r="A280" s="184" t="s">
        <v>770</v>
      </c>
      <c r="B280" s="184" t="s">
        <v>771</v>
      </c>
      <c r="C280" s="184">
        <v>22112.54</v>
      </c>
      <c r="D280" s="184">
        <v>22438.38</v>
      </c>
      <c r="E280" s="184">
        <v>-325.83999999999997</v>
      </c>
    </row>
    <row r="281" spans="1:5" x14ac:dyDescent="0.25">
      <c r="A281" s="184" t="s">
        <v>776</v>
      </c>
      <c r="B281" s="184" t="s">
        <v>777</v>
      </c>
      <c r="C281" s="184">
        <v>202968.55</v>
      </c>
      <c r="D281" s="184">
        <v>178733.6</v>
      </c>
      <c r="E281" s="184">
        <v>24234.95</v>
      </c>
    </row>
    <row r="282" spans="1:5" x14ac:dyDescent="0.25">
      <c r="A282" s="184" t="s">
        <v>782</v>
      </c>
      <c r="B282" s="184" t="s">
        <v>783</v>
      </c>
      <c r="C282" s="184">
        <v>-13094.78</v>
      </c>
      <c r="D282" s="184">
        <v>-7407.92</v>
      </c>
      <c r="E282" s="184">
        <v>-5686.86</v>
      </c>
    </row>
    <row r="283" spans="1:5" x14ac:dyDescent="0.25">
      <c r="A283" s="184" t="s">
        <v>784</v>
      </c>
      <c r="B283" s="184" t="s">
        <v>785</v>
      </c>
      <c r="C283" s="184">
        <v>-24234.86</v>
      </c>
      <c r="D283" s="184">
        <v>-24234.86</v>
      </c>
      <c r="E283" s="184">
        <v>0</v>
      </c>
    </row>
    <row r="284" spans="1:5" x14ac:dyDescent="0.25">
      <c r="A284" s="184" t="s">
        <v>786</v>
      </c>
      <c r="B284" s="184" t="s">
        <v>787</v>
      </c>
      <c r="C284" s="184">
        <v>-164696.72</v>
      </c>
      <c r="D284" s="184">
        <v>-147899.43</v>
      </c>
      <c r="E284" s="184">
        <v>-16797.29</v>
      </c>
    </row>
    <row r="285" spans="1:5" x14ac:dyDescent="0.25">
      <c r="A285" s="184" t="s">
        <v>788</v>
      </c>
      <c r="B285" s="184" t="s">
        <v>789</v>
      </c>
      <c r="C285" s="184">
        <v>-27155.94</v>
      </c>
      <c r="D285" s="184">
        <v>-27155.94</v>
      </c>
      <c r="E285" s="18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14"/>
  <sheetViews>
    <sheetView tabSelected="1" zoomScaleNormal="100" workbookViewId="0">
      <pane xSplit="3" ySplit="10" topLeftCell="J134" activePane="bottomRight" state="frozen"/>
      <selection pane="topRight" activeCell="D1" sqref="D1"/>
      <selection pane="bottomLeft" activeCell="A11" sqref="A11"/>
      <selection pane="bottomRight" activeCell="S18" sqref="S18"/>
    </sheetView>
  </sheetViews>
  <sheetFormatPr baseColWidth="10" defaultRowHeight="15" x14ac:dyDescent="0.25"/>
  <cols>
    <col min="2" max="2" width="14.140625" customWidth="1"/>
    <col min="3" max="3" width="44.28515625" bestFit="1" customWidth="1"/>
    <col min="4" max="4" width="3.5703125" customWidth="1"/>
    <col min="5" max="5" width="15" style="21" customWidth="1"/>
    <col min="6" max="6" width="13.85546875" customWidth="1"/>
    <col min="7" max="7" width="15.28515625" customWidth="1"/>
    <col min="8" max="8" width="12.140625" customWidth="1"/>
    <col min="9" max="9" width="20.42578125" bestFit="1" customWidth="1"/>
    <col min="10" max="10" width="5.42578125" style="87" customWidth="1"/>
    <col min="11" max="11" width="12.42578125" style="87" bestFit="1" customWidth="1"/>
    <col min="12" max="13" width="3.5703125" style="87" customWidth="1"/>
    <col min="14" max="14" width="12.42578125" style="87" bestFit="1" customWidth="1"/>
    <col min="15" max="15" width="14.140625" style="87" bestFit="1" customWidth="1"/>
    <col min="16" max="16" width="4.85546875" style="87" customWidth="1"/>
    <col min="17" max="17" width="14.42578125" customWidth="1"/>
    <col min="18" max="18" width="5.42578125" style="87" customWidth="1"/>
    <col min="19" max="19" width="7.28515625" style="87" customWidth="1"/>
    <col min="20" max="20" width="15.42578125" customWidth="1"/>
    <col min="21" max="21" width="18.42578125" bestFit="1" customWidth="1"/>
    <col min="22" max="22" width="19.7109375" customWidth="1"/>
    <col min="23" max="23" width="18.42578125" customWidth="1"/>
    <col min="24" max="24" width="19.7109375" customWidth="1"/>
    <col min="25" max="25" width="20.42578125" bestFit="1" customWidth="1"/>
    <col min="26" max="26" width="13.85546875" bestFit="1" customWidth="1"/>
    <col min="27" max="27" width="14.140625" style="315" bestFit="1" customWidth="1"/>
    <col min="28" max="28" width="13.85546875" style="315" bestFit="1" customWidth="1"/>
    <col min="29" max="29" width="14.140625" bestFit="1" customWidth="1"/>
  </cols>
  <sheetData>
    <row r="1" spans="1:28" x14ac:dyDescent="0.25">
      <c r="A1" s="28" t="s">
        <v>141</v>
      </c>
      <c r="B1" s="28"/>
      <c r="C1" s="27"/>
      <c r="D1" s="27"/>
      <c r="E1" s="27"/>
      <c r="F1" s="27"/>
      <c r="G1" s="27"/>
      <c r="H1" s="27"/>
      <c r="I1" s="27"/>
      <c r="J1" s="86"/>
      <c r="K1" s="86"/>
      <c r="L1" s="86"/>
      <c r="M1" s="86"/>
      <c r="N1" s="86"/>
      <c r="O1" s="86"/>
      <c r="P1" s="86"/>
      <c r="Q1" s="27"/>
      <c r="R1" s="86"/>
    </row>
    <row r="2" spans="1:28" x14ac:dyDescent="0.25">
      <c r="A2" s="28" t="s">
        <v>142</v>
      </c>
      <c r="B2" s="28"/>
      <c r="C2" s="27"/>
      <c r="D2" s="27"/>
      <c r="E2" s="27"/>
      <c r="F2" s="27"/>
      <c r="G2" s="27"/>
      <c r="H2" s="27"/>
      <c r="I2" s="27"/>
      <c r="J2" s="86"/>
      <c r="K2" s="86"/>
      <c r="L2" s="86"/>
      <c r="M2" s="86"/>
      <c r="N2" s="86"/>
      <c r="O2" s="86"/>
      <c r="P2" s="86"/>
      <c r="Q2" s="27"/>
      <c r="R2" s="86"/>
    </row>
    <row r="3" spans="1:28" x14ac:dyDescent="0.25">
      <c r="A3" s="27" t="s">
        <v>143</v>
      </c>
      <c r="B3" s="27"/>
      <c r="C3" s="27"/>
      <c r="D3" s="27"/>
      <c r="E3" s="27"/>
      <c r="F3" s="27"/>
      <c r="G3" s="27"/>
      <c r="H3" s="27"/>
      <c r="I3" s="27"/>
      <c r="J3" s="86"/>
      <c r="K3" s="86"/>
      <c r="L3" s="86"/>
      <c r="M3" s="86"/>
      <c r="N3" s="86"/>
      <c r="O3" s="86"/>
      <c r="P3" s="86"/>
      <c r="Q3" s="27"/>
      <c r="R3" s="86"/>
    </row>
    <row r="4" spans="1:28" x14ac:dyDescent="0.25">
      <c r="A4" s="28" t="s">
        <v>484</v>
      </c>
      <c r="B4" s="27"/>
      <c r="C4" s="27"/>
      <c r="D4" s="27"/>
      <c r="E4" s="27"/>
      <c r="F4" s="27"/>
      <c r="G4" s="27"/>
      <c r="H4" s="27"/>
      <c r="I4" s="27"/>
      <c r="J4" s="86" t="s">
        <v>145</v>
      </c>
      <c r="K4" s="86"/>
      <c r="L4" s="86"/>
      <c r="M4" s="86"/>
      <c r="N4" s="86"/>
      <c r="O4" s="86"/>
      <c r="P4" s="86"/>
      <c r="Q4" s="27"/>
      <c r="R4" s="86"/>
    </row>
    <row r="5" spans="1:28" x14ac:dyDescent="0.25">
      <c r="A5" s="28" t="s">
        <v>859</v>
      </c>
      <c r="B5" s="27"/>
      <c r="C5" s="368" t="s">
        <v>147</v>
      </c>
      <c r="D5" s="368"/>
      <c r="E5" s="368"/>
      <c r="F5" s="368"/>
      <c r="G5" s="368"/>
      <c r="H5" s="368"/>
      <c r="I5" s="368"/>
      <c r="J5" s="86" t="s">
        <v>505</v>
      </c>
      <c r="K5" s="86"/>
      <c r="L5" s="86"/>
      <c r="M5" s="86"/>
      <c r="N5" s="86"/>
      <c r="O5" s="86"/>
      <c r="P5" s="86"/>
      <c r="Q5" s="27"/>
      <c r="R5" s="86"/>
    </row>
    <row r="6" spans="1:28" x14ac:dyDescent="0.25">
      <c r="A6" s="29" t="s">
        <v>503</v>
      </c>
      <c r="B6" s="30"/>
      <c r="C6" s="369" t="s">
        <v>858</v>
      </c>
      <c r="D6" s="369"/>
      <c r="E6" s="369"/>
      <c r="F6" s="369"/>
      <c r="G6" s="369"/>
      <c r="H6" s="369"/>
      <c r="I6" s="369"/>
      <c r="J6" s="86" t="s">
        <v>506</v>
      </c>
      <c r="K6" s="86"/>
      <c r="L6" s="86"/>
      <c r="M6" s="86"/>
      <c r="N6" s="86"/>
      <c r="O6" s="86"/>
      <c r="P6" s="86"/>
      <c r="Q6" s="27"/>
      <c r="R6" s="86"/>
      <c r="U6" s="184"/>
      <c r="V6" s="9">
        <f>U6-U10</f>
        <v>-2833101.31</v>
      </c>
    </row>
    <row r="7" spans="1:28" x14ac:dyDescent="0.25">
      <c r="A7" s="29" t="s">
        <v>504</v>
      </c>
      <c r="B7" s="30"/>
      <c r="C7" s="370"/>
      <c r="D7" s="370"/>
      <c r="E7" s="370"/>
      <c r="F7" s="370"/>
      <c r="G7" s="370"/>
      <c r="H7" s="370"/>
      <c r="I7" s="370"/>
      <c r="J7" s="86" t="s">
        <v>150</v>
      </c>
      <c r="K7" s="86"/>
      <c r="L7" s="86"/>
      <c r="M7" s="86"/>
      <c r="N7" s="86"/>
      <c r="O7" s="86"/>
      <c r="P7" s="86"/>
      <c r="Q7" s="27"/>
      <c r="R7" s="86"/>
    </row>
    <row r="8" spans="1:28" x14ac:dyDescent="0.25">
      <c r="B8" s="1"/>
      <c r="E8" s="20"/>
      <c r="F8" s="15"/>
      <c r="G8" t="s">
        <v>0</v>
      </c>
      <c r="I8" s="10"/>
      <c r="K8" s="367" t="s">
        <v>497</v>
      </c>
      <c r="L8" s="367"/>
      <c r="M8" s="367"/>
      <c r="N8" s="367"/>
      <c r="O8" s="270" t="s">
        <v>139</v>
      </c>
      <c r="P8" s="270"/>
      <c r="Q8" s="367" t="s">
        <v>496</v>
      </c>
      <c r="R8" s="367"/>
      <c r="S8" s="367"/>
      <c r="T8" s="367"/>
      <c r="U8" s="24" t="s">
        <v>139</v>
      </c>
      <c r="V8" s="66"/>
      <c r="W8" s="66"/>
    </row>
    <row r="9" spans="1:28" ht="21" customHeight="1" x14ac:dyDescent="0.25">
      <c r="A9" s="14" t="s">
        <v>1</v>
      </c>
      <c r="B9" s="14" t="s">
        <v>2</v>
      </c>
      <c r="C9" s="14" t="s">
        <v>3</v>
      </c>
      <c r="D9" s="14"/>
      <c r="E9" s="14" t="s">
        <v>4</v>
      </c>
      <c r="F9" s="14" t="s">
        <v>5</v>
      </c>
      <c r="G9" s="14" t="s">
        <v>6</v>
      </c>
      <c r="H9" s="14" t="s">
        <v>7</v>
      </c>
      <c r="I9" s="14" t="s">
        <v>8</v>
      </c>
      <c r="J9" s="96"/>
      <c r="K9" s="23" t="s">
        <v>137</v>
      </c>
      <c r="L9" s="88"/>
      <c r="M9" s="88"/>
      <c r="N9" s="23" t="s">
        <v>138</v>
      </c>
      <c r="O9" s="23" t="s">
        <v>140</v>
      </c>
      <c r="P9" s="23"/>
      <c r="Q9" s="23" t="s">
        <v>137</v>
      </c>
      <c r="R9" s="88"/>
      <c r="S9" s="88"/>
      <c r="T9" s="23" t="s">
        <v>138</v>
      </c>
      <c r="U9" s="23" t="s">
        <v>140</v>
      </c>
      <c r="V9" s="23" t="s">
        <v>159</v>
      </c>
      <c r="W9" s="23" t="s">
        <v>160</v>
      </c>
    </row>
    <row r="10" spans="1:28" x14ac:dyDescent="0.25">
      <c r="A10" s="4">
        <v>111</v>
      </c>
      <c r="B10" s="5"/>
      <c r="C10" s="5" t="s">
        <v>9</v>
      </c>
      <c r="D10" s="5"/>
      <c r="E10" s="9">
        <f>SUM(E11:E25)</f>
        <v>2117207.8400000003</v>
      </c>
      <c r="F10" s="9">
        <f>SUM(F11:F25)</f>
        <v>525633.73</v>
      </c>
      <c r="G10" s="9">
        <f>SUM(G11:G25)</f>
        <v>132886.19</v>
      </c>
      <c r="H10" s="9">
        <f>SUM(H11:H25)</f>
        <v>57373.55</v>
      </c>
      <c r="I10" s="9">
        <f>SUM(I11:I25)</f>
        <v>2833101.31</v>
      </c>
      <c r="J10" s="89"/>
      <c r="K10" s="9">
        <f>SUM(K11:K25)</f>
        <v>0</v>
      </c>
      <c r="L10" s="89"/>
      <c r="M10" s="89"/>
      <c r="N10" s="9">
        <f>SUM(N11:N25)</f>
        <v>0</v>
      </c>
      <c r="O10" s="9">
        <f>I10+K10-N10</f>
        <v>2833101.31</v>
      </c>
      <c r="P10" s="9"/>
      <c r="Q10" s="9">
        <f>SUM(Q11:Q25)</f>
        <v>0</v>
      </c>
      <c r="R10" s="89"/>
      <c r="S10" s="89"/>
      <c r="T10" s="9">
        <f>SUM(T11:T25)</f>
        <v>0</v>
      </c>
      <c r="U10" s="9">
        <f>+O10+Q10-T10</f>
        <v>2833101.31</v>
      </c>
      <c r="V10" s="9">
        <v>2833101</v>
      </c>
      <c r="W10" s="9">
        <f>U10-V10</f>
        <v>0.31000000005587935</v>
      </c>
      <c r="X10" s="9">
        <v>1933966.8468572237</v>
      </c>
      <c r="Y10" s="197">
        <f>U10-X10</f>
        <v>899134.4631427764</v>
      </c>
    </row>
    <row r="11" spans="1:28" x14ac:dyDescent="0.25">
      <c r="A11">
        <v>111</v>
      </c>
      <c r="B11" s="27">
        <v>5730080</v>
      </c>
      <c r="C11" s="27" t="s">
        <v>12</v>
      </c>
      <c r="E11" s="197">
        <f>IFERROR(VLOOKUP('CONSOLIDADO MARZO 2018'!B11,'EF ALPA'!$A$2:$C$561,3,FALSE),0)</f>
        <v>7199.72</v>
      </c>
      <c r="F11" s="197">
        <f>IFERROR(VLOOKUP(B11,'EF ASGT'!$A$2:$F$492,3,FALSE),0)</f>
        <v>0</v>
      </c>
      <c r="G11" s="197">
        <f>IFERROR(VLOOKUP('CONSOLIDADO MARZO 2018'!B11,'EF ALGT'!$A$2:$C$474,3,FALSE),0)</f>
        <v>0</v>
      </c>
      <c r="H11" s="197">
        <f>IFERROR(VLOOKUP('CONSOLIDADO MARZO 2018'!B11,'EF DAGT'!$A$2:$C$285,3,FALSE),0)</f>
        <v>0</v>
      </c>
      <c r="I11" s="25">
        <f t="shared" ref="I11:I25" si="0">SUM(E11:H11)</f>
        <v>7199.72</v>
      </c>
      <c r="J11" s="92"/>
      <c r="K11" s="92"/>
      <c r="L11" s="92"/>
      <c r="M11" s="92"/>
      <c r="N11" s="92"/>
      <c r="O11" s="197">
        <f>I11+K11-N11</f>
        <v>7199.72</v>
      </c>
      <c r="P11" s="92"/>
      <c r="U11" s="25">
        <f>O11+Q11-T11</f>
        <v>7199.72</v>
      </c>
      <c r="V11" s="25"/>
      <c r="AA11" s="315">
        <f>I11-O11</f>
        <v>0</v>
      </c>
      <c r="AB11" s="315">
        <f>U11-AA11</f>
        <v>7199.72</v>
      </c>
    </row>
    <row r="12" spans="1:28" x14ac:dyDescent="0.25">
      <c r="A12">
        <v>111</v>
      </c>
      <c r="B12" s="27">
        <v>5730980</v>
      </c>
      <c r="C12" s="27" t="s">
        <v>19</v>
      </c>
      <c r="E12" s="197">
        <f>IFERROR(VLOOKUP('CONSOLIDADO MARZO 2018'!B12,'EF ALPA'!$A$2:$C$561,3,FALSE),0)</f>
        <v>3.6</v>
      </c>
      <c r="F12" s="197">
        <f>IFERROR(VLOOKUP(B12,'EF ASGT'!$A$2:$F$492,3,FALSE),0)</f>
        <v>0</v>
      </c>
      <c r="G12" s="197">
        <f>IFERROR(VLOOKUP('CONSOLIDADO MARZO 2018'!B12,'EF ALGT'!$A$2:$C$474,3,FALSE),0)</f>
        <v>0</v>
      </c>
      <c r="H12" s="197">
        <f>IFERROR(VLOOKUP('CONSOLIDADO MARZO 2018'!B12,'EF DAGT'!$A$2:$C$285,3,FALSE),0)</f>
        <v>0</v>
      </c>
      <c r="I12" s="25">
        <f t="shared" si="0"/>
        <v>3.6</v>
      </c>
      <c r="J12" s="92"/>
      <c r="K12" s="92"/>
      <c r="L12" s="92"/>
      <c r="M12" s="92"/>
      <c r="N12" s="92"/>
      <c r="O12" s="197">
        <f t="shared" ref="O12:O32" si="1">I12+K12-N12</f>
        <v>3.6</v>
      </c>
      <c r="P12" s="92"/>
      <c r="Q12" s="10"/>
      <c r="U12" s="197">
        <f t="shared" ref="U12:U32" si="2">O12+Q12-T12</f>
        <v>3.6</v>
      </c>
      <c r="V12" s="25"/>
      <c r="AA12" s="315">
        <f t="shared" ref="AA12:AA75" si="3">I12-O12</f>
        <v>0</v>
      </c>
      <c r="AB12" s="315">
        <f t="shared" ref="AB12:AB74" si="4">U12-AA12</f>
        <v>3.6</v>
      </c>
    </row>
    <row r="13" spans="1:28" x14ac:dyDescent="0.25">
      <c r="A13">
        <v>111</v>
      </c>
      <c r="B13" s="27">
        <v>5730085</v>
      </c>
      <c r="C13" s="27" t="s">
        <v>13</v>
      </c>
      <c r="E13" s="197">
        <f>IFERROR(VLOOKUP('CONSOLIDADO MARZO 2018'!B13,'EF ALPA'!$A$2:$C$561,3,FALSE),0)</f>
        <v>294258.21000000002</v>
      </c>
      <c r="F13" s="197">
        <f>IFERROR(VLOOKUP(B13,'EF ASGT'!$A$2:$F$492,3,FALSE),0)</f>
        <v>0</v>
      </c>
      <c r="G13" s="197">
        <f>IFERROR(VLOOKUP('CONSOLIDADO MARZO 2018'!B13,'EF ALGT'!$A$2:$C$474,3,FALSE),0)</f>
        <v>0</v>
      </c>
      <c r="H13" s="197">
        <f>IFERROR(VLOOKUP('CONSOLIDADO MARZO 2018'!B13,'EF DAGT'!$A$2:$C$285,3,FALSE),0)</f>
        <v>0</v>
      </c>
      <c r="I13" s="25">
        <f t="shared" si="0"/>
        <v>294258.21000000002</v>
      </c>
      <c r="J13" s="92"/>
      <c r="K13" s="92"/>
      <c r="L13" s="92"/>
      <c r="M13" s="92"/>
      <c r="N13" s="92"/>
      <c r="O13" s="197">
        <f t="shared" si="1"/>
        <v>294258.21000000002</v>
      </c>
      <c r="P13" s="92"/>
      <c r="U13" s="197">
        <f t="shared" si="2"/>
        <v>294258.21000000002</v>
      </c>
      <c r="V13" s="25"/>
      <c r="AA13" s="315">
        <f t="shared" si="3"/>
        <v>0</v>
      </c>
      <c r="AB13" s="315">
        <f t="shared" si="4"/>
        <v>294258.21000000002</v>
      </c>
    </row>
    <row r="14" spans="1:28" x14ac:dyDescent="0.25">
      <c r="A14">
        <v>111</v>
      </c>
      <c r="B14" s="27">
        <v>5730985</v>
      </c>
      <c r="C14" s="27" t="s">
        <v>20</v>
      </c>
      <c r="E14" s="197">
        <f>IFERROR(VLOOKUP('CONSOLIDADO MARZO 2018'!B14,'EF ALPA'!$A$2:$C$561,3,FALSE),0)</f>
        <v>-109859.08</v>
      </c>
      <c r="F14" s="197">
        <f>IFERROR(VLOOKUP(B14,'EF ASGT'!$A$2:$F$492,3,FALSE),0)</f>
        <v>0</v>
      </c>
      <c r="G14" s="197">
        <f>IFERROR(VLOOKUP('CONSOLIDADO MARZO 2018'!B14,'EF ALGT'!$A$2:$C$474,3,FALSE),0)</f>
        <v>0</v>
      </c>
      <c r="H14" s="197">
        <f>IFERROR(VLOOKUP('CONSOLIDADO MARZO 2018'!B14,'EF DAGT'!$A$2:$C$285,3,FALSE),0)</f>
        <v>0</v>
      </c>
      <c r="I14" s="25">
        <f t="shared" si="0"/>
        <v>-109859.08</v>
      </c>
      <c r="J14" s="92"/>
      <c r="K14" s="92"/>
      <c r="L14" s="92"/>
      <c r="M14" s="92"/>
      <c r="N14" s="92"/>
      <c r="O14" s="197">
        <f t="shared" si="1"/>
        <v>-109859.08</v>
      </c>
      <c r="P14" s="92"/>
      <c r="Q14" s="10"/>
      <c r="U14" s="197">
        <f t="shared" si="2"/>
        <v>-109859.08</v>
      </c>
      <c r="V14" s="25"/>
      <c r="W14" s="10"/>
      <c r="AA14" s="315">
        <f t="shared" si="3"/>
        <v>0</v>
      </c>
      <c r="AB14" s="315">
        <f t="shared" si="4"/>
        <v>-109859.08</v>
      </c>
    </row>
    <row r="15" spans="1:28" x14ac:dyDescent="0.25">
      <c r="A15">
        <v>111</v>
      </c>
      <c r="B15" s="27">
        <v>5730090</v>
      </c>
      <c r="C15" s="27" t="s">
        <v>386</v>
      </c>
      <c r="E15" s="197">
        <f>IFERROR(VLOOKUP('CONSOLIDADO MARZO 2018'!B15,'EF ALPA'!$A$2:$C$561,3,FALSE),0)</f>
        <v>32851.160000000003</v>
      </c>
      <c r="F15" s="197">
        <f>IFERROR(VLOOKUP(B15,'EF ASGT'!$A$2:$F$492,3,FALSE),0)</f>
        <v>365967.74</v>
      </c>
      <c r="G15" s="197">
        <f>IFERROR(VLOOKUP('CONSOLIDADO MARZO 2018'!B15,'EF ALGT'!$A$2:$C$474,3,FALSE),0)</f>
        <v>33545.78</v>
      </c>
      <c r="H15" s="197">
        <f>IFERROR(VLOOKUP('CONSOLIDADO MARZO 2018'!B15,'EF DAGT'!$A$2:$C$285,3,FALSE),0)</f>
        <v>-25655.59</v>
      </c>
      <c r="I15" s="25">
        <f t="shared" si="0"/>
        <v>406709.09</v>
      </c>
      <c r="J15" s="92"/>
      <c r="K15" s="92"/>
      <c r="L15" s="92"/>
      <c r="M15" s="92"/>
      <c r="N15" s="92"/>
      <c r="O15" s="197">
        <f t="shared" si="1"/>
        <v>406709.09</v>
      </c>
      <c r="P15" s="92"/>
      <c r="Q15" s="10"/>
      <c r="T15" s="10"/>
      <c r="U15" s="197">
        <f t="shared" si="2"/>
        <v>406709.09</v>
      </c>
      <c r="V15" s="25"/>
      <c r="W15" s="10"/>
      <c r="X15" s="10"/>
      <c r="AA15" s="315">
        <f t="shared" si="3"/>
        <v>0</v>
      </c>
      <c r="AB15" s="315">
        <f t="shared" si="4"/>
        <v>406709.09</v>
      </c>
    </row>
    <row r="16" spans="1:28" x14ac:dyDescent="0.25">
      <c r="A16">
        <v>111</v>
      </c>
      <c r="B16" s="27">
        <v>5730990</v>
      </c>
      <c r="C16" s="27" t="s">
        <v>387</v>
      </c>
      <c r="E16" s="197">
        <f>IFERROR(VLOOKUP('CONSOLIDADO MARZO 2018'!B16,'EF ALPA'!$A$2:$C$561,3,FALSE),0)</f>
        <v>-25782.69</v>
      </c>
      <c r="F16" s="197">
        <f>IFERROR(VLOOKUP(B16,'EF ASGT'!$A$2:$F$492,3,FALSE),0)</f>
        <v>-262414.15000000002</v>
      </c>
      <c r="G16" s="197">
        <f>IFERROR(VLOOKUP('CONSOLIDADO MARZO 2018'!B16,'EF ALGT'!$A$2:$C$474,3,FALSE),0)</f>
        <v>46182.99</v>
      </c>
      <c r="H16" s="197">
        <f>IFERROR(VLOOKUP('CONSOLIDADO MARZO 2018'!B16,'EF DAGT'!$A$2:$C$285,3,FALSE),0)</f>
        <v>83029.14</v>
      </c>
      <c r="I16" s="25">
        <f t="shared" si="0"/>
        <v>-158984.71000000002</v>
      </c>
      <c r="J16" s="92"/>
      <c r="K16" s="92"/>
      <c r="L16" s="92"/>
      <c r="M16" s="92"/>
      <c r="N16" s="92"/>
      <c r="O16" s="197">
        <f t="shared" si="1"/>
        <v>-158984.71000000002</v>
      </c>
      <c r="P16" s="92"/>
      <c r="Q16" s="10"/>
      <c r="T16" s="10"/>
      <c r="U16" s="197">
        <f t="shared" si="2"/>
        <v>-158984.71000000002</v>
      </c>
      <c r="V16" s="25"/>
      <c r="W16" s="17"/>
      <c r="AA16" s="315">
        <f t="shared" si="3"/>
        <v>0</v>
      </c>
      <c r="AB16" s="315">
        <f t="shared" si="4"/>
        <v>-158984.71000000002</v>
      </c>
    </row>
    <row r="17" spans="1:28" x14ac:dyDescent="0.25">
      <c r="A17">
        <v>111</v>
      </c>
      <c r="B17" s="27">
        <v>5730100</v>
      </c>
      <c r="C17" s="27" t="s">
        <v>565</v>
      </c>
      <c r="E17" s="197">
        <f>IFERROR(VLOOKUP('CONSOLIDADO MARZO 2018'!B17,'EF ALPA'!$A$2:$C$561,3,FALSE),0)</f>
        <v>214613.6</v>
      </c>
      <c r="F17" s="197">
        <f>IFERROR(VLOOKUP(B17,'EF ASGT'!$A$2:$F$492,3,FALSE),0)</f>
        <v>49144.35</v>
      </c>
      <c r="G17" s="197">
        <f>IFERROR(VLOOKUP('CONSOLIDADO MARZO 2018'!B17,'EF ALGT'!$A$2:$C$474,3,FALSE),0)</f>
        <v>0</v>
      </c>
      <c r="H17" s="197">
        <f>IFERROR(VLOOKUP('CONSOLIDADO MARZO 2018'!B17,'EF DAGT'!$A$2:$C$285,3,FALSE),0)</f>
        <v>0</v>
      </c>
      <c r="I17" s="25">
        <f t="shared" si="0"/>
        <v>263757.95</v>
      </c>
      <c r="J17" s="92"/>
      <c r="K17" s="92"/>
      <c r="L17" s="92"/>
      <c r="M17" s="92"/>
      <c r="N17" s="92"/>
      <c r="O17" s="197">
        <f t="shared" si="1"/>
        <v>263757.95</v>
      </c>
      <c r="P17" s="92"/>
      <c r="Q17" s="10"/>
      <c r="U17" s="197">
        <f t="shared" si="2"/>
        <v>263757.95</v>
      </c>
      <c r="V17" s="25"/>
      <c r="AA17" s="315">
        <f t="shared" si="3"/>
        <v>0</v>
      </c>
      <c r="AB17" s="315">
        <f t="shared" si="4"/>
        <v>263757.95</v>
      </c>
    </row>
    <row r="18" spans="1:28" x14ac:dyDescent="0.25">
      <c r="A18">
        <v>111</v>
      </c>
      <c r="B18" s="27">
        <v>5739100</v>
      </c>
      <c r="C18" s="27" t="s">
        <v>22</v>
      </c>
      <c r="E18" s="197">
        <f>IFERROR(VLOOKUP('CONSOLIDADO MARZO 2018'!B18,'EF ALPA'!$A$2:$C$561,3,FALSE),0)</f>
        <v>1658179.58</v>
      </c>
      <c r="F18" s="197">
        <f>IFERROR(VLOOKUP(B18,'EF ASGT'!$A$2:$F$492,3,FALSE),0)</f>
        <v>92320.06</v>
      </c>
      <c r="G18" s="197">
        <f>IFERROR(VLOOKUP('CONSOLIDADO MARZO 2018'!B18,'EF ALGT'!$A$2:$C$474,3,FALSE),0)</f>
        <v>0</v>
      </c>
      <c r="H18" s="197">
        <f>IFERROR(VLOOKUP('CONSOLIDADO MARZO 2018'!B18,'EF DAGT'!$A$2:$C$285,3,FALSE),0)</f>
        <v>0</v>
      </c>
      <c r="I18" s="25">
        <f t="shared" si="0"/>
        <v>1750499.6400000001</v>
      </c>
      <c r="J18" s="92"/>
      <c r="K18" s="92"/>
      <c r="L18" s="92"/>
      <c r="M18" s="92"/>
      <c r="N18" s="92"/>
      <c r="O18" s="197">
        <f t="shared" si="1"/>
        <v>1750499.6400000001</v>
      </c>
      <c r="P18" s="92"/>
      <c r="Q18" s="10"/>
      <c r="U18" s="197">
        <f t="shared" si="2"/>
        <v>1750499.6400000001</v>
      </c>
      <c r="V18" s="25"/>
      <c r="AA18" s="315">
        <f t="shared" si="3"/>
        <v>0</v>
      </c>
      <c r="AB18" s="315">
        <f t="shared" si="4"/>
        <v>1750499.6400000001</v>
      </c>
    </row>
    <row r="19" spans="1:28" x14ac:dyDescent="0.25">
      <c r="A19">
        <v>111</v>
      </c>
      <c r="B19" s="27">
        <v>5730105</v>
      </c>
      <c r="C19" s="27" t="s">
        <v>17</v>
      </c>
      <c r="E19" s="197">
        <f>IFERROR(VLOOKUP('CONSOLIDADO MARZO 2018'!B19,'EF ALPA'!$A$2:$C$561,3,FALSE),0)</f>
        <v>0</v>
      </c>
      <c r="F19" s="197">
        <f>IFERROR(VLOOKUP(B19,'EF ASGT'!$A$2:$F$492,3,FALSE),0)</f>
        <v>8559.19</v>
      </c>
      <c r="G19" s="197">
        <f>IFERROR(VLOOKUP('CONSOLIDADO MARZO 2018'!B19,'EF ALGT'!$A$2:$C$474,3,FALSE),0)</f>
        <v>0</v>
      </c>
      <c r="H19" s="197">
        <f>IFERROR(VLOOKUP('CONSOLIDADO MARZO 2018'!B19,'EF DAGT'!$A$2:$C$285,3,FALSE),0)</f>
        <v>0</v>
      </c>
      <c r="I19" s="25">
        <f t="shared" si="0"/>
        <v>8559.19</v>
      </c>
      <c r="J19" s="92"/>
      <c r="K19" s="92"/>
      <c r="L19" s="92"/>
      <c r="M19" s="92"/>
      <c r="N19" s="92"/>
      <c r="O19" s="197">
        <f t="shared" si="1"/>
        <v>8559.19</v>
      </c>
      <c r="P19" s="92"/>
      <c r="U19" s="197">
        <f t="shared" si="2"/>
        <v>8559.19</v>
      </c>
      <c r="V19" s="25"/>
      <c r="AA19" s="315">
        <f t="shared" si="3"/>
        <v>0</v>
      </c>
      <c r="AB19" s="315">
        <f t="shared" si="4"/>
        <v>8559.19</v>
      </c>
    </row>
    <row r="20" spans="1:28" x14ac:dyDescent="0.25">
      <c r="A20">
        <v>111</v>
      </c>
      <c r="B20" s="27">
        <v>5739105</v>
      </c>
      <c r="C20" s="27" t="s">
        <v>23</v>
      </c>
      <c r="E20" s="197">
        <f>IFERROR(VLOOKUP('CONSOLIDADO MARZO 2018'!B20,'EF ALPA'!$A$2:$C$561,3,FALSE),0)</f>
        <v>0</v>
      </c>
      <c r="F20" s="197">
        <f>IFERROR(VLOOKUP(B20,'EF ASGT'!$A$2:$F$492,3,FALSE),0)</f>
        <v>267560.68</v>
      </c>
      <c r="G20" s="197">
        <f>IFERROR(VLOOKUP('CONSOLIDADO MARZO 2018'!B20,'EF ALGT'!$A$2:$C$474,3,FALSE),0)</f>
        <v>52510.17</v>
      </c>
      <c r="H20" s="197">
        <f>IFERROR(VLOOKUP('CONSOLIDADO MARZO 2018'!B20,'EF DAGT'!$A$2:$C$285,3,FALSE),0)</f>
        <v>0</v>
      </c>
      <c r="I20" s="25">
        <f t="shared" si="0"/>
        <v>320070.84999999998</v>
      </c>
      <c r="J20" s="92"/>
      <c r="K20" s="92"/>
      <c r="L20" s="92"/>
      <c r="M20" s="92"/>
      <c r="N20" s="92"/>
      <c r="O20" s="197">
        <f t="shared" si="1"/>
        <v>320070.84999999998</v>
      </c>
      <c r="P20" s="92"/>
      <c r="U20" s="197">
        <f t="shared" si="2"/>
        <v>320070.84999999998</v>
      </c>
      <c r="V20" s="25"/>
      <c r="AA20" s="315">
        <f t="shared" si="3"/>
        <v>0</v>
      </c>
      <c r="AB20" s="315">
        <f t="shared" si="4"/>
        <v>320070.84999999998</v>
      </c>
    </row>
    <row r="21" spans="1:28" x14ac:dyDescent="0.25">
      <c r="A21">
        <v>111</v>
      </c>
      <c r="B21" s="27">
        <v>5730110</v>
      </c>
      <c r="C21" s="27" t="s">
        <v>18</v>
      </c>
      <c r="E21" s="197">
        <f>IFERROR(VLOOKUP('CONSOLIDADO MARZO 2018'!B21,'EF ALPA'!$A$2:$C$561,3,FALSE),0)</f>
        <v>0</v>
      </c>
      <c r="F21" s="197">
        <f>IFERROR(VLOOKUP(B21,'EF ASGT'!$A$2:$F$492,3,FALSE),0)</f>
        <v>629.15</v>
      </c>
      <c r="G21" s="197">
        <f>IFERROR(VLOOKUP('CONSOLIDADO MARZO 2018'!B21,'EF ALGT'!$A$2:$C$474,3,FALSE),0)</f>
        <v>0</v>
      </c>
      <c r="H21" s="197">
        <f>IFERROR(VLOOKUP('CONSOLIDADO MARZO 2018'!B21,'EF DAGT'!$A$2:$C$285,3,FALSE),0)</f>
        <v>0</v>
      </c>
      <c r="I21" s="25">
        <f t="shared" si="0"/>
        <v>629.15</v>
      </c>
      <c r="J21" s="92"/>
      <c r="K21" s="92"/>
      <c r="L21" s="92"/>
      <c r="M21" s="92"/>
      <c r="N21" s="92"/>
      <c r="O21" s="197">
        <f t="shared" si="1"/>
        <v>629.15</v>
      </c>
      <c r="P21" s="92"/>
      <c r="U21" s="197">
        <f t="shared" si="2"/>
        <v>629.15</v>
      </c>
      <c r="V21" s="25"/>
      <c r="AA21" s="315">
        <f t="shared" si="3"/>
        <v>0</v>
      </c>
      <c r="AB21" s="315">
        <f t="shared" si="4"/>
        <v>629.15</v>
      </c>
    </row>
    <row r="22" spans="1:28" x14ac:dyDescent="0.25">
      <c r="A22">
        <v>111</v>
      </c>
      <c r="B22" s="27">
        <v>5730099</v>
      </c>
      <c r="C22" s="27" t="s">
        <v>15</v>
      </c>
      <c r="E22" s="197">
        <f>IFERROR(VLOOKUP('CONSOLIDADO MARZO 2018'!B22,'EF ALPA'!$A$2:$C$561,3,FALSE),0)</f>
        <v>2267.2800000000002</v>
      </c>
      <c r="F22" s="197">
        <f>IFERROR(VLOOKUP(B22,'EF ASGT'!$A$2:$F$492,3,FALSE),0)</f>
        <v>-1821.33</v>
      </c>
      <c r="G22" s="197">
        <f>IFERROR(VLOOKUP('CONSOLIDADO MARZO 2018'!B22,'EF ALGT'!$A$2:$C$474,3,FALSE),0)</f>
        <v>0</v>
      </c>
      <c r="H22" s="197">
        <f>IFERROR(VLOOKUP('CONSOLIDADO MARZO 2018'!B22,'EF DAGT'!$A$2:$C$285,3,FALSE),0)</f>
        <v>0</v>
      </c>
      <c r="I22" s="25">
        <f t="shared" si="0"/>
        <v>445.95000000000027</v>
      </c>
      <c r="J22" s="92"/>
      <c r="K22" s="92"/>
      <c r="L22" s="92"/>
      <c r="M22" s="92"/>
      <c r="N22" s="92"/>
      <c r="O22" s="197">
        <f t="shared" si="1"/>
        <v>445.95000000000027</v>
      </c>
      <c r="P22" s="92"/>
      <c r="U22" s="197">
        <f t="shared" si="2"/>
        <v>445.95000000000027</v>
      </c>
      <c r="V22" s="25"/>
      <c r="AA22" s="315">
        <f t="shared" si="3"/>
        <v>0</v>
      </c>
      <c r="AB22" s="315">
        <f t="shared" si="4"/>
        <v>445.95000000000027</v>
      </c>
    </row>
    <row r="23" spans="1:28" x14ac:dyDescent="0.25">
      <c r="A23">
        <v>111</v>
      </c>
      <c r="B23" s="27">
        <v>5714099</v>
      </c>
      <c r="C23" s="27" t="s">
        <v>11</v>
      </c>
      <c r="E23" s="197">
        <f>IFERROR(VLOOKUP('CONSOLIDADO MARZO 2018'!B23,'EF ALPA'!$A$2:$C$561,3,FALSE),0)</f>
        <v>-6268.18</v>
      </c>
      <c r="F23" s="197">
        <f>IFERROR(VLOOKUP(B23,'EF ASGT'!$A$2:$F$492,3,FALSE),0)</f>
        <v>-31.86</v>
      </c>
      <c r="G23" s="197">
        <f>IFERROR(VLOOKUP('CONSOLIDADO MARZO 2018'!B23,'EF ALGT'!$A$2:$C$474,3,FALSE),0)</f>
        <v>0.06</v>
      </c>
      <c r="H23" s="197">
        <f>IFERROR(VLOOKUP('CONSOLIDADO MARZO 2018'!B23,'EF DAGT'!$A$2:$C$285,3,FALSE),0)</f>
        <v>0</v>
      </c>
      <c r="I23" s="25">
        <f t="shared" si="0"/>
        <v>-6299.98</v>
      </c>
      <c r="J23" s="86"/>
      <c r="K23" s="86"/>
      <c r="L23" s="86"/>
      <c r="M23" s="86"/>
      <c r="N23" s="86"/>
      <c r="O23" s="197">
        <f t="shared" si="1"/>
        <v>-6299.98</v>
      </c>
      <c r="P23" s="86"/>
      <c r="Q23" s="197"/>
      <c r="R23" s="86"/>
      <c r="U23" s="197">
        <f t="shared" si="2"/>
        <v>-6299.98</v>
      </c>
      <c r="V23" s="25"/>
      <c r="AA23" s="315">
        <f t="shared" si="3"/>
        <v>0</v>
      </c>
      <c r="AB23" s="315">
        <f t="shared" si="4"/>
        <v>-6299.98</v>
      </c>
    </row>
    <row r="24" spans="1:28" x14ac:dyDescent="0.25">
      <c r="A24">
        <v>111</v>
      </c>
      <c r="B24" s="27">
        <v>5714011</v>
      </c>
      <c r="C24" s="27" t="s">
        <v>10</v>
      </c>
      <c r="E24" s="197">
        <f>IFERROR(VLOOKUP('CONSOLIDADO MARZO 2018'!B24,'EF ALPA'!$A$2:$C$561,3,FALSE),0)</f>
        <v>-45.8</v>
      </c>
      <c r="F24" s="197">
        <f>IFERROR(VLOOKUP(B24,'EF ASGT'!$A$2:$F$492,3,FALSE),0)</f>
        <v>3718.45</v>
      </c>
      <c r="G24" s="197">
        <f>IFERROR(VLOOKUP('CONSOLIDADO MARZO 2018'!B24,'EF ALGT'!$A$2:$C$474,3,FALSE),0)</f>
        <v>649.97</v>
      </c>
      <c r="H24" s="197">
        <f>IFERROR(VLOOKUP('CONSOLIDADO MARZO 2018'!B24,'EF DAGT'!$A$2:$C$285,3,FALSE),0)</f>
        <v>0</v>
      </c>
      <c r="I24" s="25">
        <f t="shared" si="0"/>
        <v>4322.62</v>
      </c>
      <c r="J24" s="92"/>
      <c r="K24" s="92"/>
      <c r="L24" s="92"/>
      <c r="M24" s="92"/>
      <c r="N24" s="92"/>
      <c r="O24" s="197">
        <f t="shared" si="1"/>
        <v>4322.62</v>
      </c>
      <c r="P24" s="92"/>
      <c r="Q24" s="10"/>
      <c r="U24" s="197">
        <f t="shared" si="2"/>
        <v>4322.62</v>
      </c>
      <c r="V24" s="25"/>
      <c r="AA24" s="315">
        <f t="shared" si="3"/>
        <v>0</v>
      </c>
      <c r="AB24" s="315">
        <f t="shared" si="4"/>
        <v>4322.62</v>
      </c>
    </row>
    <row r="25" spans="1:28" x14ac:dyDescent="0.25">
      <c r="A25">
        <v>111</v>
      </c>
      <c r="B25" s="27">
        <v>5714001</v>
      </c>
      <c r="C25" s="27" t="s">
        <v>126</v>
      </c>
      <c r="E25" s="197">
        <f>IFERROR(VLOOKUP('CONSOLIDADO MARZO 2018'!B25,'EF ALPA'!$A$2:$C$561,3,FALSE),0)</f>
        <v>49790.44</v>
      </c>
      <c r="F25" s="197">
        <f>IFERROR(VLOOKUP(B25,'EF ASGT'!$A$2:$F$492,3,FALSE),0)</f>
        <v>2001.45</v>
      </c>
      <c r="G25" s="197">
        <f>IFERROR(VLOOKUP('CONSOLIDADO MARZO 2018'!B25,'EF ALGT'!$A$2:$C$474,3,FALSE),0)</f>
        <v>-2.78</v>
      </c>
      <c r="H25" s="197">
        <f>IFERROR(VLOOKUP('CONSOLIDADO MARZO 2018'!B25,'EF DAGT'!$A$2:$C$285,3,FALSE),0)</f>
        <v>0</v>
      </c>
      <c r="I25" s="25">
        <f t="shared" si="0"/>
        <v>51789.11</v>
      </c>
      <c r="J25" s="92"/>
      <c r="K25" s="92"/>
      <c r="L25" s="92"/>
      <c r="M25" s="92"/>
      <c r="N25" s="92"/>
      <c r="O25" s="197">
        <f t="shared" si="1"/>
        <v>51789.11</v>
      </c>
      <c r="P25" s="92"/>
      <c r="Q25" s="10"/>
      <c r="U25" s="197">
        <f t="shared" si="2"/>
        <v>51789.11</v>
      </c>
      <c r="V25" s="25"/>
      <c r="AA25" s="315">
        <f t="shared" si="3"/>
        <v>0</v>
      </c>
      <c r="AB25" s="315">
        <f t="shared" si="4"/>
        <v>51789.11</v>
      </c>
    </row>
    <row r="26" spans="1:28" x14ac:dyDescent="0.25">
      <c r="A26" s="4">
        <v>112</v>
      </c>
      <c r="B26" s="5"/>
      <c r="C26" s="5" t="s">
        <v>24</v>
      </c>
      <c r="D26" s="5"/>
      <c r="E26" s="9">
        <f>SUM(E27:E32)</f>
        <v>11263892.76</v>
      </c>
      <c r="F26" s="9">
        <f>SUM(F27:F32)</f>
        <v>4164288.3500000006</v>
      </c>
      <c r="G26" s="9">
        <f>SUM(G27:G32)</f>
        <v>2103754.69</v>
      </c>
      <c r="H26" s="9">
        <f>SUM(H27:H32)</f>
        <v>263245.53000000003</v>
      </c>
      <c r="I26" s="9">
        <f>SUM(I27:I32)</f>
        <v>17795181.329999998</v>
      </c>
      <c r="J26" s="92"/>
      <c r="K26" s="9">
        <f>SUM(K27:K32)</f>
        <v>0</v>
      </c>
      <c r="L26" s="89"/>
      <c r="M26" s="89"/>
      <c r="N26" s="9">
        <f>SUM(N27:N32)</f>
        <v>0</v>
      </c>
      <c r="O26" s="9">
        <f>I26+K26-N26</f>
        <v>17795181.329999998</v>
      </c>
      <c r="P26" s="9"/>
      <c r="Q26" s="9">
        <f>SUM(Q27:Q32)</f>
        <v>0</v>
      </c>
      <c r="R26" s="89"/>
      <c r="S26" s="89"/>
      <c r="T26" s="9">
        <f>SUM(T27:T32)</f>
        <v>4399051.6999999993</v>
      </c>
      <c r="U26" s="9">
        <f>O26+Q26-T26</f>
        <v>13396129.629999999</v>
      </c>
      <c r="V26" s="9">
        <v>13395591</v>
      </c>
      <c r="W26" s="9">
        <f>U26-V26</f>
        <v>538.62999999895692</v>
      </c>
      <c r="AA26" s="315">
        <f t="shared" si="3"/>
        <v>0</v>
      </c>
    </row>
    <row r="27" spans="1:28" x14ac:dyDescent="0.25">
      <c r="A27">
        <v>112</v>
      </c>
      <c r="B27" s="27">
        <v>4300000</v>
      </c>
      <c r="C27" s="27" t="s">
        <v>25</v>
      </c>
      <c r="E27" s="197">
        <f>IFERROR(VLOOKUP('CONSOLIDADO MARZO 2018'!B27,'EF ALPA'!$A$2:$C$561,3,FALSE),0)</f>
        <v>1184763.3799999999</v>
      </c>
      <c r="F27" s="197">
        <f>IFERROR(VLOOKUP(B27,'EF ASGT'!$A$2:$F$492,3,FALSE),0)</f>
        <v>1467785.59</v>
      </c>
      <c r="G27" s="197">
        <f>IFERROR(VLOOKUP('CONSOLIDADO MARZO 2018'!B27,'EF ALGT'!$A$2:$C$474,3,FALSE),0)</f>
        <v>20.3</v>
      </c>
      <c r="H27" s="197">
        <f>IFERROR(VLOOKUP('CONSOLIDADO MARZO 2018'!B27,'EF DAGT'!$A$2:$C$285,3,FALSE),0)</f>
        <v>0</v>
      </c>
      <c r="I27" s="25">
        <f t="shared" ref="I27:I32" si="5">SUM(E27:H27)</f>
        <v>2652569.2699999996</v>
      </c>
      <c r="O27" s="197">
        <f t="shared" si="1"/>
        <v>2652569.2699999996</v>
      </c>
      <c r="Q27" s="22"/>
      <c r="R27" s="92"/>
      <c r="S27" s="92"/>
      <c r="T27" s="197"/>
      <c r="U27" s="197">
        <f>O27+Q27-T27</f>
        <v>2652569.2699999996</v>
      </c>
      <c r="V27" s="25"/>
      <c r="AA27" s="315">
        <f t="shared" si="3"/>
        <v>0</v>
      </c>
      <c r="AB27" s="315">
        <f t="shared" si="4"/>
        <v>2652569.2699999996</v>
      </c>
    </row>
    <row r="28" spans="1:28" x14ac:dyDescent="0.25">
      <c r="A28">
        <v>112</v>
      </c>
      <c r="B28" s="27">
        <v>4304000</v>
      </c>
      <c r="C28" s="27" t="s">
        <v>26</v>
      </c>
      <c r="E28" s="197">
        <f>IFERROR(VLOOKUP('CONSOLIDADO MARZO 2018'!B28,'EF ALPA'!$A$2:$C$561,3,FALSE),0)</f>
        <v>9307055.3000000007</v>
      </c>
      <c r="F28" s="197">
        <f>IFERROR(VLOOKUP(B28,'EF ASGT'!$A$2:$F$492,3,FALSE),0)</f>
        <v>1435721.06</v>
      </c>
      <c r="G28" s="197">
        <f>IFERROR(VLOOKUP('CONSOLIDADO MARZO 2018'!B28,'EF ALGT'!$A$2:$C$474,3,FALSE),0)</f>
        <v>43</v>
      </c>
      <c r="H28" s="197">
        <f>IFERROR(VLOOKUP('CONSOLIDADO MARZO 2018'!B28,'EF DAGT'!$A$2:$C$285,3,FALSE),0)</f>
        <v>0</v>
      </c>
      <c r="I28" s="25">
        <f t="shared" si="5"/>
        <v>10742819.360000001</v>
      </c>
      <c r="J28" s="92"/>
      <c r="K28" s="92"/>
      <c r="L28" s="92"/>
      <c r="M28" s="92"/>
      <c r="N28" s="92"/>
      <c r="O28" s="197">
        <f t="shared" si="1"/>
        <v>10742819.360000001</v>
      </c>
      <c r="P28" s="92"/>
      <c r="Q28" s="15"/>
      <c r="R28" s="92"/>
      <c r="S28" s="92"/>
      <c r="T28" s="22"/>
      <c r="U28" s="197">
        <f t="shared" si="2"/>
        <v>10742819.360000001</v>
      </c>
      <c r="V28" s="25"/>
      <c r="AA28" s="315">
        <f t="shared" si="3"/>
        <v>0</v>
      </c>
      <c r="AB28" s="315">
        <f t="shared" si="4"/>
        <v>10742819.360000001</v>
      </c>
    </row>
    <row r="29" spans="1:28" x14ac:dyDescent="0.25">
      <c r="A29">
        <v>112</v>
      </c>
      <c r="B29" s="27">
        <v>4304099</v>
      </c>
      <c r="C29" s="27" t="s">
        <v>132</v>
      </c>
      <c r="E29" s="197">
        <f>IFERROR(VLOOKUP('CONSOLIDADO MARZO 2018'!B29,'EF ALPA'!$A$2:$C$561,3,FALSE),0)</f>
        <v>194.01</v>
      </c>
      <c r="F29" s="197">
        <f>IFERROR(VLOOKUP(B29,'EF ASGT'!$A$2:$F$492,3,FALSE),0)</f>
        <v>8.4700000000000006</v>
      </c>
      <c r="G29" s="197">
        <f>IFERROR(VLOOKUP('CONSOLIDADO MARZO 2018'!B29,'EF ALGT'!$A$2:$C$474,3,FALSE),0)</f>
        <v>0</v>
      </c>
      <c r="H29" s="197">
        <f>IFERROR(VLOOKUP('CONSOLIDADO MARZO 2018'!B29,'EF DAGT'!$A$2:$C$285,3,FALSE),0)</f>
        <v>0</v>
      </c>
      <c r="I29" s="25">
        <f t="shared" si="5"/>
        <v>202.48</v>
      </c>
      <c r="J29" s="92"/>
      <c r="K29" s="92"/>
      <c r="L29" s="92"/>
      <c r="M29" s="92"/>
      <c r="N29" s="92"/>
      <c r="O29" s="197">
        <f t="shared" si="1"/>
        <v>202.48</v>
      </c>
      <c r="P29" s="92"/>
      <c r="Q29" s="15"/>
      <c r="R29" s="92"/>
      <c r="S29" s="92"/>
      <c r="T29" s="22"/>
      <c r="U29" s="197">
        <f t="shared" si="2"/>
        <v>202.48</v>
      </c>
      <c r="V29" s="25"/>
      <c r="AA29" s="315">
        <f t="shared" si="3"/>
        <v>0</v>
      </c>
      <c r="AB29" s="315">
        <f t="shared" si="4"/>
        <v>202.48</v>
      </c>
    </row>
    <row r="30" spans="1:28" x14ac:dyDescent="0.25">
      <c r="A30">
        <v>112</v>
      </c>
      <c r="B30" s="27">
        <v>4330001</v>
      </c>
      <c r="C30" s="27" t="s">
        <v>27</v>
      </c>
      <c r="E30" s="197">
        <f>IFERROR(VLOOKUP('CONSOLIDADO MARZO 2018'!B30,'EF ALPA'!$A$2:$C$561,3,FALSE),0)</f>
        <v>0</v>
      </c>
      <c r="F30" s="197">
        <f>IFERROR(VLOOKUP(B30,'EF ASGT'!$A$2:$F$492,3,FALSE),0)</f>
        <v>405165.69</v>
      </c>
      <c r="G30" s="197">
        <f>IFERROR(VLOOKUP('CONSOLIDADO MARZO 2018'!B30,'EF ALGT'!$A$2:$C$474,3,FALSE),0)</f>
        <v>2102064.33</v>
      </c>
      <c r="H30" s="197">
        <f>IFERROR(VLOOKUP('CONSOLIDADO MARZO 2018'!B30,'EF DAGT'!$A$2:$C$285,3,FALSE),0)</f>
        <v>263245.53000000003</v>
      </c>
      <c r="I30" s="25">
        <f t="shared" si="5"/>
        <v>2770475.55</v>
      </c>
      <c r="J30" s="92">
        <v>11</v>
      </c>
      <c r="K30" s="92"/>
      <c r="L30" s="92"/>
      <c r="M30" s="92"/>
      <c r="N30" s="92"/>
      <c r="O30" s="197">
        <f t="shared" si="1"/>
        <v>2770475.55</v>
      </c>
      <c r="P30" s="92">
        <v>1</v>
      </c>
      <c r="Q30" s="284"/>
      <c r="R30" s="92"/>
      <c r="S30" s="92">
        <v>1</v>
      </c>
      <c r="T30" s="267">
        <f>'PARTIDAS Elimina. ajsut, y recl'!I23+'PARTIDAS Elimina. ajsut, y recl'!I24+'PARTIDAS Elimina. ajsut, y recl'!I25+'PARTIDAS Elimina. ajsut, y recl'!I29+'PARTIDAS Elimina. ajsut, y recl'!I31</f>
        <v>2770436.2399999998</v>
      </c>
      <c r="U30" s="197">
        <f t="shared" si="2"/>
        <v>39.310000000055879</v>
      </c>
      <c r="V30" s="25"/>
      <c r="Y30" s="1"/>
      <c r="Z30" s="10"/>
      <c r="AA30" s="315">
        <f t="shared" si="3"/>
        <v>0</v>
      </c>
      <c r="AB30" s="315">
        <f t="shared" si="4"/>
        <v>39.310000000055879</v>
      </c>
    </row>
    <row r="31" spans="1:28" x14ac:dyDescent="0.25">
      <c r="A31">
        <v>112</v>
      </c>
      <c r="B31" s="27">
        <v>4330002</v>
      </c>
      <c r="C31" s="27" t="s">
        <v>28</v>
      </c>
      <c r="E31" s="197">
        <f>IFERROR(VLOOKUP('CONSOLIDADO MARZO 2018'!B31,'EF ALPA'!$A$2:$C$561,3,FALSE),0)</f>
        <v>771880.07</v>
      </c>
      <c r="F31" s="197">
        <f>IFERROR(VLOOKUP(B31,'EF ASGT'!$A$2:$F$492,3,FALSE),0)</f>
        <v>855607.54</v>
      </c>
      <c r="G31" s="197">
        <f>IFERROR(VLOOKUP('CONSOLIDADO MARZO 2018'!B31,'EF ALGT'!$A$2:$C$474,3,FALSE),0)</f>
        <v>1627.06</v>
      </c>
      <c r="H31" s="197">
        <f>IFERROR(VLOOKUP('CONSOLIDADO MARZO 2018'!B31,'EF DAGT'!$A$2:$C$285,3,FALSE),0)</f>
        <v>0</v>
      </c>
      <c r="I31" s="25">
        <f t="shared" si="5"/>
        <v>1629114.67</v>
      </c>
      <c r="J31" s="92"/>
      <c r="K31" s="92"/>
      <c r="L31" s="92"/>
      <c r="M31" s="92"/>
      <c r="N31" s="92"/>
      <c r="O31" s="197">
        <f t="shared" si="1"/>
        <v>1629114.67</v>
      </c>
      <c r="P31" s="92"/>
      <c r="Q31" s="15"/>
      <c r="R31" s="92"/>
      <c r="S31" s="92">
        <v>1</v>
      </c>
      <c r="T31" s="267">
        <f>'PARTIDAS Elimina. ajsut, y recl'!I26+'PARTIDAS Elimina. ajsut, y recl'!I27+'PARTIDAS Elimina. ajsut, y recl'!I28+0.46</f>
        <v>1628615.46</v>
      </c>
      <c r="U31" s="197">
        <f t="shared" si="2"/>
        <v>499.20999999996275</v>
      </c>
      <c r="V31" s="25"/>
      <c r="AA31" s="315">
        <f t="shared" si="3"/>
        <v>0</v>
      </c>
      <c r="AB31" s="315">
        <f t="shared" si="4"/>
        <v>499.20999999996275</v>
      </c>
    </row>
    <row r="32" spans="1:28" x14ac:dyDescent="0.25">
      <c r="A32">
        <v>112</v>
      </c>
      <c r="B32" s="27">
        <v>4404000</v>
      </c>
      <c r="C32" s="27" t="s">
        <v>133</v>
      </c>
      <c r="E32" s="197">
        <f>IFERROR(VLOOKUP('CONSOLIDADO MARZO 2018'!B32,'EF ALPA'!$A$2:$C$561,3,FALSE),0)</f>
        <v>0</v>
      </c>
      <c r="F32" s="197">
        <f>IFERROR(VLOOKUP(B32,'EF ASGT'!$A$2:$F$492,3,FALSE),0)</f>
        <v>0</v>
      </c>
      <c r="G32" s="197">
        <f>IFERROR(VLOOKUP('CONSOLIDADO MARZO 2018'!B32,'EF ALGT'!$A$2:$C$474,3,FALSE),0)</f>
        <v>0</v>
      </c>
      <c r="H32" s="197">
        <f>IFERROR(VLOOKUP('CONSOLIDADO MARZO 2018'!B32,'EF DAGT'!$A$2:$C$285,3,FALSE),0)</f>
        <v>0</v>
      </c>
      <c r="I32" s="233">
        <f t="shared" si="5"/>
        <v>0</v>
      </c>
      <c r="J32" s="94"/>
      <c r="K32" s="94"/>
      <c r="L32" s="94"/>
      <c r="M32" s="94"/>
      <c r="N32" s="94"/>
      <c r="O32" s="197">
        <f t="shared" si="1"/>
        <v>0</v>
      </c>
      <c r="P32" s="94"/>
      <c r="Q32" s="15"/>
      <c r="R32" s="92"/>
      <c r="S32" s="92"/>
      <c r="T32" s="22"/>
      <c r="U32" s="197">
        <f t="shared" si="2"/>
        <v>0</v>
      </c>
      <c r="V32" s="25"/>
      <c r="AA32" s="315">
        <f t="shared" si="3"/>
        <v>0</v>
      </c>
    </row>
    <row r="33" spans="1:28" x14ac:dyDescent="0.25">
      <c r="A33" s="8">
        <v>129</v>
      </c>
      <c r="B33" s="8">
        <v>4900000</v>
      </c>
      <c r="C33" s="8" t="s">
        <v>29</v>
      </c>
      <c r="D33" s="13"/>
      <c r="E33" s="13">
        <f>IFERROR(VLOOKUP('CONSOLIDADO MARZO 2018'!B33,'EF ALPA'!$A$2:$C$561,3,FALSE),0)</f>
        <v>-200313.84</v>
      </c>
      <c r="F33" s="13">
        <f>IFERROR(VLOOKUP(B33,'EF ASGT'!$A$2:$F$492,3,FALSE),0)</f>
        <v>-131080.19</v>
      </c>
      <c r="G33" s="13">
        <f>IFERROR(VLOOKUP('CONSOLIDADO MARZO 2018'!B33,'EF ALGT'!$A$2:$C$474,3,FALSE),0)</f>
        <v>-62888.97</v>
      </c>
      <c r="H33" s="13">
        <f>IFERROR(VLOOKUP('CONSOLIDADO MARZO 2018'!B33,'EF DAGT'!$A$2:$C$285,3,FALSE),0)</f>
        <v>-7895.54</v>
      </c>
      <c r="I33" s="9">
        <f>SUM(E33:H33)</f>
        <v>-402178.54</v>
      </c>
      <c r="J33" s="246"/>
      <c r="K33" s="225">
        <v>0</v>
      </c>
      <c r="L33" s="9"/>
      <c r="M33" s="9"/>
      <c r="N33" s="9"/>
      <c r="O33" s="9">
        <f>I33+K33-N33</f>
        <v>-402178.54</v>
      </c>
      <c r="P33" s="92">
        <v>3</v>
      </c>
      <c r="Q33" s="285"/>
      <c r="R33" s="9"/>
      <c r="S33" s="9"/>
      <c r="T33" s="9"/>
      <c r="U33" s="9">
        <f>O33+Q33-T33</f>
        <v>-402178.54</v>
      </c>
      <c r="V33" s="9">
        <v>-402178.22000000003</v>
      </c>
      <c r="W33" s="9">
        <f>U33-V33</f>
        <v>-0.31999999994877726</v>
      </c>
      <c r="Y33" s="315">
        <f>E33+Q33</f>
        <v>-200313.84</v>
      </c>
      <c r="AA33" s="315">
        <f t="shared" si="3"/>
        <v>0</v>
      </c>
      <c r="AB33" s="315">
        <f t="shared" si="4"/>
        <v>-402178.54</v>
      </c>
    </row>
    <row r="34" spans="1:28" x14ac:dyDescent="0.25">
      <c r="A34" s="4">
        <v>113</v>
      </c>
      <c r="B34" s="5"/>
      <c r="C34" s="5" t="s">
        <v>30</v>
      </c>
      <c r="D34" s="5"/>
      <c r="E34" s="9">
        <f>SUM(E35)</f>
        <v>40817.89</v>
      </c>
      <c r="F34" s="9">
        <f>SUM(F35)</f>
        <v>59009.93</v>
      </c>
      <c r="G34" s="9">
        <f>SUM(G35)</f>
        <v>10680.42</v>
      </c>
      <c r="H34" s="9">
        <f>SUM(H35)</f>
        <v>569.12</v>
      </c>
      <c r="I34" s="9">
        <f>SUM(I35)</f>
        <v>111077.36</v>
      </c>
      <c r="J34" s="97"/>
      <c r="K34" s="9">
        <f>K35</f>
        <v>0</v>
      </c>
      <c r="L34" s="89"/>
      <c r="M34" s="89"/>
      <c r="N34" s="9">
        <f>N35</f>
        <v>0</v>
      </c>
      <c r="O34" s="9">
        <f>I34+K34-N34</f>
        <v>111077.36</v>
      </c>
      <c r="P34" s="9"/>
      <c r="Q34" s="9">
        <f>Q35</f>
        <v>0</v>
      </c>
      <c r="R34" s="89"/>
      <c r="S34" s="89"/>
      <c r="T34" s="9">
        <f>T35</f>
        <v>0</v>
      </c>
      <c r="U34" s="9">
        <f>O34+Q34-T34</f>
        <v>111077.36</v>
      </c>
      <c r="V34" s="9">
        <v>111077.36</v>
      </c>
      <c r="W34" s="9">
        <f>U34-V34</f>
        <v>0</v>
      </c>
      <c r="AA34" s="315">
        <f t="shared" si="3"/>
        <v>0</v>
      </c>
    </row>
    <row r="35" spans="1:28" x14ac:dyDescent="0.25">
      <c r="A35" s="22">
        <v>113</v>
      </c>
      <c r="B35" s="27">
        <v>4170004</v>
      </c>
      <c r="C35" s="27" t="s">
        <v>34</v>
      </c>
      <c r="D35" s="22"/>
      <c r="E35" s="197">
        <f>IFERROR(VLOOKUP('CONSOLIDADO MARZO 2018'!B35,'EF ALPA'!$A$2:$C$561,3,FALSE),0)</f>
        <v>40817.89</v>
      </c>
      <c r="F35" s="197">
        <f>IFERROR(VLOOKUP(B35,'EF ASGT'!$A$2:$F$492,3,FALSE),0)</f>
        <v>59009.93</v>
      </c>
      <c r="G35" s="197">
        <f>IFERROR(VLOOKUP('CONSOLIDADO MARZO 2018'!B35,'EF ALGT'!$A$2:$C$474,3,FALSE),0)</f>
        <v>10680.42</v>
      </c>
      <c r="H35" s="197">
        <f>IFERROR(VLOOKUP('CONSOLIDADO MARZO 2018'!B35,'EF DAGT'!$A$2:$C$285,3,FALSE),0)</f>
        <v>569.12</v>
      </c>
      <c r="I35" s="25">
        <f>SUM(E35:H35)</f>
        <v>111077.36</v>
      </c>
      <c r="J35" s="97"/>
      <c r="K35" s="97"/>
      <c r="L35" s="97"/>
      <c r="M35" s="97"/>
      <c r="N35" s="97"/>
      <c r="O35" s="197">
        <f t="shared" ref="O35:O51" si="6">I35+K35-N35</f>
        <v>111077.36</v>
      </c>
      <c r="P35" s="97"/>
      <c r="Q35" s="33"/>
      <c r="R35" s="90"/>
      <c r="S35" s="90"/>
      <c r="T35" s="33"/>
      <c r="U35" s="197">
        <f t="shared" ref="U35:U99" si="7">O35+Q35-T35</f>
        <v>111077.36</v>
      </c>
      <c r="V35" s="25"/>
      <c r="AA35" s="315">
        <f t="shared" si="3"/>
        <v>0</v>
      </c>
      <c r="AB35" s="315">
        <f t="shared" si="4"/>
        <v>111077.36</v>
      </c>
    </row>
    <row r="36" spans="1:28" x14ac:dyDescent="0.25">
      <c r="A36" s="4"/>
      <c r="B36" s="5"/>
      <c r="C36" s="5" t="s">
        <v>153</v>
      </c>
      <c r="D36" s="5"/>
      <c r="E36" s="9">
        <f>SUM(E37:E51)</f>
        <v>3743799.72</v>
      </c>
      <c r="F36" s="9">
        <f>SUM(F37:F51)</f>
        <v>510688.33</v>
      </c>
      <c r="G36" s="9">
        <f>SUM(G37:G51)</f>
        <v>725704.89999999991</v>
      </c>
      <c r="H36" s="9">
        <f>SUM(H37:H51)</f>
        <v>162622.75</v>
      </c>
      <c r="I36" s="9">
        <f>SUM(I37:I51)</f>
        <v>5142815.6999999993</v>
      </c>
      <c r="J36" s="97"/>
      <c r="K36" s="9">
        <f>SUM(K37:K51)</f>
        <v>0</v>
      </c>
      <c r="L36" s="89"/>
      <c r="M36" s="89"/>
      <c r="N36" s="9">
        <f>SUM(N37:N51)</f>
        <v>0</v>
      </c>
      <c r="O36" s="9">
        <f>I36+K36-N36</f>
        <v>5142815.6999999993</v>
      </c>
      <c r="P36" s="97"/>
      <c r="Q36" s="9">
        <f>SUM(Q37:Q51)</f>
        <v>0</v>
      </c>
      <c r="R36" s="89"/>
      <c r="S36" s="89"/>
      <c r="T36" s="9">
        <f>SUM(T37:T51)</f>
        <v>1006176.94</v>
      </c>
      <c r="U36" s="9">
        <f>O36+Q36-T36</f>
        <v>4136638.7599999993</v>
      </c>
      <c r="V36" s="9">
        <v>4135758.2299999991</v>
      </c>
      <c r="W36" s="9">
        <f>U36-V36</f>
        <v>880.53000000026077</v>
      </c>
      <c r="AA36" s="315">
        <f t="shared" si="3"/>
        <v>0</v>
      </c>
    </row>
    <row r="37" spans="1:28" x14ac:dyDescent="0.25">
      <c r="A37" s="16"/>
      <c r="B37" s="27">
        <v>2650000</v>
      </c>
      <c r="C37" s="27" t="s">
        <v>76</v>
      </c>
      <c r="E37" s="197">
        <f>IFERROR(VLOOKUP('CONSOLIDADO MARZO 2018'!B37,'EF ALPA'!$A$2:$C$561,3,FALSE),0)</f>
        <v>129094.88</v>
      </c>
      <c r="F37" s="197">
        <f>IFERROR(VLOOKUP(B37,'EF ASGT'!$A$2:$F$492,3,FALSE),0)</f>
        <v>0</v>
      </c>
      <c r="G37" s="197">
        <f>IFERROR(VLOOKUP('CONSOLIDADO MARZO 2018'!B37,'EF ALGT'!$A$2:$C$474,3,FALSE),0)</f>
        <v>2499.98</v>
      </c>
      <c r="H37" s="197">
        <f>IFERROR(VLOOKUP('CONSOLIDADO MARZO 2018'!B37,'EF DAGT'!$A$2:$C$285,3,FALSE),0)</f>
        <v>0</v>
      </c>
      <c r="I37" s="25">
        <f>SUM(E37:H37)</f>
        <v>131594.86000000002</v>
      </c>
      <c r="J37" s="97"/>
      <c r="K37" s="97"/>
      <c r="L37" s="97"/>
      <c r="M37" s="97"/>
      <c r="N37" s="97"/>
      <c r="O37" s="197">
        <f t="shared" si="6"/>
        <v>131594.86000000002</v>
      </c>
      <c r="P37" s="97"/>
      <c r="Q37" s="33"/>
      <c r="R37" s="90"/>
      <c r="S37" s="90"/>
      <c r="T37" s="33"/>
      <c r="U37" s="197">
        <f t="shared" si="7"/>
        <v>131594.86000000002</v>
      </c>
      <c r="V37" s="25"/>
      <c r="AA37" s="315">
        <f t="shared" si="3"/>
        <v>0</v>
      </c>
      <c r="AB37" s="315">
        <f t="shared" si="4"/>
        <v>131594.86000000002</v>
      </c>
    </row>
    <row r="38" spans="1:28" x14ac:dyDescent="0.25">
      <c r="A38" s="16"/>
      <c r="B38" s="27">
        <v>2100000</v>
      </c>
      <c r="C38" s="27" t="s">
        <v>77</v>
      </c>
      <c r="E38" s="197">
        <f>IFERROR(VLOOKUP('CONSOLIDADO MARZO 2018'!B38,'EF ALPA'!$A$2:$C$561,3,FALSE),0)</f>
        <v>0</v>
      </c>
      <c r="F38" s="197">
        <f>IFERROR(VLOOKUP(B38,'EF ASGT'!$A$2:$F$492,3,FALSE),0)</f>
        <v>0</v>
      </c>
      <c r="G38" s="197">
        <f>IFERROR(VLOOKUP('CONSOLIDADO MARZO 2018'!B38,'EF ALGT'!$A$2:$C$474,3,FALSE),0)</f>
        <v>34420.46</v>
      </c>
      <c r="H38" s="197">
        <f>IFERROR(VLOOKUP('CONSOLIDADO MARZO 2018'!B38,'EF DAGT'!$A$2:$C$285,3,FALSE),0)</f>
        <v>0</v>
      </c>
      <c r="I38" s="25">
        <f>SUM(E38:H38)</f>
        <v>34420.46</v>
      </c>
      <c r="J38" s="97"/>
      <c r="K38" s="97"/>
      <c r="L38" s="97"/>
      <c r="M38" s="97"/>
      <c r="N38" s="97"/>
      <c r="O38" s="197">
        <f t="shared" si="6"/>
        <v>34420.46</v>
      </c>
      <c r="P38" s="97"/>
      <c r="Q38" s="33"/>
      <c r="R38" s="90"/>
      <c r="S38" s="90"/>
      <c r="T38" s="33"/>
      <c r="U38" s="197">
        <f t="shared" si="7"/>
        <v>34420.46</v>
      </c>
      <c r="V38" s="25"/>
      <c r="AA38" s="315">
        <f t="shared" si="3"/>
        <v>0</v>
      </c>
      <c r="AB38" s="315">
        <f t="shared" si="4"/>
        <v>34420.46</v>
      </c>
    </row>
    <row r="39" spans="1:28" x14ac:dyDescent="0.25">
      <c r="A39">
        <v>113</v>
      </c>
      <c r="B39" s="27">
        <v>4070000</v>
      </c>
      <c r="C39" s="27" t="s">
        <v>31</v>
      </c>
      <c r="E39" s="197">
        <f>IFERROR(VLOOKUP('CONSOLIDADO MARZO 2018'!B39,'EF ALPA'!$A$2:$C$561,3,FALSE),0)</f>
        <v>1120438.99</v>
      </c>
      <c r="F39" s="197">
        <f>IFERROR(VLOOKUP(B39,'EF ASGT'!$A$2:$F$492,3,FALSE),0)</f>
        <v>197862.9</v>
      </c>
      <c r="G39" s="197">
        <f>IFERROR(VLOOKUP('CONSOLIDADO MARZO 2018'!B39,'EF ALGT'!$A$2:$C$474,3,FALSE),0)</f>
        <v>675021.31</v>
      </c>
      <c r="H39" s="197">
        <f>IFERROR(VLOOKUP('CONSOLIDADO MARZO 2018'!B39,'EF DAGT'!$A$2:$C$285,3,FALSE),0)</f>
        <v>160709.75</v>
      </c>
      <c r="I39" s="25">
        <f t="shared" ref="I39:I52" si="8">SUM(E39:H39)</f>
        <v>2154032.9500000002</v>
      </c>
      <c r="J39" s="94"/>
      <c r="K39" s="94"/>
      <c r="L39" s="94"/>
      <c r="M39" s="94"/>
      <c r="N39" s="94"/>
      <c r="O39" s="267">
        <f t="shared" si="6"/>
        <v>2154032.9500000002</v>
      </c>
      <c r="P39" s="94"/>
      <c r="Q39" s="10"/>
      <c r="U39" s="197">
        <f t="shared" si="7"/>
        <v>2154032.9500000002</v>
      </c>
      <c r="V39" s="25"/>
      <c r="W39" s="34"/>
      <c r="AA39" s="315">
        <f t="shared" si="3"/>
        <v>0</v>
      </c>
      <c r="AB39" s="315">
        <f t="shared" si="4"/>
        <v>2154032.9500000002</v>
      </c>
    </row>
    <row r="40" spans="1:28" x14ac:dyDescent="0.25">
      <c r="A40">
        <v>113</v>
      </c>
      <c r="B40" s="27">
        <v>4070001</v>
      </c>
      <c r="C40" s="27" t="s">
        <v>32</v>
      </c>
      <c r="E40" s="197">
        <f>IFERROR(VLOOKUP('CONSOLIDADO MARZO 2018'!B40,'EF ALPA'!$A$2:$C$561,3,FALSE),0)</f>
        <v>839829.77</v>
      </c>
      <c r="F40" s="197">
        <f>IFERROR(VLOOKUP(B40,'EF ASGT'!$A$2:$F$492,3,FALSE),0)</f>
        <v>389.46</v>
      </c>
      <c r="G40" s="197">
        <f>IFERROR(VLOOKUP('CONSOLIDADO MARZO 2018'!B40,'EF ALGT'!$A$2:$C$474,3,FALSE),0)</f>
        <v>-18272.810000000001</v>
      </c>
      <c r="H40" s="197">
        <f>IFERROR(VLOOKUP('CONSOLIDADO MARZO 2018'!B40,'EF DAGT'!$A$2:$C$285,3,FALSE),0)</f>
        <v>1913</v>
      </c>
      <c r="I40" s="25">
        <f t="shared" si="8"/>
        <v>823859.41999999993</v>
      </c>
      <c r="J40" s="94"/>
      <c r="K40" s="94"/>
      <c r="L40" s="94"/>
      <c r="M40" s="94"/>
      <c r="N40" s="94"/>
      <c r="O40" s="267">
        <f t="shared" si="6"/>
        <v>823859.41999999993</v>
      </c>
      <c r="P40" s="94"/>
      <c r="U40" s="197">
        <f t="shared" si="7"/>
        <v>823859.41999999993</v>
      </c>
      <c r="V40" s="25"/>
      <c r="AA40" s="315">
        <f t="shared" si="3"/>
        <v>0</v>
      </c>
      <c r="AB40" s="315">
        <f t="shared" si="4"/>
        <v>823859.41999999993</v>
      </c>
    </row>
    <row r="41" spans="1:28" x14ac:dyDescent="0.25">
      <c r="A41">
        <v>113</v>
      </c>
      <c r="B41" s="27">
        <v>4070002</v>
      </c>
      <c r="C41" s="27" t="s">
        <v>33</v>
      </c>
      <c r="E41" s="197">
        <f>IFERROR(VLOOKUP('CONSOLIDADO MARZO 2018'!B41,'EF ALPA'!$A$2:$C$561,3,FALSE),0)</f>
        <v>0</v>
      </c>
      <c r="F41" s="197">
        <f>IFERROR(VLOOKUP(B41,'EF ASGT'!$A$2:$F$492,3,FALSE),0)</f>
        <v>0</v>
      </c>
      <c r="G41" s="197">
        <f>IFERROR(VLOOKUP('CONSOLIDADO MARZO 2018'!B41,'EF ALGT'!$A$2:$C$474,3,FALSE),0)</f>
        <v>0</v>
      </c>
      <c r="H41" s="197">
        <f>IFERROR(VLOOKUP('CONSOLIDADO MARZO 2018'!B41,'EF DAGT'!$A$2:$C$285,3,FALSE),0)</f>
        <v>0</v>
      </c>
      <c r="I41" s="25">
        <f t="shared" si="8"/>
        <v>0</v>
      </c>
      <c r="J41" s="92"/>
      <c r="K41" s="92"/>
      <c r="L41" s="92"/>
      <c r="M41" s="92"/>
      <c r="N41" s="92"/>
      <c r="O41" s="197">
        <f t="shared" si="6"/>
        <v>0</v>
      </c>
      <c r="P41" s="92"/>
      <c r="U41" s="197">
        <f t="shared" si="7"/>
        <v>0</v>
      </c>
      <c r="V41" s="25"/>
      <c r="AA41" s="315">
        <f t="shared" si="3"/>
        <v>0</v>
      </c>
    </row>
    <row r="42" spans="1:28" x14ac:dyDescent="0.25">
      <c r="A42">
        <v>113</v>
      </c>
      <c r="B42" s="27">
        <v>4070091</v>
      </c>
      <c r="C42" s="27" t="s">
        <v>117</v>
      </c>
      <c r="E42" s="197">
        <f>IFERROR(VLOOKUP('CONSOLIDADO MARZO 2018'!B42,'EF ALPA'!$A$2:$C$561,3,FALSE),0)</f>
        <v>0</v>
      </c>
      <c r="F42" s="197">
        <f>IFERROR(VLOOKUP(B42,'EF ASGT'!$A$2:$F$492,3,FALSE),0)</f>
        <v>0</v>
      </c>
      <c r="G42" s="197">
        <f>IFERROR(VLOOKUP('CONSOLIDADO MARZO 2018'!B42,'EF ALGT'!$A$2:$C$474,3,FALSE),0)</f>
        <v>0</v>
      </c>
      <c r="H42" s="197">
        <f>IFERROR(VLOOKUP('CONSOLIDADO MARZO 2018'!B42,'EF DAGT'!$A$2:$C$285,3,FALSE),0)</f>
        <v>0</v>
      </c>
      <c r="I42" s="25">
        <f t="shared" si="8"/>
        <v>0</v>
      </c>
      <c r="J42" s="92"/>
      <c r="K42" s="92"/>
      <c r="L42" s="92"/>
      <c r="M42" s="92"/>
      <c r="N42" s="92"/>
      <c r="O42" s="197">
        <f t="shared" si="6"/>
        <v>0</v>
      </c>
      <c r="P42" s="92"/>
      <c r="U42" s="197">
        <f t="shared" si="7"/>
        <v>0</v>
      </c>
      <c r="V42" s="25"/>
      <c r="AA42" s="315">
        <f t="shared" si="3"/>
        <v>0</v>
      </c>
    </row>
    <row r="43" spans="1:28" x14ac:dyDescent="0.25">
      <c r="A43">
        <v>113</v>
      </c>
      <c r="B43" s="27">
        <v>4070099</v>
      </c>
      <c r="C43" s="27" t="s">
        <v>118</v>
      </c>
      <c r="E43" s="197">
        <f>IFERROR(VLOOKUP('CONSOLIDADO MARZO 2018'!B43,'EF ALPA'!$A$2:$C$561,3,FALSE),0)</f>
        <v>0</v>
      </c>
      <c r="F43" s="197">
        <f>IFERROR(VLOOKUP(B43,'EF ASGT'!$A$2:$F$492,3,FALSE),0)</f>
        <v>0</v>
      </c>
      <c r="G43" s="197">
        <f>IFERROR(VLOOKUP('CONSOLIDADO MARZO 2018'!B43,'EF ALGT'!$A$2:$C$474,3,FALSE),0)</f>
        <v>0</v>
      </c>
      <c r="H43" s="197">
        <f>IFERROR(VLOOKUP('CONSOLIDADO MARZO 2018'!B43,'EF DAGT'!$A$2:$C$285,3,FALSE),0)</f>
        <v>0</v>
      </c>
      <c r="I43" s="25">
        <f t="shared" si="8"/>
        <v>0</v>
      </c>
      <c r="J43" s="92"/>
      <c r="K43" s="92"/>
      <c r="L43" s="92"/>
      <c r="M43" s="92"/>
      <c r="N43" s="92"/>
      <c r="O43" s="197">
        <f t="shared" si="6"/>
        <v>0</v>
      </c>
      <c r="P43" s="92"/>
      <c r="U43" s="197">
        <f t="shared" si="7"/>
        <v>0</v>
      </c>
      <c r="V43" s="25"/>
      <c r="AA43" s="315">
        <f t="shared" si="3"/>
        <v>0</v>
      </c>
    </row>
    <row r="44" spans="1:28" x14ac:dyDescent="0.25">
      <c r="A44">
        <v>113</v>
      </c>
      <c r="B44" s="27">
        <v>4170092</v>
      </c>
      <c r="C44" s="27" t="s">
        <v>119</v>
      </c>
      <c r="E44" s="197">
        <f>IFERROR(VLOOKUP('CONSOLIDADO MARZO 2018'!B44,'EF ALPA'!$A$2:$C$561,3,FALSE),0)</f>
        <v>0</v>
      </c>
      <c r="F44" s="197">
        <f>IFERROR(VLOOKUP(B44,'EF ASGT'!$A$2:$F$492,3,FALSE),0)</f>
        <v>0</v>
      </c>
      <c r="G44" s="197">
        <f>IFERROR(VLOOKUP('CONSOLIDADO MARZO 2018'!B44,'EF ALGT'!$A$2:$C$474,3,FALSE),0)</f>
        <v>0</v>
      </c>
      <c r="H44" s="197">
        <f>IFERROR(VLOOKUP('CONSOLIDADO MARZO 2018'!B44,'EF DAGT'!$A$2:$C$285,3,FALSE),0)</f>
        <v>0</v>
      </c>
      <c r="I44" s="25">
        <f t="shared" si="8"/>
        <v>0</v>
      </c>
      <c r="J44" s="92"/>
      <c r="K44" s="92"/>
      <c r="L44" s="92"/>
      <c r="M44" s="92"/>
      <c r="N44" s="92"/>
      <c r="O44" s="197">
        <f t="shared" si="6"/>
        <v>0</v>
      </c>
      <c r="P44" s="92"/>
      <c r="U44" s="197">
        <f t="shared" si="7"/>
        <v>0</v>
      </c>
      <c r="V44" s="25"/>
      <c r="AA44" s="315">
        <f t="shared" si="3"/>
        <v>0</v>
      </c>
    </row>
    <row r="45" spans="1:28" x14ac:dyDescent="0.25">
      <c r="A45">
        <v>113</v>
      </c>
      <c r="B45" s="27">
        <v>4600014</v>
      </c>
      <c r="C45" s="27" t="s">
        <v>35</v>
      </c>
      <c r="E45" s="197">
        <f>IFERROR(VLOOKUP('CONSOLIDADO MARZO 2018'!B45,'EF ALPA'!$A$2:$C$561,3,FALSE),0)</f>
        <v>63.34</v>
      </c>
      <c r="F45" s="197">
        <f>IFERROR(VLOOKUP(B45,'EF ASGT'!$A$2:$F$492,3,FALSE),0)</f>
        <v>0.42</v>
      </c>
      <c r="G45" s="197">
        <f>IFERROR(VLOOKUP('CONSOLIDADO MARZO 2018'!B45,'EF ALGT'!$A$2:$C$474,3,FALSE),0)</f>
        <v>0</v>
      </c>
      <c r="H45" s="197">
        <f>IFERROR(VLOOKUP('CONSOLIDADO MARZO 2018'!B45,'EF DAGT'!$A$2:$C$285,3,FALSE),0)</f>
        <v>0</v>
      </c>
      <c r="I45" s="25">
        <f t="shared" si="8"/>
        <v>63.760000000000005</v>
      </c>
      <c r="J45" s="92"/>
      <c r="K45" s="92"/>
      <c r="L45" s="92"/>
      <c r="M45" s="92"/>
      <c r="N45" s="92"/>
      <c r="O45" s="267">
        <f t="shared" si="6"/>
        <v>63.760000000000005</v>
      </c>
      <c r="P45" s="92"/>
      <c r="U45" s="197">
        <f t="shared" si="7"/>
        <v>63.760000000000005</v>
      </c>
      <c r="V45" s="25"/>
      <c r="AA45" s="315">
        <f t="shared" si="3"/>
        <v>0</v>
      </c>
      <c r="AB45" s="315">
        <f t="shared" si="4"/>
        <v>63.760000000000005</v>
      </c>
    </row>
    <row r="46" spans="1:28" x14ac:dyDescent="0.25">
      <c r="A46">
        <v>113</v>
      </c>
      <c r="B46" s="27">
        <v>4600000</v>
      </c>
      <c r="C46" s="27" t="s">
        <v>128</v>
      </c>
      <c r="E46" s="197">
        <f>IFERROR(VLOOKUP('CONSOLIDADO MARZO 2018'!B46,'EF ALPA'!$A$2:$C$561,3,FALSE),0)</f>
        <v>0.55000000000000004</v>
      </c>
      <c r="F46" s="197">
        <f>IFERROR(VLOOKUP(B46,'EF ASGT'!$A$2:$F$492,3,FALSE),0)</f>
        <v>0</v>
      </c>
      <c r="G46" s="197">
        <f>IFERROR(VLOOKUP('CONSOLIDADO MARZO 2018'!B46,'EF ALGT'!$A$2:$C$474,3,FALSE),0)</f>
        <v>0</v>
      </c>
      <c r="H46" s="197">
        <f>IFERROR(VLOOKUP('CONSOLIDADO MARZO 2018'!B46,'EF DAGT'!$A$2:$C$285,3,FALSE),0)</f>
        <v>0</v>
      </c>
      <c r="I46" s="25">
        <f t="shared" si="8"/>
        <v>0.55000000000000004</v>
      </c>
      <c r="J46" s="92"/>
      <c r="K46" s="92"/>
      <c r="L46" s="92"/>
      <c r="M46" s="92"/>
      <c r="N46" s="92"/>
      <c r="O46" s="267">
        <f t="shared" si="6"/>
        <v>0.55000000000000004</v>
      </c>
      <c r="P46" s="92"/>
      <c r="U46" s="197">
        <f t="shared" si="7"/>
        <v>0.55000000000000004</v>
      </c>
      <c r="V46" s="25"/>
      <c r="AA46" s="315">
        <f t="shared" si="3"/>
        <v>0</v>
      </c>
      <c r="AB46" s="315">
        <f t="shared" si="4"/>
        <v>0.55000000000000004</v>
      </c>
    </row>
    <row r="47" spans="1:28" x14ac:dyDescent="0.25">
      <c r="A47">
        <v>113</v>
      </c>
      <c r="B47" s="27">
        <v>4600001</v>
      </c>
      <c r="C47" s="27" t="s">
        <v>36</v>
      </c>
      <c r="E47" s="197">
        <f>IFERROR(VLOOKUP('CONSOLIDADO MARZO 2018'!B47,'EF ALPA'!$A$2:$C$561,3,FALSE),0)</f>
        <v>2000</v>
      </c>
      <c r="F47" s="197">
        <f>IFERROR(VLOOKUP(B47,'EF ASGT'!$A$2:$F$492,3,FALSE),0)</f>
        <v>0</v>
      </c>
      <c r="G47" s="197">
        <f>IFERROR(VLOOKUP('CONSOLIDADO MARZO 2018'!B47,'EF ALGT'!$A$2:$C$474,3,FALSE),0)</f>
        <v>0</v>
      </c>
      <c r="H47" s="197">
        <f>IFERROR(VLOOKUP('CONSOLIDADO MARZO 2018'!B47,'EF DAGT'!$A$2:$C$285,3,FALSE),0)</f>
        <v>0</v>
      </c>
      <c r="I47" s="25">
        <f t="shared" si="8"/>
        <v>2000</v>
      </c>
      <c r="J47" s="92"/>
      <c r="K47" s="92"/>
      <c r="L47" s="92"/>
      <c r="M47" s="92"/>
      <c r="N47" s="92"/>
      <c r="O47" s="267">
        <f t="shared" si="6"/>
        <v>2000</v>
      </c>
      <c r="P47" s="92"/>
      <c r="U47" s="197">
        <f t="shared" si="7"/>
        <v>2000</v>
      </c>
      <c r="V47" s="25"/>
      <c r="AA47" s="315">
        <f t="shared" si="3"/>
        <v>0</v>
      </c>
      <c r="AB47" s="315">
        <f t="shared" si="4"/>
        <v>2000</v>
      </c>
    </row>
    <row r="48" spans="1:28" x14ac:dyDescent="0.25">
      <c r="A48">
        <v>113</v>
      </c>
      <c r="B48" s="27">
        <v>4600012</v>
      </c>
      <c r="C48" s="27" t="s">
        <v>37</v>
      </c>
      <c r="E48" s="197">
        <f>IFERROR(VLOOKUP('CONSOLIDADO MARZO 2018'!B48,'EF ALPA'!$A$2:$C$561,3,FALSE),0)</f>
        <v>2198</v>
      </c>
      <c r="F48" s="197">
        <f>IFERROR(VLOOKUP(B48,'EF ASGT'!$A$2:$F$492,3,FALSE),0)</f>
        <v>0</v>
      </c>
      <c r="G48" s="197">
        <f>IFERROR(VLOOKUP('CONSOLIDADO MARZO 2018'!B48,'EF ALGT'!$A$2:$C$474,3,FALSE),0)</f>
        <v>0</v>
      </c>
      <c r="H48" s="197">
        <f>IFERROR(VLOOKUP('CONSOLIDADO MARZO 2018'!B48,'EF DAGT'!$A$2:$C$285,3,FALSE),0)</f>
        <v>0</v>
      </c>
      <c r="I48" s="25">
        <f t="shared" si="8"/>
        <v>2198</v>
      </c>
      <c r="J48" s="92"/>
      <c r="K48" s="92"/>
      <c r="L48" s="92"/>
      <c r="M48" s="92"/>
      <c r="N48" s="92"/>
      <c r="O48" s="267">
        <f t="shared" si="6"/>
        <v>2198</v>
      </c>
      <c r="P48" s="92"/>
      <c r="U48" s="197">
        <f t="shared" si="7"/>
        <v>2198</v>
      </c>
      <c r="V48" s="25"/>
      <c r="AA48" s="315">
        <f t="shared" si="3"/>
        <v>0</v>
      </c>
      <c r="AB48" s="315">
        <f t="shared" si="4"/>
        <v>2198</v>
      </c>
    </row>
    <row r="49" spans="1:28" x14ac:dyDescent="0.25">
      <c r="A49">
        <v>113</v>
      </c>
      <c r="B49" s="27">
        <v>8</v>
      </c>
      <c r="C49" s="27" t="s">
        <v>35</v>
      </c>
      <c r="E49" s="197">
        <f>IFERROR(VLOOKUP('CONSOLIDADO MARZO 2018'!B49,'EF ALPA'!$A$2:$C$561,3,FALSE),0)</f>
        <v>0</v>
      </c>
      <c r="F49" s="197">
        <f>IFERROR(VLOOKUP(B49,'EF ASGT'!$A$2:$F$492,3,FALSE),0)</f>
        <v>0</v>
      </c>
      <c r="G49" s="197">
        <f>IFERROR(VLOOKUP('CONSOLIDADO MARZO 2018'!B49,'EF ALGT'!$A$2:$C$474,3,FALSE),0)</f>
        <v>0</v>
      </c>
      <c r="H49" s="197">
        <f>IFERROR(VLOOKUP('CONSOLIDADO MARZO 2018'!B49,'EF DAGT'!$A$2:$C$285,3,FALSE),0)</f>
        <v>0</v>
      </c>
      <c r="I49" s="25">
        <f t="shared" si="8"/>
        <v>0</v>
      </c>
      <c r="J49" s="92"/>
      <c r="K49" s="92"/>
      <c r="L49" s="92"/>
      <c r="M49" s="92"/>
      <c r="N49" s="92"/>
      <c r="O49" s="197">
        <f t="shared" si="6"/>
        <v>0</v>
      </c>
      <c r="P49" s="92"/>
      <c r="U49" s="197">
        <f t="shared" si="7"/>
        <v>0</v>
      </c>
      <c r="V49" s="25"/>
      <c r="AA49" s="315">
        <f t="shared" si="3"/>
        <v>0</v>
      </c>
      <c r="AB49" s="315">
        <f t="shared" si="4"/>
        <v>0</v>
      </c>
    </row>
    <row r="50" spans="1:28" x14ac:dyDescent="0.25">
      <c r="A50">
        <v>113</v>
      </c>
      <c r="B50" s="27">
        <v>4800000</v>
      </c>
      <c r="C50" s="27" t="s">
        <v>44</v>
      </c>
      <c r="E50" s="197">
        <f>IFERROR(VLOOKUP('CONSOLIDADO MARZO 2018'!B50,'EF ALPA'!$A$2:$C$561,3,FALSE),0)</f>
        <v>915530.25</v>
      </c>
      <c r="F50" s="197">
        <f>IFERROR(VLOOKUP(B50,'EF ASGT'!$A$2:$F$492,3,FALSE),0)</f>
        <v>40022.019999999997</v>
      </c>
      <c r="G50" s="197">
        <f>IFERROR(VLOOKUP('CONSOLIDADO MARZO 2018'!B50,'EF ALGT'!$A$2:$C$474,3,FALSE),0)</f>
        <v>32035.96</v>
      </c>
      <c r="H50" s="197">
        <f>IFERROR(VLOOKUP('CONSOLIDADO MARZO 2018'!B50,'EF DAGT'!$A$2:$C$285,3,FALSE),0)</f>
        <v>0</v>
      </c>
      <c r="I50" s="25">
        <f t="shared" si="8"/>
        <v>987588.23</v>
      </c>
      <c r="J50" s="92"/>
      <c r="K50" s="278"/>
      <c r="L50" s="92"/>
      <c r="M50" s="92"/>
      <c r="N50" s="92"/>
      <c r="O50" s="267">
        <f t="shared" si="6"/>
        <v>987588.23</v>
      </c>
      <c r="P50" s="92"/>
      <c r="Q50" s="92"/>
      <c r="U50" s="197">
        <f>O50+Q50-T50</f>
        <v>987588.23</v>
      </c>
      <c r="V50" s="25"/>
      <c r="Y50" s="316">
        <f>E50+K50</f>
        <v>915530.25</v>
      </c>
      <c r="AA50" s="315">
        <f t="shared" si="3"/>
        <v>0</v>
      </c>
      <c r="AB50" s="315">
        <f t="shared" si="4"/>
        <v>987588.23</v>
      </c>
    </row>
    <row r="51" spans="1:28" x14ac:dyDescent="0.25">
      <c r="A51">
        <v>113</v>
      </c>
      <c r="B51" s="27">
        <v>5430000</v>
      </c>
      <c r="C51" s="27" t="s">
        <v>45</v>
      </c>
      <c r="E51" s="197">
        <f>IFERROR(VLOOKUP('CONSOLIDADO MARZO 2018'!B51,'EF ALPA'!$A$2:$C$561,3,FALSE),0)</f>
        <v>734643.94</v>
      </c>
      <c r="F51" s="197">
        <f>IFERROR(VLOOKUP(B51,'EF ASGT'!$A$2:$F$492,3,FALSE),0)</f>
        <v>272413.53000000003</v>
      </c>
      <c r="G51" s="233">
        <f>IFERROR(VLOOKUP('CONSOLIDADO MARZO 2018'!B51,'EF ALGT'!$A$2:$C$474,3,FALSE),0)</f>
        <v>0</v>
      </c>
      <c r="H51" s="233">
        <f>IFERROR(VLOOKUP('CONSOLIDADO MARZO 2018'!B51,'EF DAGT'!$A$2:$C$285,3,FALSE),0)</f>
        <v>0</v>
      </c>
      <c r="I51" s="25">
        <f t="shared" si="8"/>
        <v>1007057.47</v>
      </c>
      <c r="J51" s="92"/>
      <c r="K51" s="184"/>
      <c r="N51" s="267"/>
      <c r="O51" s="197">
        <f t="shared" si="6"/>
        <v>1007057.47</v>
      </c>
      <c r="P51" s="92"/>
      <c r="S51" s="87">
        <v>2</v>
      </c>
      <c r="T51" s="267">
        <v>1006176.94</v>
      </c>
      <c r="U51" s="233">
        <f t="shared" si="7"/>
        <v>880.53000000002794</v>
      </c>
      <c r="V51" s="25"/>
      <c r="AA51" s="315">
        <f t="shared" si="3"/>
        <v>0</v>
      </c>
      <c r="AB51" s="315">
        <f t="shared" si="4"/>
        <v>880.53000000002794</v>
      </c>
    </row>
    <row r="52" spans="1:28" x14ac:dyDescent="0.25">
      <c r="A52" s="31">
        <v>113</v>
      </c>
      <c r="B52" s="32">
        <v>5510000</v>
      </c>
      <c r="C52" s="32" t="s">
        <v>46</v>
      </c>
      <c r="D52" s="31"/>
      <c r="E52" s="26">
        <f>IFERROR(VLOOKUP('CONSOLIDADO MARZO 2018'!B52,'EF ALPA'!$A$2:$C$561,3,FALSE),0)</f>
        <v>3430758.14</v>
      </c>
      <c r="F52" s="26">
        <f>IFERROR(VLOOKUP(B52,'EF ASGT'!$A$2:$F$492,3,FALSE),0)</f>
        <v>0</v>
      </c>
      <c r="G52" s="26">
        <v>0</v>
      </c>
      <c r="H52" s="233">
        <f>IFERROR(VLOOKUP('CONSOLIDADO MARZO 2018'!B52,'EF DAGT'!$A$2:$C$285,3,FALSE),0)</f>
        <v>0</v>
      </c>
      <c r="I52" s="26">
        <f t="shared" si="8"/>
        <v>3430758.14</v>
      </c>
      <c r="J52" s="92"/>
      <c r="K52" s="26">
        <v>0</v>
      </c>
      <c r="L52" s="91"/>
      <c r="M52" s="91"/>
      <c r="N52" s="222"/>
      <c r="O52" s="26">
        <f>I52+K52-N52</f>
        <v>3430758.14</v>
      </c>
      <c r="P52" s="92"/>
      <c r="Q52" s="26">
        <v>0</v>
      </c>
      <c r="R52" s="91"/>
      <c r="S52" s="91">
        <v>2</v>
      </c>
      <c r="T52" s="283">
        <v>3430758.14</v>
      </c>
      <c r="U52" s="197">
        <f t="shared" si="7"/>
        <v>0</v>
      </c>
      <c r="V52" s="26"/>
      <c r="W52" s="26">
        <f>U52-V52</f>
        <v>0</v>
      </c>
      <c r="AA52" s="315">
        <f t="shared" si="3"/>
        <v>0</v>
      </c>
      <c r="AB52" s="315">
        <f t="shared" si="4"/>
        <v>0</v>
      </c>
    </row>
    <row r="53" spans="1:28" x14ac:dyDescent="0.25">
      <c r="A53" s="4">
        <v>114</v>
      </c>
      <c r="B53" s="5"/>
      <c r="C53" s="5" t="s">
        <v>47</v>
      </c>
      <c r="D53" s="5"/>
      <c r="E53" s="9">
        <f>SUM(E54:E64)</f>
        <v>3918069.02</v>
      </c>
      <c r="F53" s="9">
        <f>SUM(F54:F64)</f>
        <v>914638.67999999993</v>
      </c>
      <c r="G53" s="9">
        <f>SUM(G54:G64)</f>
        <v>1271416.28</v>
      </c>
      <c r="H53" s="9">
        <f>SUM(H54:H64)</f>
        <v>244027.97</v>
      </c>
      <c r="I53" s="9">
        <f>SUM(I54:I64)</f>
        <v>6348151.9500000002</v>
      </c>
      <c r="J53" s="98"/>
      <c r="K53" s="9">
        <f>SUM(K54:K64)</f>
        <v>0</v>
      </c>
      <c r="L53" s="89"/>
      <c r="M53" s="89"/>
      <c r="N53" s="9">
        <f>SUM(N54:N64)</f>
        <v>0</v>
      </c>
      <c r="O53" s="9">
        <f>I53+K53-N53</f>
        <v>6348151.9500000002</v>
      </c>
      <c r="P53" s="98"/>
      <c r="Q53" s="9">
        <f>SUM(Q54:Q63)</f>
        <v>0</v>
      </c>
      <c r="R53" s="89"/>
      <c r="S53" s="89"/>
      <c r="T53" s="9">
        <f>SUM(T54:T64)</f>
        <v>0</v>
      </c>
      <c r="U53" s="9">
        <f>O53+Q53-T53</f>
        <v>6348151.9500000002</v>
      </c>
      <c r="V53" s="9">
        <v>7045378</v>
      </c>
      <c r="W53" s="9">
        <f>U53-V53</f>
        <v>-697226.04999999981</v>
      </c>
      <c r="AA53" s="315">
        <f t="shared" si="3"/>
        <v>0</v>
      </c>
    </row>
    <row r="54" spans="1:28" x14ac:dyDescent="0.25">
      <c r="A54">
        <v>114</v>
      </c>
      <c r="B54" s="27">
        <v>3100000</v>
      </c>
      <c r="C54" s="27" t="s">
        <v>48</v>
      </c>
      <c r="E54" s="197">
        <f>IFERROR(VLOOKUP('CONSOLIDADO MARZO 2018'!B54,'EF ALPA'!$A$2:$C$561,3,FALSE),0)</f>
        <v>872843.45</v>
      </c>
      <c r="F54" s="197">
        <f>IFERROR(VLOOKUP(B54,'EF ASGT'!$A$2:$F$492,3,FALSE),0)</f>
        <v>161284.9</v>
      </c>
      <c r="G54" s="197">
        <f>IFERROR(VLOOKUP('CONSOLIDADO MARZO 2018'!B54,'EF ALGT'!$A$2:$C$474,3,FALSE),0)</f>
        <v>651873.14</v>
      </c>
      <c r="H54" s="197">
        <f>IFERROR(VLOOKUP('CONSOLIDADO MARZO 2018'!B54,'EF DAGT'!$A$2:$C$285,3,FALSE),0)</f>
        <v>168806.51</v>
      </c>
      <c r="I54" s="25">
        <f t="shared" ref="I54:I64" si="9">SUM(E54:H54)</f>
        <v>1854808</v>
      </c>
      <c r="M54" s="87">
        <v>14</v>
      </c>
      <c r="N54" s="275"/>
      <c r="O54" s="197">
        <f t="shared" ref="O54:O118" si="10">I54+K54-N54</f>
        <v>1854808</v>
      </c>
      <c r="Q54" s="22"/>
      <c r="R54" s="92"/>
      <c r="S54" s="92" t="s">
        <v>474</v>
      </c>
      <c r="T54" s="197"/>
      <c r="U54" s="197">
        <f t="shared" si="7"/>
        <v>1854808</v>
      </c>
      <c r="V54" s="25"/>
      <c r="AA54" s="315">
        <f t="shared" si="3"/>
        <v>0</v>
      </c>
      <c r="AB54" s="315">
        <f t="shared" si="4"/>
        <v>1854808</v>
      </c>
    </row>
    <row r="55" spans="1:28" x14ac:dyDescent="0.25">
      <c r="A55">
        <v>114</v>
      </c>
      <c r="B55" s="27">
        <v>3270000</v>
      </c>
      <c r="C55" s="27" t="s">
        <v>49</v>
      </c>
      <c r="E55" s="197">
        <f>IFERROR(VLOOKUP('CONSOLIDADO MARZO 2018'!B55,'EF ALPA'!$A$2:$C$561,3,FALSE),0)</f>
        <v>171523.64</v>
      </c>
      <c r="F55" s="197">
        <f>IFERROR(VLOOKUP(B55,'EF ASGT'!$A$2:$F$492,3,FALSE),0)</f>
        <v>40455.9</v>
      </c>
      <c r="G55" s="197">
        <f>IFERROR(VLOOKUP('CONSOLIDADO MARZO 2018'!B55,'EF ALGT'!$A$2:$C$474,3,FALSE),0)</f>
        <v>385505.42</v>
      </c>
      <c r="H55" s="197">
        <f>IFERROR(VLOOKUP('CONSOLIDADO MARZO 2018'!B55,'EF DAGT'!$A$2:$C$285,3,FALSE),0)</f>
        <v>27635.65</v>
      </c>
      <c r="I55" s="25">
        <f t="shared" si="9"/>
        <v>625120.61</v>
      </c>
      <c r="O55" s="197">
        <f t="shared" si="10"/>
        <v>625120.61</v>
      </c>
      <c r="Q55" s="22"/>
      <c r="R55" s="92"/>
      <c r="S55" s="92"/>
      <c r="T55" s="268"/>
      <c r="U55" s="197">
        <f t="shared" si="7"/>
        <v>625120.61</v>
      </c>
      <c r="V55" s="25"/>
      <c r="X55" s="36"/>
      <c r="Y55" s="36"/>
      <c r="Z55" s="36"/>
      <c r="AA55" s="315">
        <f t="shared" si="3"/>
        <v>0</v>
      </c>
      <c r="AB55" s="315">
        <f t="shared" si="4"/>
        <v>625120.61</v>
      </c>
    </row>
    <row r="56" spans="1:28" x14ac:dyDescent="0.25">
      <c r="A56">
        <v>114</v>
      </c>
      <c r="B56" s="27">
        <v>3500000</v>
      </c>
      <c r="C56" s="27" t="s">
        <v>50</v>
      </c>
      <c r="E56" s="197">
        <f>IFERROR(VLOOKUP('CONSOLIDADO MARZO 2018'!B56,'EF ALPA'!$A$2:$C$561,3,FALSE),0)</f>
        <v>2369329.25</v>
      </c>
      <c r="F56" s="197">
        <f>IFERROR(VLOOKUP(B56,'EF ASGT'!$A$2:$F$492,3,FALSE),0)</f>
        <v>508430.64</v>
      </c>
      <c r="G56" s="197">
        <f>IFERROR(VLOOKUP('CONSOLIDADO MARZO 2018'!B56,'EF ALGT'!$A$2:$C$474,3,FALSE),0)</f>
        <v>126342.17</v>
      </c>
      <c r="H56" s="197">
        <f>IFERROR(VLOOKUP('CONSOLIDADO MARZO 2018'!B56,'EF DAGT'!$A$2:$C$285,3,FALSE),0)</f>
        <v>0</v>
      </c>
      <c r="I56" s="25">
        <f t="shared" si="9"/>
        <v>3004102.06</v>
      </c>
      <c r="J56" s="87" t="s">
        <v>475</v>
      </c>
      <c r="O56" s="197">
        <f t="shared" si="10"/>
        <v>3004102.06</v>
      </c>
      <c r="Q56" s="274"/>
      <c r="R56" s="92"/>
      <c r="S56" s="92">
        <v>18</v>
      </c>
      <c r="T56" s="269"/>
      <c r="U56" s="197">
        <f t="shared" si="7"/>
        <v>3004102.06</v>
      </c>
      <c r="V56" s="25"/>
      <c r="X56" s="260">
        <f>Q56-T56</f>
        <v>0</v>
      </c>
      <c r="Y56" s="33">
        <f>E56+X56</f>
        <v>2369329.25</v>
      </c>
      <c r="Z56" s="36">
        <v>2352554.4300000002</v>
      </c>
      <c r="AA56" s="315">
        <f t="shared" si="3"/>
        <v>0</v>
      </c>
      <c r="AB56" s="315">
        <f t="shared" si="4"/>
        <v>3004102.06</v>
      </c>
    </row>
    <row r="57" spans="1:28" x14ac:dyDescent="0.25">
      <c r="A57">
        <v>115</v>
      </c>
      <c r="B57" s="27">
        <v>3700000</v>
      </c>
      <c r="C57" s="27" t="s">
        <v>51</v>
      </c>
      <c r="E57" s="197">
        <f>IFERROR(VLOOKUP('CONSOLIDADO MARZO 2018'!B57,'EF ALPA'!$A$2:$C$561,3,FALSE),0)</f>
        <v>567433.71</v>
      </c>
      <c r="F57" s="197">
        <f>IFERROR(VLOOKUP(B57,'EF ASGT'!$A$2:$F$492,3,FALSE),0)</f>
        <v>0</v>
      </c>
      <c r="G57" s="197">
        <f>IFERROR(VLOOKUP('CONSOLIDADO MARZO 2018'!B57,'EF ALGT'!$A$2:$C$474,3,FALSE),0)</f>
        <v>73680.61</v>
      </c>
      <c r="H57" s="197">
        <f>IFERROR(VLOOKUP('CONSOLIDADO MARZO 2018'!B57,'EF DAGT'!$A$2:$C$285,3,FALSE),0)</f>
        <v>38814.080000000002</v>
      </c>
      <c r="I57" s="25">
        <f t="shared" si="9"/>
        <v>679928.39999999991</v>
      </c>
      <c r="O57" s="197">
        <f t="shared" si="10"/>
        <v>679928.39999999991</v>
      </c>
      <c r="U57" s="197">
        <f t="shared" si="7"/>
        <v>679928.39999999991</v>
      </c>
      <c r="V57" s="25"/>
      <c r="X57" s="36"/>
      <c r="Y57" s="33"/>
      <c r="Z57" s="351">
        <f>Y56-Z56</f>
        <v>16774.819999999832</v>
      </c>
      <c r="AA57" s="315">
        <f t="shared" si="3"/>
        <v>0</v>
      </c>
      <c r="AB57" s="315">
        <f t="shared" si="4"/>
        <v>679928.39999999991</v>
      </c>
    </row>
    <row r="58" spans="1:28" x14ac:dyDescent="0.25">
      <c r="A58">
        <v>115</v>
      </c>
      <c r="B58" s="27">
        <v>3700009</v>
      </c>
      <c r="C58" s="27" t="s">
        <v>120</v>
      </c>
      <c r="E58" s="197">
        <f>IFERROR(VLOOKUP('CONSOLIDADO MARZO 2018'!B58,'EF ALPA'!$A$2:$C$561,3,FALSE),0)</f>
        <v>0</v>
      </c>
      <c r="F58" s="197">
        <f>IFERROR(VLOOKUP(B58,'EF ASGT'!$A$2:$F$492,3,FALSE),0)</f>
        <v>0</v>
      </c>
      <c r="G58" s="197">
        <f>IFERROR(VLOOKUP('CONSOLIDADO MARZO 2018'!B58,'EF ALGT'!$A$2:$C$474,3,FALSE),0)</f>
        <v>0</v>
      </c>
      <c r="H58" s="197">
        <f>IFERROR(VLOOKUP('CONSOLIDADO MARZO 2018'!B58,'EF DAGT'!$A$2:$C$285,3,FALSE),0)</f>
        <v>0</v>
      </c>
      <c r="I58" s="25">
        <f t="shared" si="9"/>
        <v>0</v>
      </c>
      <c r="O58" s="197">
        <f t="shared" si="10"/>
        <v>0</v>
      </c>
      <c r="U58" s="197">
        <f t="shared" si="7"/>
        <v>0</v>
      </c>
      <c r="V58" s="25"/>
      <c r="X58" s="36"/>
      <c r="Y58" s="33"/>
      <c r="Z58" s="36"/>
      <c r="AA58" s="315">
        <f t="shared" si="3"/>
        <v>0</v>
      </c>
    </row>
    <row r="59" spans="1:28" x14ac:dyDescent="0.25">
      <c r="A59">
        <v>115</v>
      </c>
      <c r="B59" s="27">
        <v>3350000</v>
      </c>
      <c r="C59" s="27" t="s">
        <v>130</v>
      </c>
      <c r="E59" s="197">
        <f>IFERROR(VLOOKUP('CONSOLIDADO MARZO 2018'!B59,'EF ALPA'!$A$2:$C$561,3,FALSE),0)</f>
        <v>0</v>
      </c>
      <c r="F59" s="197">
        <f>IFERROR(VLOOKUP(B59,'EF ASGT'!$A$2:$F$492,3,FALSE),0)</f>
        <v>-1168.5</v>
      </c>
      <c r="G59" s="197">
        <f>IFERROR(VLOOKUP('CONSOLIDADO MARZO 2018'!B59,'EF ALGT'!$A$2:$C$474,3,FALSE),0)</f>
        <v>0</v>
      </c>
      <c r="H59" s="197">
        <f>IFERROR(VLOOKUP('CONSOLIDADO MARZO 2018'!B59,'EF DAGT'!$A$2:$C$285,3,FALSE),0)</f>
        <v>0</v>
      </c>
      <c r="I59" s="25">
        <f t="shared" si="9"/>
        <v>-1168.5</v>
      </c>
      <c r="O59" s="197">
        <f t="shared" si="10"/>
        <v>-1168.5</v>
      </c>
      <c r="U59" s="197">
        <f t="shared" si="7"/>
        <v>-1168.5</v>
      </c>
      <c r="V59" s="25"/>
      <c r="X59" s="36"/>
      <c r="Y59" s="33"/>
      <c r="Z59" s="36"/>
      <c r="AA59" s="315">
        <f t="shared" si="3"/>
        <v>0</v>
      </c>
      <c r="AB59" s="315">
        <f t="shared" si="4"/>
        <v>-1168.5</v>
      </c>
    </row>
    <row r="60" spans="1:28" x14ac:dyDescent="0.25">
      <c r="A60">
        <v>117</v>
      </c>
      <c r="B60" s="27">
        <v>3500001</v>
      </c>
      <c r="C60" s="27" t="s">
        <v>52</v>
      </c>
      <c r="E60" s="197">
        <f>IFERROR(VLOOKUP('CONSOLIDADO MARZO 2018'!B60,'EF ALPA'!$A$2:$C$561,3,FALSE),0)</f>
        <v>-236891.75</v>
      </c>
      <c r="F60" s="197">
        <f>IFERROR(VLOOKUP(B60,'EF ASGT'!$A$2:$F$492,3,FALSE),0)</f>
        <v>193207.95</v>
      </c>
      <c r="G60" s="197">
        <f>IFERROR(VLOOKUP('CONSOLIDADO MARZO 2018'!B60,'EF ALGT'!$A$2:$C$474,3,FALSE),0)</f>
        <v>34446.54</v>
      </c>
      <c r="H60" s="197">
        <f>IFERROR(VLOOKUP('CONSOLIDADO MARZO 2018'!B60,'EF DAGT'!$A$2:$C$285,3,FALSE),0)</f>
        <v>9237.26</v>
      </c>
      <c r="I60" s="25">
        <f t="shared" si="9"/>
        <v>0</v>
      </c>
      <c r="O60" s="197">
        <f t="shared" si="10"/>
        <v>0</v>
      </c>
      <c r="Q60" s="187"/>
      <c r="S60" s="87" t="s">
        <v>476</v>
      </c>
      <c r="T60" s="275"/>
      <c r="U60" s="197">
        <f t="shared" si="7"/>
        <v>0</v>
      </c>
      <c r="V60" s="25"/>
      <c r="X60" s="351">
        <f>T60-E60</f>
        <v>236891.75</v>
      </c>
      <c r="Y60" s="33"/>
      <c r="Z60" s="36"/>
      <c r="AA60" s="315">
        <f t="shared" si="3"/>
        <v>0</v>
      </c>
      <c r="AB60" s="315">
        <f t="shared" si="4"/>
        <v>0</v>
      </c>
    </row>
    <row r="61" spans="1:28" x14ac:dyDescent="0.25">
      <c r="A61">
        <v>118</v>
      </c>
      <c r="B61" s="27">
        <v>3900000</v>
      </c>
      <c r="C61" s="27" t="s">
        <v>131</v>
      </c>
      <c r="E61" s="197">
        <f>IFERROR(VLOOKUP('CONSOLIDADO MARZO 2018'!B61,'EF ALPA'!$A$2:$C$561,3,FALSE),0)</f>
        <v>173830.72</v>
      </c>
      <c r="F61" s="197">
        <f>IFERROR(VLOOKUP(B61,'EF ASGT'!$A$2:$F$492,3,FALSE),0)</f>
        <v>12427.79</v>
      </c>
      <c r="G61" s="197">
        <f>IFERROR(VLOOKUP('CONSOLIDADO MARZO 2018'!B61,'EF ALGT'!$A$2:$C$474,3,FALSE),0)</f>
        <v>-431.6</v>
      </c>
      <c r="H61" s="197">
        <f>IFERROR(VLOOKUP('CONSOLIDADO MARZO 2018'!B61,'EF DAGT'!$A$2:$C$285,3,FALSE),0)</f>
        <v>-465.53</v>
      </c>
      <c r="I61" s="25">
        <f t="shared" si="9"/>
        <v>185361.38</v>
      </c>
      <c r="O61" s="197">
        <f t="shared" si="10"/>
        <v>185361.38</v>
      </c>
      <c r="T61" s="197"/>
      <c r="U61" s="197">
        <f t="shared" si="7"/>
        <v>185361.38</v>
      </c>
      <c r="V61" s="25"/>
      <c r="X61" s="36"/>
      <c r="Y61" s="33"/>
      <c r="Z61" s="36"/>
      <c r="AA61" s="315">
        <f t="shared" si="3"/>
        <v>0</v>
      </c>
      <c r="AB61" s="315">
        <f t="shared" si="4"/>
        <v>185361.38</v>
      </c>
    </row>
    <row r="62" spans="1:28" s="184" customFormat="1" x14ac:dyDescent="0.25">
      <c r="B62" s="259"/>
      <c r="C62" s="259"/>
      <c r="E62" s="197">
        <f>IFERROR(VLOOKUP('CONSOLIDADO MARZO 2018'!B62,'EF ALPA'!$A$2:$C$561,3,FALSE),0)</f>
        <v>0</v>
      </c>
      <c r="F62" s="197">
        <f>IFERROR(VLOOKUP(B62,'EF ASGT'!$A$2:$F$77,3,FALSE),0)</f>
        <v>0</v>
      </c>
      <c r="G62" s="197">
        <f>IFERROR(VLOOKUP('CONSOLIDADO MARZO 2018'!B62,'EF ALGT'!$A$2:$C$474,3,FALSE),0)</f>
        <v>0</v>
      </c>
      <c r="H62" s="197">
        <v>0</v>
      </c>
      <c r="I62" s="197">
        <f t="shared" si="9"/>
        <v>0</v>
      </c>
      <c r="J62" s="87"/>
      <c r="K62" s="87"/>
      <c r="L62" s="87"/>
      <c r="M62" s="87"/>
      <c r="N62" s="87"/>
      <c r="O62" s="197">
        <f t="shared" si="10"/>
        <v>0</v>
      </c>
      <c r="P62" s="87"/>
      <c r="R62" s="87"/>
      <c r="S62" s="87"/>
      <c r="T62" s="197"/>
      <c r="U62" s="197">
        <f t="shared" si="7"/>
        <v>0</v>
      </c>
      <c r="V62" s="197"/>
      <c r="X62" s="36"/>
      <c r="Y62" s="33"/>
      <c r="Z62" s="36"/>
      <c r="AA62" s="315">
        <f t="shared" si="3"/>
        <v>0</v>
      </c>
      <c r="AB62" s="315">
        <f t="shared" si="4"/>
        <v>0</v>
      </c>
    </row>
    <row r="63" spans="1:28" s="184" customFormat="1" x14ac:dyDescent="0.25">
      <c r="B63" s="259"/>
      <c r="C63" s="259"/>
      <c r="E63" s="197">
        <f>IFERROR(VLOOKUP('CONSOLIDADO MARZO 2018'!B63,'EF ALPA'!$A$2:$C$561,3,FALSE),0)</f>
        <v>0</v>
      </c>
      <c r="F63" s="197">
        <f>IFERROR(VLOOKUP(B63,'EF ASGT'!$A$2:$F$77,3,FALSE),0)</f>
        <v>0</v>
      </c>
      <c r="G63" s="197">
        <f>IFERROR(VLOOKUP('CONSOLIDADO MARZO 2018'!B63,'EF ALGT'!$A$2:$C$474,3,FALSE),0)</f>
        <v>0</v>
      </c>
      <c r="H63" s="197">
        <v>0</v>
      </c>
      <c r="I63" s="197">
        <f t="shared" si="9"/>
        <v>0</v>
      </c>
      <c r="J63" s="87"/>
      <c r="K63" s="87"/>
      <c r="L63" s="87"/>
      <c r="M63" s="87"/>
      <c r="N63" s="87"/>
      <c r="O63" s="197">
        <f t="shared" si="10"/>
        <v>0</v>
      </c>
      <c r="P63" s="87"/>
      <c r="R63" s="87"/>
      <c r="S63" s="87"/>
      <c r="T63" s="197"/>
      <c r="U63" s="197">
        <f t="shared" si="7"/>
        <v>0</v>
      </c>
      <c r="V63" s="197"/>
      <c r="X63" s="36"/>
      <c r="Y63" s="33"/>
      <c r="Z63" s="36"/>
      <c r="AA63" s="315">
        <f t="shared" si="3"/>
        <v>0</v>
      </c>
      <c r="AB63" s="315"/>
    </row>
    <row r="64" spans="1:28" s="184" customFormat="1" x14ac:dyDescent="0.25">
      <c r="A64" s="4"/>
      <c r="B64" s="5"/>
      <c r="C64" s="5" t="s">
        <v>495</v>
      </c>
      <c r="D64" s="5"/>
      <c r="E64" s="9">
        <v>0</v>
      </c>
      <c r="F64" s="9">
        <v>0</v>
      </c>
      <c r="G64" s="9">
        <v>0</v>
      </c>
      <c r="H64" s="9">
        <v>0</v>
      </c>
      <c r="I64" s="9">
        <f t="shared" si="9"/>
        <v>0</v>
      </c>
      <c r="J64" s="89" t="s">
        <v>475</v>
      </c>
      <c r="K64" s="89"/>
      <c r="L64" s="89"/>
      <c r="M64" s="89"/>
      <c r="N64" s="89"/>
      <c r="O64" s="89">
        <f t="shared" si="10"/>
        <v>0</v>
      </c>
      <c r="P64" s="89"/>
      <c r="Q64" s="9"/>
      <c r="R64" s="89"/>
      <c r="S64" s="89">
        <v>18</v>
      </c>
      <c r="T64" s="9"/>
      <c r="U64" s="9">
        <f>Q64-T64</f>
        <v>0</v>
      </c>
      <c r="V64" s="9">
        <v>-697226</v>
      </c>
      <c r="W64" s="9">
        <f>U64-V64</f>
        <v>697226</v>
      </c>
      <c r="X64" s="271">
        <f>+Q64-T64</f>
        <v>0</v>
      </c>
      <c r="Y64" s="33">
        <v>612225</v>
      </c>
      <c r="Z64" s="36"/>
      <c r="AA64" s="315">
        <f t="shared" si="3"/>
        <v>0</v>
      </c>
      <c r="AB64" s="315"/>
    </row>
    <row r="65" spans="1:28" x14ac:dyDescent="0.25">
      <c r="A65" s="4">
        <v>119</v>
      </c>
      <c r="B65" s="5"/>
      <c r="C65" s="8" t="s">
        <v>53</v>
      </c>
      <c r="D65" s="8"/>
      <c r="E65" s="13">
        <f>+E66</f>
        <v>142519.17000000001</v>
      </c>
      <c r="F65" s="13">
        <f>+F66</f>
        <v>917.14</v>
      </c>
      <c r="G65" s="13">
        <f>+G66</f>
        <v>6682.02</v>
      </c>
      <c r="H65" s="13">
        <f>+H66</f>
        <v>0</v>
      </c>
      <c r="I65" s="13">
        <f>+I66</f>
        <v>150118.33000000002</v>
      </c>
      <c r="J65" s="95"/>
      <c r="K65" s="95"/>
      <c r="L65" s="95"/>
      <c r="M65" s="95"/>
      <c r="N65" s="95"/>
      <c r="O65" s="95">
        <f>I65+K65-N65</f>
        <v>150118.33000000002</v>
      </c>
      <c r="P65" s="95"/>
      <c r="Q65" s="13">
        <f>SUM(Q66)</f>
        <v>0</v>
      </c>
      <c r="R65" s="95"/>
      <c r="S65" s="95"/>
      <c r="T65" s="13">
        <f>SUM(T66)</f>
        <v>150118.33000000002</v>
      </c>
      <c r="U65" s="13">
        <f>+O65+Q65-T65</f>
        <v>0</v>
      </c>
      <c r="V65" s="9"/>
      <c r="W65" s="9">
        <f>U65-V65</f>
        <v>0</v>
      </c>
      <c r="Y65" s="184"/>
      <c r="AA65" s="315">
        <f t="shared" si="3"/>
        <v>0</v>
      </c>
    </row>
    <row r="66" spans="1:28" x14ac:dyDescent="0.25">
      <c r="A66">
        <v>113</v>
      </c>
      <c r="B66" s="27">
        <v>1603002</v>
      </c>
      <c r="C66" s="27" t="s">
        <v>54</v>
      </c>
      <c r="E66" s="197">
        <f>IFERROR(VLOOKUP('CONSOLIDADO MARZO 2018'!B66,'EF ALPA'!$A$2:$C$561,3,FALSE),0)</f>
        <v>142519.17000000001</v>
      </c>
      <c r="F66" s="197">
        <f>IFERROR(VLOOKUP(B66,'EF ASGT'!$A$2:$F$492,3,FALSE),0)</f>
        <v>917.14</v>
      </c>
      <c r="G66" s="197">
        <f>IFERROR(VLOOKUP('CONSOLIDADO MARZO 2018'!B66,'EF ALGT'!$A$2:$C$474,3,FALSE),0)</f>
        <v>6682.02</v>
      </c>
      <c r="H66" s="197">
        <f>IFERROR(VLOOKUP('CONSOLIDADO MARZO 2018'!B66,'EF DAGT'!$A$2:$C$285,3,FALSE),0)</f>
        <v>0</v>
      </c>
      <c r="I66" s="25">
        <f>SUM(E66:H66)</f>
        <v>150118.33000000002</v>
      </c>
      <c r="O66" s="197">
        <f t="shared" si="10"/>
        <v>150118.33000000002</v>
      </c>
      <c r="S66" s="87">
        <v>3</v>
      </c>
      <c r="T66" s="267">
        <f>'PARTIDAS Elimina. ajsut, y recl'!I51+'PARTIDAS Elimina. ajsut, y recl'!I52+'PARTIDAS Elimina. ajsut, y recl'!I53+'PARTIDAS Elimina. ajsut, y recl'!I54</f>
        <v>150118.33000000002</v>
      </c>
      <c r="U66" s="197">
        <f t="shared" si="7"/>
        <v>0</v>
      </c>
      <c r="V66" s="25"/>
      <c r="W66" s="22"/>
      <c r="AA66" s="315">
        <f t="shared" si="3"/>
        <v>0</v>
      </c>
      <c r="AB66" s="315">
        <f t="shared" si="4"/>
        <v>0</v>
      </c>
    </row>
    <row r="67" spans="1:28" x14ac:dyDescent="0.25">
      <c r="A67" s="4">
        <v>121</v>
      </c>
      <c r="B67" s="5"/>
      <c r="C67" s="5" t="s">
        <v>55</v>
      </c>
      <c r="D67" s="5"/>
      <c r="E67" s="9">
        <f>SUM(E68:E78)</f>
        <v>1305141.5200000003</v>
      </c>
      <c r="F67" s="9">
        <f>SUM(F68:F78)</f>
        <v>254659.17999999996</v>
      </c>
      <c r="G67" s="9">
        <f>SUM(G68:G78)</f>
        <v>3501935.25</v>
      </c>
      <c r="H67" s="9">
        <f>SUM(H68:H78)</f>
        <v>0</v>
      </c>
      <c r="I67" s="9">
        <f>SUM(I68:I78)</f>
        <v>5061735.95</v>
      </c>
      <c r="J67" s="98"/>
      <c r="K67" s="98">
        <f>SUM(K68:K78)</f>
        <v>333133.32</v>
      </c>
      <c r="L67" s="98"/>
      <c r="M67" s="98"/>
      <c r="N67" s="98">
        <f>SUM(N68:N78)</f>
        <v>53743.16</v>
      </c>
      <c r="O67" s="98">
        <f>I67+K67-N67</f>
        <v>5341126.1100000003</v>
      </c>
      <c r="P67" s="98"/>
      <c r="Q67" s="9">
        <f>SUM(Q68:Q78)</f>
        <v>5289.52</v>
      </c>
      <c r="R67" s="89"/>
      <c r="S67" s="89"/>
      <c r="T67" s="9">
        <f>SUM(T68:T78)</f>
        <v>20626</v>
      </c>
      <c r="U67" s="9">
        <f>+O67+Q67-T67</f>
        <v>5325789.63</v>
      </c>
      <c r="V67" s="9">
        <v>5325790</v>
      </c>
      <c r="W67" s="9">
        <f>U67-V67</f>
        <v>-0.37000000011175871</v>
      </c>
    </row>
    <row r="68" spans="1:28" x14ac:dyDescent="0.25">
      <c r="A68">
        <v>121</v>
      </c>
      <c r="B68" s="27">
        <v>2160001</v>
      </c>
      <c r="C68" s="27" t="s">
        <v>56</v>
      </c>
      <c r="E68" s="197">
        <f>IFERROR(VLOOKUP('CONSOLIDADO MARZO 2018'!B68,'EF ALPA'!$A$2:$C$561,3,FALSE),0)</f>
        <v>34723.39</v>
      </c>
      <c r="F68" s="197">
        <f>IFERROR(VLOOKUP(B68,'EF ASGT'!$A$2:$F$492,3,FALSE),0)</f>
        <v>134217.93</v>
      </c>
      <c r="G68" s="197">
        <f>IFERROR(VLOOKUP('CONSOLIDADO MARZO 2018'!B68,'EF ALGT'!$A$2:$C$474,3,FALSE),0)</f>
        <v>590798.05000000005</v>
      </c>
      <c r="H68" s="197">
        <f>IFERROR(VLOOKUP('CONSOLIDADO MARZO 2018'!B68,'EF DAGT'!$A$2:$C$285,3,FALSE),0)</f>
        <v>0</v>
      </c>
      <c r="I68" s="25">
        <f t="shared" ref="I68:I78" si="11">SUM(E68:H68)</f>
        <v>759739.37000000011</v>
      </c>
      <c r="O68" s="197">
        <f t="shared" si="10"/>
        <v>759739.37000000011</v>
      </c>
      <c r="U68" s="197">
        <f t="shared" si="7"/>
        <v>759739.37000000011</v>
      </c>
      <c r="V68" s="25"/>
      <c r="AA68" s="315">
        <f t="shared" si="3"/>
        <v>0</v>
      </c>
      <c r="AB68" s="315">
        <f t="shared" si="4"/>
        <v>759739.37000000011</v>
      </c>
    </row>
    <row r="69" spans="1:28" x14ac:dyDescent="0.25">
      <c r="A69">
        <v>121</v>
      </c>
      <c r="B69" s="27">
        <v>2170001</v>
      </c>
      <c r="C69" s="27" t="s">
        <v>57</v>
      </c>
      <c r="E69" s="197">
        <f>IFERROR(VLOOKUP('CONSOLIDADO MARZO 2018'!B69,'EF ALPA'!$A$2:$C$561,3,FALSE),0)</f>
        <v>25692.19</v>
      </c>
      <c r="F69" s="197">
        <f>IFERROR(VLOOKUP(B69,'EF ASGT'!$A$2:$F$492,3,FALSE),0)</f>
        <v>85343.54</v>
      </c>
      <c r="G69" s="197">
        <f>IFERROR(VLOOKUP('CONSOLIDADO MARZO 2018'!B69,'EF ALGT'!$A$2:$C$474,3,FALSE),0)</f>
        <v>112497.65</v>
      </c>
      <c r="H69" s="197">
        <f>IFERROR(VLOOKUP('CONSOLIDADO MARZO 2018'!B69,'EF DAGT'!$A$2:$C$285,3,FALSE),0)</f>
        <v>0</v>
      </c>
      <c r="I69" s="25">
        <f t="shared" si="11"/>
        <v>223533.38</v>
      </c>
      <c r="J69" s="87">
        <v>6</v>
      </c>
      <c r="K69" s="275">
        <f>'PARTIDAS Elimina. ajsut, y recl'!F81</f>
        <v>17468</v>
      </c>
      <c r="O69" s="197">
        <f t="shared" si="10"/>
        <v>241001.38</v>
      </c>
      <c r="Q69" s="197"/>
      <c r="R69" s="92"/>
      <c r="S69" s="92"/>
      <c r="T69" s="275">
        <v>2763</v>
      </c>
      <c r="U69" s="197">
        <f t="shared" si="7"/>
        <v>238238.38</v>
      </c>
      <c r="V69" s="197"/>
      <c r="AA69" s="315">
        <f t="shared" si="3"/>
        <v>-17468</v>
      </c>
      <c r="AB69" s="315">
        <f t="shared" si="4"/>
        <v>255706.38</v>
      </c>
    </row>
    <row r="70" spans="1:28" x14ac:dyDescent="0.25">
      <c r="A70">
        <v>122</v>
      </c>
      <c r="B70" s="27">
        <v>2180001</v>
      </c>
      <c r="C70" s="27" t="s">
        <v>58</v>
      </c>
      <c r="E70" s="197">
        <f>IFERROR(VLOOKUP('CONSOLIDADO MARZO 2018'!B70,'EF ALPA'!$A$2:$C$561,3,FALSE),0)</f>
        <v>87500.01</v>
      </c>
      <c r="F70" s="197">
        <f>IFERROR(VLOOKUP(B70,'EF ASGT'!$A$2:$F$492,3,FALSE),0)</f>
        <v>35097.71</v>
      </c>
      <c r="G70" s="197">
        <f>IFERROR(VLOOKUP('CONSOLIDADO MARZO 2018'!B70,'EF ALGT'!$A$2:$C$474,3,FALSE),0)</f>
        <v>1.74</v>
      </c>
      <c r="H70" s="197">
        <f>IFERROR(VLOOKUP('CONSOLIDADO MARZO 2018'!B70,'EF DAGT'!$A$2:$C$285,3,FALSE),0)</f>
        <v>0</v>
      </c>
      <c r="I70" s="25">
        <f t="shared" si="11"/>
        <v>122599.46</v>
      </c>
      <c r="J70" s="87">
        <v>4</v>
      </c>
      <c r="O70" s="197">
        <f t="shared" si="10"/>
        <v>122599.46</v>
      </c>
      <c r="Q70" s="197"/>
      <c r="R70" s="92"/>
      <c r="S70" s="92"/>
      <c r="T70" s="197"/>
      <c r="U70" s="197">
        <f t="shared" si="7"/>
        <v>122599.46</v>
      </c>
      <c r="V70" s="197"/>
      <c r="AA70" s="315">
        <f t="shared" si="3"/>
        <v>0</v>
      </c>
      <c r="AB70" s="315">
        <f t="shared" si="4"/>
        <v>122599.46</v>
      </c>
    </row>
    <row r="71" spans="1:28" x14ac:dyDescent="0.25">
      <c r="A71">
        <v>123</v>
      </c>
      <c r="B71" s="27">
        <v>2100001</v>
      </c>
      <c r="C71" s="27" t="s">
        <v>59</v>
      </c>
      <c r="E71" s="197">
        <f>IFERROR(VLOOKUP('CONSOLIDADO MARZO 2018'!B71,'EF ALPA'!$A$2:$C$561,3,FALSE),0)</f>
        <v>186013.07</v>
      </c>
      <c r="F71" s="197">
        <f>IFERROR(VLOOKUP(B71,'EF ASGT'!$A$2:$F$492,3,FALSE),0)</f>
        <v>0</v>
      </c>
      <c r="G71" s="197">
        <f>IFERROR(VLOOKUP('CONSOLIDADO MARZO 2018'!B71,'EF ALGT'!$A$2:$C$474,3,FALSE),0)</f>
        <v>0</v>
      </c>
      <c r="H71" s="197">
        <f>IFERROR(VLOOKUP('CONSOLIDADO MARZO 2018'!B71,'EF DAGT'!$A$2:$C$285,3,FALSE),0)</f>
        <v>0</v>
      </c>
      <c r="I71" s="25">
        <f t="shared" si="11"/>
        <v>186013.07</v>
      </c>
      <c r="O71" s="197">
        <f t="shared" si="10"/>
        <v>186013.07</v>
      </c>
      <c r="Q71" s="197"/>
      <c r="R71" s="92"/>
      <c r="S71" s="92"/>
      <c r="T71" s="22"/>
      <c r="U71" s="197">
        <f t="shared" si="7"/>
        <v>186013.07</v>
      </c>
      <c r="V71" s="197"/>
      <c r="AA71" s="315">
        <f t="shared" si="3"/>
        <v>0</v>
      </c>
      <c r="AB71" s="315">
        <f t="shared" si="4"/>
        <v>186013.07</v>
      </c>
    </row>
    <row r="72" spans="1:28" x14ac:dyDescent="0.25">
      <c r="A72">
        <v>124</v>
      </c>
      <c r="B72" s="27">
        <v>2130001</v>
      </c>
      <c r="C72" s="27" t="s">
        <v>60</v>
      </c>
      <c r="E72" s="197">
        <f>IFERROR(VLOOKUP('CONSOLIDADO MARZO 2018'!B72,'EF ALPA'!$A$2:$C$561,3,FALSE),0)</f>
        <v>0</v>
      </c>
      <c r="F72" s="197">
        <f>IFERROR(VLOOKUP(B72,'EF ASGT'!$A$2:$F$492,3,FALSE),0)</f>
        <v>0</v>
      </c>
      <c r="G72" s="197">
        <f>IFERROR(VLOOKUP('CONSOLIDADO MARZO 2018'!B72,'EF ALGT'!$A$2:$C$474,3,FALSE),0)</f>
        <v>2087966</v>
      </c>
      <c r="H72" s="197">
        <f>IFERROR(VLOOKUP('CONSOLIDADO MARZO 2018'!B72,'EF DAGT'!$A$2:$C$285,3,FALSE),0)</f>
        <v>0</v>
      </c>
      <c r="I72" s="25">
        <f t="shared" si="11"/>
        <v>2087966</v>
      </c>
      <c r="J72" s="87">
        <v>6</v>
      </c>
      <c r="K72" s="275">
        <f>'PARTIDAS Elimina. ajsut, y recl'!F80</f>
        <v>141130.45000000001</v>
      </c>
      <c r="O72" s="197">
        <f t="shared" si="10"/>
        <v>2229096.4500000002</v>
      </c>
      <c r="Q72" s="275"/>
      <c r="R72" s="92"/>
      <c r="S72" s="92"/>
      <c r="T72" s="275">
        <v>17863</v>
      </c>
      <c r="U72" s="197">
        <f t="shared" si="7"/>
        <v>2211233.4500000002</v>
      </c>
      <c r="V72" s="197"/>
      <c r="AA72" s="315">
        <f t="shared" si="3"/>
        <v>-141130.45000000019</v>
      </c>
      <c r="AB72" s="315">
        <f t="shared" si="4"/>
        <v>2352363.9000000004</v>
      </c>
    </row>
    <row r="73" spans="1:28" x14ac:dyDescent="0.25">
      <c r="A73">
        <v>124</v>
      </c>
      <c r="B73" s="27">
        <v>2130002</v>
      </c>
      <c r="C73" s="27" t="s">
        <v>134</v>
      </c>
      <c r="E73" s="197">
        <f>IFERROR(VLOOKUP('CONSOLIDADO MARZO 2018'!B73,'EF ALPA'!$A$2:$C$561,3,FALSE),0)</f>
        <v>0</v>
      </c>
      <c r="F73" s="197">
        <f>IFERROR(VLOOKUP(B73,'EF ASGT'!$A$2:$F$492,3,FALSE),0)</f>
        <v>0</v>
      </c>
      <c r="G73" s="197">
        <f>IFERROR(VLOOKUP('CONSOLIDADO MARZO 2018'!B73,'EF ALGT'!$A$2:$C$474,3,FALSE),0)</f>
        <v>67543.679999999993</v>
      </c>
      <c r="H73" s="197">
        <f>IFERROR(VLOOKUP('CONSOLIDADO MARZO 2018'!B73,'EF DAGT'!$A$2:$C$285,3,FALSE),0)</f>
        <v>0</v>
      </c>
      <c r="I73" s="25">
        <f t="shared" si="11"/>
        <v>67543.679999999993</v>
      </c>
      <c r="O73" s="197">
        <f t="shared" si="10"/>
        <v>67543.679999999993</v>
      </c>
      <c r="Q73" s="197"/>
      <c r="R73" s="92"/>
      <c r="S73" s="92"/>
      <c r="T73" s="22"/>
      <c r="U73" s="197">
        <f t="shared" si="7"/>
        <v>67543.679999999993</v>
      </c>
      <c r="V73" s="197"/>
      <c r="AA73" s="315">
        <f t="shared" si="3"/>
        <v>0</v>
      </c>
      <c r="AB73" s="315">
        <f t="shared" si="4"/>
        <v>67543.679999999993</v>
      </c>
    </row>
    <row r="74" spans="1:28" x14ac:dyDescent="0.25">
      <c r="A74">
        <v>125</v>
      </c>
      <c r="B74" s="27">
        <v>2110001</v>
      </c>
      <c r="C74" s="27" t="s">
        <v>61</v>
      </c>
      <c r="E74" s="197">
        <f>IFERROR(VLOOKUP('CONSOLIDADO MARZO 2018'!B74,'EF ALPA'!$A$2:$C$561,3,FALSE),0)</f>
        <v>849879.52</v>
      </c>
      <c r="F74" s="197">
        <f>IFERROR(VLOOKUP(B74,'EF ASGT'!$A$2:$F$492,3,FALSE),0)</f>
        <v>0</v>
      </c>
      <c r="G74" s="197">
        <f>IFERROR(VLOOKUP('CONSOLIDADO MARZO 2018'!B74,'EF ALGT'!$A$2:$C$474,3,FALSE),0)</f>
        <v>7470.87</v>
      </c>
      <c r="H74" s="197">
        <f>IFERROR(VLOOKUP('CONSOLIDADO MARZO 2018'!B74,'EF DAGT'!$A$2:$C$285,3,FALSE),0)</f>
        <v>0</v>
      </c>
      <c r="I74" s="25">
        <f>SUM(E74:H74)</f>
        <v>857350.39</v>
      </c>
      <c r="J74" s="87">
        <v>4</v>
      </c>
      <c r="K74" s="278">
        <f>'PARTIDAS Elimina. ajsut, y recl'!F69</f>
        <v>5395</v>
      </c>
      <c r="M74" s="87">
        <v>5</v>
      </c>
      <c r="N74" s="278">
        <f>'PARTIDAS Elimina. ajsut, y recl'!I76</f>
        <v>53743.16</v>
      </c>
      <c r="O74" s="197">
        <f t="shared" si="10"/>
        <v>809002.23</v>
      </c>
      <c r="P74" s="87">
        <v>4</v>
      </c>
      <c r="Q74" s="275">
        <f>'PARTIDAS Elimina. ajsut, y recl'!F65</f>
        <v>5289.52</v>
      </c>
      <c r="R74" s="92" t="s">
        <v>459</v>
      </c>
      <c r="S74" s="92" t="s">
        <v>477</v>
      </c>
      <c r="T74" s="275"/>
      <c r="U74" s="197">
        <f t="shared" si="7"/>
        <v>814291.75</v>
      </c>
      <c r="V74" s="197"/>
      <c r="AA74" s="315">
        <f t="shared" si="3"/>
        <v>48348.160000000033</v>
      </c>
      <c r="AB74" s="315">
        <f t="shared" si="4"/>
        <v>765943.59</v>
      </c>
    </row>
    <row r="75" spans="1:28" x14ac:dyDescent="0.25">
      <c r="A75" s="184">
        <v>125</v>
      </c>
      <c r="B75" s="27">
        <v>2310000</v>
      </c>
      <c r="C75" s="27" t="s">
        <v>135</v>
      </c>
      <c r="E75" s="197">
        <f>IFERROR(VLOOKUP('CONSOLIDADO MARZO 2018'!B75,'EF ALPA'!$A$2:$C$561,3,FALSE),0)</f>
        <v>0</v>
      </c>
      <c r="F75" s="197">
        <f>IFERROR(VLOOKUP(B75,'EF ASGT'!$A$2:$F$492,3,FALSE),0)</f>
        <v>0</v>
      </c>
      <c r="G75" s="197">
        <f>IFERROR(VLOOKUP('CONSOLIDADO MARZO 2018'!B75,'EF ALGT'!$A$2:$C$474,3,FALSE),0)</f>
        <v>0</v>
      </c>
      <c r="H75" s="197">
        <f>IFERROR(VLOOKUP('CONSOLIDADO MARZO 2018'!B75,'EF DAGT'!$A$2:$C$285,3,FALSE),0)</f>
        <v>0</v>
      </c>
      <c r="I75" s="25">
        <f t="shared" si="11"/>
        <v>0</v>
      </c>
      <c r="O75" s="197">
        <f t="shared" si="10"/>
        <v>0</v>
      </c>
      <c r="Q75" s="197"/>
      <c r="R75" s="92"/>
      <c r="S75" s="92"/>
      <c r="T75" s="22"/>
      <c r="U75" s="197">
        <f t="shared" si="7"/>
        <v>0</v>
      </c>
      <c r="V75" s="197"/>
      <c r="AA75" s="315">
        <f t="shared" si="3"/>
        <v>0</v>
      </c>
    </row>
    <row r="76" spans="1:28" s="184" customFormat="1" x14ac:dyDescent="0.25">
      <c r="A76" s="184">
        <v>125</v>
      </c>
      <c r="B76" s="167">
        <v>2020001</v>
      </c>
      <c r="C76" s="167" t="s">
        <v>800</v>
      </c>
      <c r="E76" s="197">
        <f>IFERROR(VLOOKUP('CONSOLIDADO MARZO 2018'!B76,'EF ALPA'!$A$2:$C$561,3,FALSE),0)</f>
        <v>121333.34</v>
      </c>
      <c r="F76" s="197">
        <f>IFERROR(VLOOKUP(B76,'EF ASGT'!$A$2:$F$492,3,FALSE),0)</f>
        <v>0</v>
      </c>
      <c r="G76" s="197">
        <f>IFERROR(VLOOKUP('CONSOLIDADO MARZO 2018'!B76,'EF ALGT'!$A$2:$C$474,3,FALSE),0)</f>
        <v>0</v>
      </c>
      <c r="H76" s="197">
        <f>IFERROR(VLOOKUP('CONSOLIDADO MARZO 2018'!B76,'EF DAGT'!$A$2:$C$285,3,FALSE),0)</f>
        <v>0</v>
      </c>
      <c r="I76" s="197">
        <f>SUM(E76:H76)</f>
        <v>121333.34</v>
      </c>
      <c r="J76" s="87"/>
      <c r="K76" s="87"/>
      <c r="L76" s="87"/>
      <c r="M76" s="87"/>
      <c r="N76" s="87"/>
      <c r="O76" s="197">
        <f>I76+K76-N76</f>
        <v>121333.34</v>
      </c>
      <c r="P76" s="87"/>
      <c r="Q76" s="197"/>
      <c r="R76" s="92"/>
      <c r="S76" s="92"/>
      <c r="T76" s="22"/>
      <c r="U76" s="197">
        <f>O76+Q76-T76</f>
        <v>121333.34</v>
      </c>
      <c r="V76" s="197"/>
      <c r="AA76" s="315">
        <f>I76-O76</f>
        <v>0</v>
      </c>
      <c r="AB76" s="315"/>
    </row>
    <row r="77" spans="1:28" x14ac:dyDescent="0.25">
      <c r="A77">
        <v>127</v>
      </c>
      <c r="B77" s="27">
        <v>2140001</v>
      </c>
      <c r="C77" s="27" t="s">
        <v>62</v>
      </c>
      <c r="E77" s="197">
        <f>IFERROR(VLOOKUP('CONSOLIDADO MARZO 2018'!B77,'EF ALPA'!$A$2:$C$561,3,FALSE),0)</f>
        <v>0</v>
      </c>
      <c r="F77" s="197">
        <f>IFERROR(VLOOKUP(B77,'EF ASGT'!$A$2:$F$492,3,FALSE),0)</f>
        <v>0</v>
      </c>
      <c r="G77" s="197">
        <f>IFERROR(VLOOKUP('CONSOLIDADO MARZO 2018'!B77,'EF ALGT'!$A$2:$C$474,3,FALSE),0)</f>
        <v>12789.52</v>
      </c>
      <c r="H77" s="197">
        <f>IFERROR(VLOOKUP('CONSOLIDADO MARZO 2018'!B77,'EF DAGT'!$A$2:$C$285,3,FALSE),0)</f>
        <v>0</v>
      </c>
      <c r="I77" s="25">
        <f t="shared" si="11"/>
        <v>12789.52</v>
      </c>
      <c r="O77" s="197">
        <f t="shared" si="10"/>
        <v>12789.52</v>
      </c>
      <c r="U77" s="197">
        <f t="shared" si="7"/>
        <v>12789.52</v>
      </c>
      <c r="V77" s="25"/>
      <c r="AA77" s="315">
        <f t="shared" ref="AA77:AA140" si="12">I77-O77</f>
        <v>0</v>
      </c>
      <c r="AB77" s="315">
        <f t="shared" ref="AB77:AB139" si="13">U77-AA77</f>
        <v>12789.52</v>
      </c>
    </row>
    <row r="78" spans="1:28" x14ac:dyDescent="0.25">
      <c r="A78">
        <v>128</v>
      </c>
      <c r="B78" s="27">
        <v>2120001</v>
      </c>
      <c r="C78" s="27" t="s">
        <v>63</v>
      </c>
      <c r="E78" s="197">
        <f>IFERROR(VLOOKUP('CONSOLIDADO MARZO 2018'!B78,'EF ALPA'!$A$2:$C$561,3,FALSE),0)</f>
        <v>0</v>
      </c>
      <c r="F78" s="197">
        <f>IFERROR(VLOOKUP(B78,'EF ASGT'!$A$2:$F$492,3,FALSE),0)</f>
        <v>0</v>
      </c>
      <c r="G78" s="197">
        <f>IFERROR(VLOOKUP('CONSOLIDADO MARZO 2018'!B78,'EF ALGT'!$A$2:$C$474,3,FALSE),0)</f>
        <v>622867.74</v>
      </c>
      <c r="H78" s="197">
        <f>IFERROR(VLOOKUP('CONSOLIDADO MARZO 2018'!B78,'EF DAGT'!$A$2:$C$285,3,FALSE),0)</f>
        <v>0</v>
      </c>
      <c r="I78" s="25">
        <f t="shared" si="11"/>
        <v>622867.74</v>
      </c>
      <c r="K78" s="278">
        <v>169139.87</v>
      </c>
      <c r="O78" s="197">
        <f t="shared" si="10"/>
        <v>792007.61</v>
      </c>
      <c r="T78" s="275">
        <v>0</v>
      </c>
      <c r="U78" s="197">
        <f t="shared" si="7"/>
        <v>792007.61</v>
      </c>
      <c r="V78" s="25"/>
      <c r="AA78" s="315">
        <f t="shared" si="12"/>
        <v>-169139.87</v>
      </c>
      <c r="AB78" s="315">
        <f t="shared" si="13"/>
        <v>961147.48</v>
      </c>
    </row>
    <row r="79" spans="1:28" x14ac:dyDescent="0.25">
      <c r="A79" s="4">
        <v>129</v>
      </c>
      <c r="B79" s="5"/>
      <c r="C79" s="5" t="s">
        <v>64</v>
      </c>
      <c r="D79" s="5"/>
      <c r="E79" s="9">
        <f>SUM(E80:E87)</f>
        <v>-255548.49</v>
      </c>
      <c r="F79" s="9">
        <f>SUM(F80:F87)</f>
        <v>-196590.07</v>
      </c>
      <c r="G79" s="9">
        <f>SUM(G80:G87)</f>
        <v>-2430507.0400000005</v>
      </c>
      <c r="H79" s="9">
        <f>SUM(H80:H87)</f>
        <v>0</v>
      </c>
      <c r="I79" s="9">
        <f>SUM(I80:I87)</f>
        <v>-2882645.6000000006</v>
      </c>
      <c r="J79" s="89"/>
      <c r="K79" s="9">
        <f>SUM(K80:K87)</f>
        <v>846532.08</v>
      </c>
      <c r="L79" s="89"/>
      <c r="M79" s="89"/>
      <c r="N79" s="9">
        <f>SUM(N80:N87)</f>
        <v>0</v>
      </c>
      <c r="O79" s="89">
        <f>I79+K79-N79</f>
        <v>-2036113.5200000005</v>
      </c>
      <c r="P79" s="89"/>
      <c r="Q79" s="9">
        <f>SUM(Q80:Q87)</f>
        <v>12528.449999999999</v>
      </c>
      <c r="R79" s="89"/>
      <c r="S79" s="89"/>
      <c r="T79" s="9">
        <f>SUM(T80:T87)</f>
        <v>0</v>
      </c>
      <c r="U79" s="9">
        <f>O79+Q79-T79</f>
        <v>-2023585.0700000005</v>
      </c>
      <c r="V79" s="9">
        <v>-2023585.07</v>
      </c>
      <c r="W79" s="9">
        <f>U79-V79</f>
        <v>0</v>
      </c>
    </row>
    <row r="80" spans="1:28" x14ac:dyDescent="0.25">
      <c r="A80">
        <v>129</v>
      </c>
      <c r="B80" s="27">
        <v>2811001</v>
      </c>
      <c r="C80" s="27" t="s">
        <v>65</v>
      </c>
      <c r="E80" s="197">
        <f>IFERROR(VLOOKUP('CONSOLIDADO MARZO 2018'!B80,'EF ALPA'!$A$2:$C$561,3,FALSE),0)</f>
        <v>-156008.16</v>
      </c>
      <c r="F80" s="197">
        <f>IFERROR(VLOOKUP(B80,'EF ASGT'!$A$2:$F$492,3,FALSE),0)</f>
        <v>0</v>
      </c>
      <c r="G80" s="197">
        <f>IFERROR(VLOOKUP('CONSOLIDADO MARZO 2018'!B80,'EF ALGT'!$A$2:$C$474,3,FALSE),0)</f>
        <v>-133134.87</v>
      </c>
      <c r="H80" s="197">
        <f>IFERROR(VLOOKUP('CONSOLIDADO MARZO 2018'!B80,'EF DAGT'!$A$2:$C$285,3,FALSE),0)</f>
        <v>0</v>
      </c>
      <c r="I80" s="25">
        <f t="shared" ref="I80:I87" si="14">SUM(E80:H80)</f>
        <v>-289143.03000000003</v>
      </c>
      <c r="O80" s="197">
        <f t="shared" si="10"/>
        <v>-289143.03000000003</v>
      </c>
      <c r="U80" s="197">
        <f t="shared" si="7"/>
        <v>-289143.03000000003</v>
      </c>
      <c r="V80" s="25"/>
      <c r="AA80" s="315">
        <f t="shared" si="12"/>
        <v>0</v>
      </c>
      <c r="AB80" s="315">
        <f t="shared" si="13"/>
        <v>-289143.03000000003</v>
      </c>
    </row>
    <row r="81" spans="1:28" x14ac:dyDescent="0.25">
      <c r="A81">
        <v>129</v>
      </c>
      <c r="B81" s="27">
        <v>2812001</v>
      </c>
      <c r="C81" s="27" t="s">
        <v>66</v>
      </c>
      <c r="E81" s="197">
        <f>IFERROR(VLOOKUP('CONSOLIDADO MARZO 2018'!B81,'EF ALPA'!$A$2:$C$561,3,FALSE),0)</f>
        <v>0</v>
      </c>
      <c r="F81" s="197">
        <f>IFERROR(VLOOKUP(B81,'EF ASGT'!$A$2:$F$492,3,FALSE),0)</f>
        <v>0</v>
      </c>
      <c r="G81" s="197">
        <f>IFERROR(VLOOKUP('CONSOLIDADO MARZO 2018'!B81,'EF ALGT'!$A$2:$C$474,3,FALSE),0)</f>
        <v>-61373.46</v>
      </c>
      <c r="H81" s="197">
        <f>IFERROR(VLOOKUP('CONSOLIDADO MARZO 2018'!B81,'EF DAGT'!$A$2:$C$285,3,FALSE),0)</f>
        <v>0</v>
      </c>
      <c r="I81" s="25">
        <f t="shared" si="14"/>
        <v>-61373.46</v>
      </c>
      <c r="O81" s="197">
        <f t="shared" si="10"/>
        <v>-61373.46</v>
      </c>
      <c r="U81" s="197">
        <f t="shared" si="7"/>
        <v>-61373.46</v>
      </c>
      <c r="V81" s="25"/>
      <c r="AA81" s="315">
        <f t="shared" si="12"/>
        <v>0</v>
      </c>
      <c r="AB81" s="315">
        <f t="shared" si="13"/>
        <v>-61373.46</v>
      </c>
    </row>
    <row r="82" spans="1:28" x14ac:dyDescent="0.25">
      <c r="A82">
        <v>129</v>
      </c>
      <c r="B82" s="27">
        <v>2813001</v>
      </c>
      <c r="C82" s="27" t="s">
        <v>67</v>
      </c>
      <c r="E82" s="197">
        <f>IFERROR(VLOOKUP('CONSOLIDADO MARZO 2018'!B82,'EF ALPA'!$A$2:$C$561,3,FALSE),0)</f>
        <v>0</v>
      </c>
      <c r="F82" s="197">
        <f>IFERROR(VLOOKUP(B82,'EF ASGT'!$A$2:$F$492,3,FALSE),0)</f>
        <v>0</v>
      </c>
      <c r="G82" s="197">
        <f>IFERROR(VLOOKUP('CONSOLIDADO MARZO 2018'!B82,'EF ALGT'!$A$2:$C$474,3,FALSE),0)</f>
        <v>-1804299.78</v>
      </c>
      <c r="H82" s="197">
        <f>IFERROR(VLOOKUP('CONSOLIDADO MARZO 2018'!B82,'EF DAGT'!$A$2:$C$285,3,FALSE),0)</f>
        <v>0</v>
      </c>
      <c r="I82" s="25">
        <f t="shared" si="14"/>
        <v>-1804299.78</v>
      </c>
      <c r="J82" s="87">
        <v>13</v>
      </c>
      <c r="K82" s="275">
        <v>846532.08</v>
      </c>
      <c r="O82" s="197">
        <f t="shared" si="10"/>
        <v>-957767.70000000007</v>
      </c>
      <c r="P82" s="87">
        <v>13</v>
      </c>
      <c r="Q82" s="275">
        <f>17405.14-10789.44+5912.75</f>
        <v>12528.449999999999</v>
      </c>
      <c r="T82" s="275"/>
      <c r="U82" s="197">
        <f t="shared" si="7"/>
        <v>-945239.25000000012</v>
      </c>
      <c r="V82" s="25"/>
      <c r="AA82" s="315">
        <f t="shared" si="12"/>
        <v>-846532.08</v>
      </c>
      <c r="AB82" s="315">
        <f t="shared" si="13"/>
        <v>-98707.170000000158</v>
      </c>
    </row>
    <row r="83" spans="1:28" x14ac:dyDescent="0.25">
      <c r="A83">
        <v>129</v>
      </c>
      <c r="B83" s="27">
        <v>2814001</v>
      </c>
      <c r="C83" s="27" t="s">
        <v>68</v>
      </c>
      <c r="E83" s="197">
        <f>IFERROR(VLOOKUP('CONSOLIDADO MARZO 2018'!B83,'EF ALPA'!$A$2:$C$561,3,FALSE),0)</f>
        <v>0</v>
      </c>
      <c r="F83" s="197">
        <f>IFERROR(VLOOKUP(B83,'EF ASGT'!$A$2:$F$492,3,FALSE),0)</f>
        <v>0</v>
      </c>
      <c r="G83" s="197">
        <f>IFERROR(VLOOKUP('CONSOLIDADO MARZO 2018'!B83,'EF ALGT'!$A$2:$C$474,3,FALSE),0)</f>
        <v>-11736.18</v>
      </c>
      <c r="H83" s="197">
        <f>IFERROR(VLOOKUP('CONSOLIDADO MARZO 2018'!B83,'EF DAGT'!$A$2:$C$285,3,FALSE),0)</f>
        <v>0</v>
      </c>
      <c r="I83" s="25">
        <f t="shared" si="14"/>
        <v>-11736.18</v>
      </c>
      <c r="O83" s="197">
        <f t="shared" si="10"/>
        <v>-11736.18</v>
      </c>
      <c r="U83" s="197">
        <f t="shared" si="7"/>
        <v>-11736.18</v>
      </c>
      <c r="V83" s="25"/>
      <c r="AA83" s="315">
        <f t="shared" si="12"/>
        <v>0</v>
      </c>
      <c r="AB83" s="315">
        <f t="shared" si="13"/>
        <v>-11736.18</v>
      </c>
    </row>
    <row r="84" spans="1:28" x14ac:dyDescent="0.25">
      <c r="A84">
        <v>129</v>
      </c>
      <c r="B84" s="27">
        <v>2816001</v>
      </c>
      <c r="C84" s="27" t="s">
        <v>69</v>
      </c>
      <c r="E84" s="197">
        <f>IFERROR(VLOOKUP('CONSOLIDADO MARZO 2018'!B84,'EF ALPA'!$A$2:$C$561,3,FALSE),0)</f>
        <v>-26958.94</v>
      </c>
      <c r="F84" s="197">
        <f>IFERROR(VLOOKUP(B84,'EF ASGT'!$A$2:$F$492,3,FALSE),0)</f>
        <v>-127413.7</v>
      </c>
      <c r="G84" s="197">
        <f>IFERROR(VLOOKUP('CONSOLIDADO MARZO 2018'!B84,'EF ALGT'!$A$2:$C$474,3,FALSE),0)</f>
        <v>-317143.52</v>
      </c>
      <c r="H84" s="197">
        <f>IFERROR(VLOOKUP('CONSOLIDADO MARZO 2018'!B84,'EF DAGT'!$A$2:$C$285,3,FALSE),0)</f>
        <v>0</v>
      </c>
      <c r="I84" s="25">
        <f t="shared" si="14"/>
        <v>-471516.16000000003</v>
      </c>
      <c r="O84" s="197">
        <f t="shared" si="10"/>
        <v>-471516.16000000003</v>
      </c>
      <c r="U84" s="197">
        <f t="shared" si="7"/>
        <v>-471516.16000000003</v>
      </c>
      <c r="V84" s="25"/>
      <c r="AA84" s="315">
        <f t="shared" si="12"/>
        <v>0</v>
      </c>
      <c r="AB84" s="315">
        <f t="shared" si="13"/>
        <v>-471516.16000000003</v>
      </c>
    </row>
    <row r="85" spans="1:28" x14ac:dyDescent="0.25">
      <c r="A85">
        <v>129</v>
      </c>
      <c r="B85" s="27">
        <v>2817001</v>
      </c>
      <c r="C85" s="27" t="s">
        <v>70</v>
      </c>
      <c r="E85" s="197">
        <f>IFERROR(VLOOKUP('CONSOLIDADO MARZO 2018'!B85,'EF ALPA'!$A$2:$C$561,3,FALSE),0)</f>
        <v>-18123.05</v>
      </c>
      <c r="F85" s="197">
        <f>IFERROR(VLOOKUP(B85,'EF ASGT'!$A$2:$F$492,3,FALSE),0)</f>
        <v>-34105.800000000003</v>
      </c>
      <c r="G85" s="197">
        <f>IFERROR(VLOOKUP('CONSOLIDADO MARZO 2018'!B85,'EF ALGT'!$A$2:$C$474,3,FALSE),0)</f>
        <v>-97772.62</v>
      </c>
      <c r="H85" s="197">
        <f>IFERROR(VLOOKUP('CONSOLIDADO MARZO 2018'!B85,'EF DAGT'!$A$2:$C$285,3,FALSE),0)</f>
        <v>0</v>
      </c>
      <c r="I85" s="25">
        <f t="shared" si="14"/>
        <v>-150001.47</v>
      </c>
      <c r="O85" s="197">
        <f t="shared" si="10"/>
        <v>-150001.47</v>
      </c>
      <c r="U85" s="197">
        <f t="shared" si="7"/>
        <v>-150001.47</v>
      </c>
      <c r="V85" s="25"/>
      <c r="AA85" s="315">
        <f t="shared" si="12"/>
        <v>0</v>
      </c>
      <c r="AB85" s="315">
        <f t="shared" si="13"/>
        <v>-150001.47</v>
      </c>
    </row>
    <row r="86" spans="1:28" x14ac:dyDescent="0.25">
      <c r="A86">
        <v>129</v>
      </c>
      <c r="B86" s="27">
        <v>2818001</v>
      </c>
      <c r="C86" s="27" t="s">
        <v>71</v>
      </c>
      <c r="E86" s="197">
        <f>IFERROR(VLOOKUP('CONSOLIDADO MARZO 2018'!B86,'EF ALPA'!$A$2:$C$561,3,FALSE),0)</f>
        <v>-54458.34</v>
      </c>
      <c r="F86" s="197">
        <f>IFERROR(VLOOKUP(B86,'EF ASGT'!$A$2:$F$492,3,FALSE),0)</f>
        <v>-35070.57</v>
      </c>
      <c r="G86" s="197">
        <f>IFERROR(VLOOKUP('CONSOLIDADO MARZO 2018'!B86,'EF ALGT'!$A$2:$C$474,3,FALSE),0)</f>
        <v>-0.93</v>
      </c>
      <c r="H86" s="197">
        <f>IFERROR(VLOOKUP('CONSOLIDADO MARZO 2018'!B86,'EF DAGT'!$A$2:$C$285,3,FALSE),0)</f>
        <v>0</v>
      </c>
      <c r="I86" s="25">
        <f t="shared" si="14"/>
        <v>-89529.84</v>
      </c>
      <c r="O86" s="197">
        <f t="shared" si="10"/>
        <v>-89529.84</v>
      </c>
      <c r="U86" s="197">
        <f t="shared" si="7"/>
        <v>-89529.84</v>
      </c>
      <c r="V86" s="25"/>
      <c r="AA86" s="315">
        <f t="shared" si="12"/>
        <v>0</v>
      </c>
      <c r="AB86" s="315">
        <f t="shared" si="13"/>
        <v>-89529.84</v>
      </c>
    </row>
    <row r="87" spans="1:28" x14ac:dyDescent="0.25">
      <c r="A87" s="184">
        <v>129</v>
      </c>
      <c r="B87" s="27">
        <v>2813002</v>
      </c>
      <c r="C87" s="27" t="s">
        <v>157</v>
      </c>
      <c r="E87" s="197">
        <f>IFERROR(VLOOKUP('CONSOLIDADO MARZO 2018'!B87,'EF ALPA'!$A$2:$C$561,3,FALSE),0)</f>
        <v>0</v>
      </c>
      <c r="F87" s="197">
        <f>IFERROR(VLOOKUP(B87,'EF ASGT'!$A$2:$F$492,3,FALSE),0)</f>
        <v>0</v>
      </c>
      <c r="G87" s="197">
        <f>IFERROR(VLOOKUP('CONSOLIDADO MARZO 2018'!B87,'EF ALGT'!$A$2:$C$474,3,FALSE),0)</f>
        <v>-5045.68</v>
      </c>
      <c r="H87" s="197">
        <f>IFERROR(VLOOKUP('CONSOLIDADO MARZO 2018'!B87,'EF DAGT'!$A$2:$C$285,3,FALSE),0)</f>
        <v>0</v>
      </c>
      <c r="I87" s="25">
        <f t="shared" si="14"/>
        <v>-5045.68</v>
      </c>
      <c r="O87" s="197">
        <f t="shared" si="10"/>
        <v>-5045.68</v>
      </c>
      <c r="Q87" s="197"/>
      <c r="U87" s="197">
        <f t="shared" si="7"/>
        <v>-5045.68</v>
      </c>
      <c r="V87" s="25"/>
      <c r="AA87" s="315">
        <f t="shared" si="12"/>
        <v>0</v>
      </c>
      <c r="AB87" s="315">
        <f t="shared" si="13"/>
        <v>-5045.68</v>
      </c>
    </row>
    <row r="88" spans="1:28" x14ac:dyDescent="0.25">
      <c r="A88" s="4">
        <v>131</v>
      </c>
      <c r="B88" s="5"/>
      <c r="C88" s="5" t="s">
        <v>154</v>
      </c>
      <c r="D88" s="5"/>
      <c r="E88" s="9">
        <f>SUM(E89:E96)</f>
        <v>0</v>
      </c>
      <c r="F88" s="9">
        <f>SUM(F89:F96)</f>
        <v>695184.95999999985</v>
      </c>
      <c r="G88" s="9">
        <f>SUM(G89:G96)</f>
        <v>-14144.560000000003</v>
      </c>
      <c r="H88" s="9">
        <f>SUM(H89:H96)</f>
        <v>16558.97</v>
      </c>
      <c r="I88" s="9">
        <f>SUM(I89:I96)</f>
        <v>697599.37</v>
      </c>
      <c r="J88" s="9"/>
      <c r="K88" s="9">
        <f>SUM(K89:K96)</f>
        <v>0</v>
      </c>
      <c r="L88" s="9"/>
      <c r="M88" s="9"/>
      <c r="N88" s="9">
        <f>SUM(N89:N96)</f>
        <v>0</v>
      </c>
      <c r="O88" s="89">
        <f>I88+K88-N88</f>
        <v>697599.37</v>
      </c>
      <c r="P88" s="89"/>
      <c r="Q88" s="9">
        <f>SUM(Q89:Q96)</f>
        <v>0</v>
      </c>
      <c r="R88" s="89"/>
      <c r="S88" s="89"/>
      <c r="T88" s="9">
        <f>SUM(T89:T96)</f>
        <v>0</v>
      </c>
      <c r="U88" s="9">
        <f>O88+Q88-T88</f>
        <v>697599.37</v>
      </c>
      <c r="V88" s="9">
        <v>1716784.29</v>
      </c>
      <c r="W88" s="9">
        <f>U88-V88</f>
        <v>-1019184.92</v>
      </c>
      <c r="Y88" s="212">
        <f>+U88+U97</f>
        <v>1716784.29</v>
      </c>
      <c r="AA88" s="315">
        <f t="shared" si="12"/>
        <v>0</v>
      </c>
    </row>
    <row r="89" spans="1:28" x14ac:dyDescent="0.25">
      <c r="B89" s="27">
        <v>4700000</v>
      </c>
      <c r="C89" s="27" t="s">
        <v>38</v>
      </c>
      <c r="E89" s="197">
        <f>IFERROR(VLOOKUP('CONSOLIDADO MARZO 2018'!B89,'EF ALPA'!$A$2:$C$561,3,FALSE),0)</f>
        <v>0</v>
      </c>
      <c r="F89" s="197">
        <f>IFERROR(VLOOKUP(B89,'EF ASGT'!$A$2:$F$492,3,FALSE),0)</f>
        <v>537771.5</v>
      </c>
      <c r="G89" s="197">
        <f>IFERROR(VLOOKUP('CONSOLIDADO MARZO 2018'!B89,'EF ALGT'!$A$2:$C$474,3,FALSE),0)</f>
        <v>-12883.62</v>
      </c>
      <c r="H89" s="197">
        <f>IFERROR(VLOOKUP('CONSOLIDADO MARZO 2018'!B89,'EF DAGT'!$A$2:$C$285,3,FALSE),0)</f>
        <v>12240.6</v>
      </c>
      <c r="I89" s="25">
        <f t="shared" ref="I89:I96" si="15">SUM(E89:H89)</f>
        <v>537128.48</v>
      </c>
      <c r="J89" s="87">
        <v>7</v>
      </c>
      <c r="O89" s="197">
        <f t="shared" si="10"/>
        <v>537128.48</v>
      </c>
      <c r="Q89" s="197"/>
      <c r="U89" s="197">
        <f t="shared" si="7"/>
        <v>537128.48</v>
      </c>
      <c r="V89" s="25"/>
      <c r="Y89">
        <v>1913049</v>
      </c>
      <c r="AA89" s="315">
        <f t="shared" si="12"/>
        <v>0</v>
      </c>
      <c r="AB89" s="315">
        <f t="shared" si="13"/>
        <v>537128.48</v>
      </c>
    </row>
    <row r="90" spans="1:28" x14ac:dyDescent="0.25">
      <c r="B90" s="27">
        <v>4709030</v>
      </c>
      <c r="C90" s="27" t="s">
        <v>129</v>
      </c>
      <c r="E90" s="197">
        <f>IFERROR(VLOOKUP('CONSOLIDADO MARZO 2018'!B90,'EF ALPA'!$A$2:$C$561,3,FALSE),0)</f>
        <v>0</v>
      </c>
      <c r="F90" s="197">
        <f>IFERROR(VLOOKUP(B90,'EF ASGT'!$A$2:$F$492,3,FALSE),0)</f>
        <v>-136.28</v>
      </c>
      <c r="G90" s="197">
        <f>IFERROR(VLOOKUP('CONSOLIDADO MARZO 2018'!B90,'EF ALGT'!$A$2:$C$474,3,FALSE),0)</f>
        <v>0</v>
      </c>
      <c r="H90" s="197">
        <f>IFERROR(VLOOKUP('CONSOLIDADO MARZO 2018'!B90,'EF DAGT'!$A$2:$C$285,3,FALSE),0)</f>
        <v>0</v>
      </c>
      <c r="I90" s="25">
        <f t="shared" si="15"/>
        <v>-136.28</v>
      </c>
      <c r="O90" s="197">
        <f t="shared" si="10"/>
        <v>-136.28</v>
      </c>
      <c r="U90" s="197">
        <f t="shared" si="7"/>
        <v>-136.28</v>
      </c>
      <c r="V90" s="25"/>
      <c r="Y90" s="212">
        <f>+Y88-Y89</f>
        <v>-196264.70999999996</v>
      </c>
      <c r="AA90" s="315">
        <f t="shared" si="12"/>
        <v>0</v>
      </c>
      <c r="AB90" s="315">
        <f t="shared" si="13"/>
        <v>-136.28</v>
      </c>
    </row>
    <row r="91" spans="1:28" x14ac:dyDescent="0.25">
      <c r="B91" s="27">
        <v>4709031</v>
      </c>
      <c r="C91" s="27" t="s">
        <v>39</v>
      </c>
      <c r="E91" s="197">
        <f>IFERROR(VLOOKUP('CONSOLIDADO MARZO 2018'!B91,'EF ALPA'!$A$2:$C$561,3,FALSE),0)</f>
        <v>0</v>
      </c>
      <c r="F91" s="197">
        <f>IFERROR(VLOOKUP(B91,'EF ASGT'!$A$2:$F$492,3,FALSE),0)</f>
        <v>-20.28</v>
      </c>
      <c r="G91" s="197">
        <f>IFERROR(VLOOKUP('CONSOLIDADO MARZO 2018'!B91,'EF ALGT'!$A$2:$C$474,3,FALSE),0)</f>
        <v>0</v>
      </c>
      <c r="H91" s="197">
        <f>IFERROR(VLOOKUP('CONSOLIDADO MARZO 2018'!B91,'EF DAGT'!$A$2:$C$285,3,FALSE),0)</f>
        <v>0</v>
      </c>
      <c r="I91" s="25">
        <f t="shared" si="15"/>
        <v>-20.28</v>
      </c>
      <c r="O91" s="197">
        <f t="shared" si="10"/>
        <v>-20.28</v>
      </c>
      <c r="U91" s="197">
        <f t="shared" si="7"/>
        <v>-20.28</v>
      </c>
      <c r="V91" s="25"/>
      <c r="X91" s="25"/>
      <c r="AA91" s="315">
        <f t="shared" si="12"/>
        <v>0</v>
      </c>
      <c r="AB91" s="315">
        <f t="shared" si="13"/>
        <v>-20.28</v>
      </c>
    </row>
    <row r="92" spans="1:28" x14ac:dyDescent="0.25">
      <c r="B92" s="27">
        <v>4709032</v>
      </c>
      <c r="C92" s="27" t="s">
        <v>40</v>
      </c>
      <c r="E92" s="197">
        <f>IFERROR(VLOOKUP('CONSOLIDADO MARZO 2018'!B92,'EF ALPA'!$A$2:$C$561,3,FALSE),0)</f>
        <v>0</v>
      </c>
      <c r="F92" s="197">
        <f>IFERROR(VLOOKUP(B92,'EF ASGT'!$A$2:$F$492,3,FALSE),0)</f>
        <v>88.94</v>
      </c>
      <c r="G92" s="197">
        <f>IFERROR(VLOOKUP('CONSOLIDADO MARZO 2018'!B92,'EF ALGT'!$A$2:$C$474,3,FALSE),0)</f>
        <v>-115.03</v>
      </c>
      <c r="H92" s="197">
        <f>IFERROR(VLOOKUP('CONSOLIDADO MARZO 2018'!B92,'EF DAGT'!$A$2:$C$285,3,FALSE),0)</f>
        <v>-55.27</v>
      </c>
      <c r="I92" s="25">
        <f t="shared" si="15"/>
        <v>-81.360000000000014</v>
      </c>
      <c r="O92" s="197">
        <f t="shared" si="10"/>
        <v>-81.360000000000014</v>
      </c>
      <c r="U92" s="197">
        <f t="shared" si="7"/>
        <v>-81.360000000000014</v>
      </c>
      <c r="V92" s="25"/>
      <c r="X92" s="33"/>
      <c r="AA92" s="315">
        <f t="shared" si="12"/>
        <v>0</v>
      </c>
      <c r="AB92" s="315">
        <f t="shared" si="13"/>
        <v>-81.360000000000014</v>
      </c>
    </row>
    <row r="93" spans="1:28" x14ac:dyDescent="0.25">
      <c r="B93" s="27">
        <v>4720000</v>
      </c>
      <c r="C93" s="27" t="s">
        <v>41</v>
      </c>
      <c r="E93" s="197">
        <f>IFERROR(VLOOKUP('CONSOLIDADO MARZO 2018'!B93,'EF ALPA'!$A$2:$C$561,3,FALSE),0)</f>
        <v>0</v>
      </c>
      <c r="F93" s="197">
        <f>IFERROR(VLOOKUP(B93,'EF ASGT'!$A$2:$F$492,3,FALSE),0)</f>
        <v>119.25</v>
      </c>
      <c r="G93" s="197">
        <f>IFERROR(VLOOKUP('CONSOLIDADO MARZO 2018'!B93,'EF ALGT'!$A$2:$C$474,3,FALSE),0)</f>
        <v>-1287.6300000000001</v>
      </c>
      <c r="H93" s="197">
        <f>IFERROR(VLOOKUP('CONSOLIDADO MARZO 2018'!B93,'EF DAGT'!$A$2:$C$285,3,FALSE),0)</f>
        <v>10.76</v>
      </c>
      <c r="I93" s="25">
        <f t="shared" si="15"/>
        <v>-1157.6200000000001</v>
      </c>
      <c r="O93" s="197">
        <f t="shared" si="10"/>
        <v>-1157.6200000000001</v>
      </c>
      <c r="U93" s="197">
        <f t="shared" si="7"/>
        <v>-1157.6200000000001</v>
      </c>
      <c r="V93" s="25"/>
      <c r="X93" s="33"/>
      <c r="AA93" s="315">
        <f t="shared" si="12"/>
        <v>0</v>
      </c>
      <c r="AB93" s="315">
        <f t="shared" si="13"/>
        <v>-1157.6200000000001</v>
      </c>
    </row>
    <row r="94" spans="1:28" x14ac:dyDescent="0.25">
      <c r="B94" s="27">
        <v>4731000</v>
      </c>
      <c r="C94" s="27" t="s">
        <v>42</v>
      </c>
      <c r="E94" s="197">
        <f>IFERROR(VLOOKUP('CONSOLIDADO MARZO 2018'!B94,'EF ALPA'!$A$2:$C$561,3,FALSE),0)</f>
        <v>0</v>
      </c>
      <c r="F94" s="197">
        <f>IFERROR(VLOOKUP(B94,'EF ASGT'!$A$2:$F$492,3,FALSE),0)</f>
        <v>87.37</v>
      </c>
      <c r="G94" s="197">
        <f>IFERROR(VLOOKUP('CONSOLIDADO MARZO 2018'!B94,'EF ALGT'!$A$2:$C$474,3,FALSE),0)</f>
        <v>66.66</v>
      </c>
      <c r="H94" s="197">
        <f>IFERROR(VLOOKUP('CONSOLIDADO MARZO 2018'!B94,'EF DAGT'!$A$2:$C$285,3,FALSE),0)</f>
        <v>0</v>
      </c>
      <c r="I94" s="25">
        <f t="shared" si="15"/>
        <v>154.03</v>
      </c>
      <c r="O94" s="197">
        <f t="shared" si="10"/>
        <v>154.03</v>
      </c>
      <c r="U94" s="197">
        <f t="shared" si="7"/>
        <v>154.03</v>
      </c>
      <c r="V94" s="25"/>
      <c r="X94" s="33"/>
      <c r="AA94" s="315">
        <f t="shared" si="12"/>
        <v>0</v>
      </c>
      <c r="AB94" s="315">
        <f t="shared" si="13"/>
        <v>154.03</v>
      </c>
    </row>
    <row r="95" spans="1:28" x14ac:dyDescent="0.25">
      <c r="B95" s="27">
        <v>4731023</v>
      </c>
      <c r="C95" s="27" t="s">
        <v>43</v>
      </c>
      <c r="E95" s="197">
        <f>IFERROR(VLOOKUP('CONSOLIDADO MARZO 2018'!B95,'EF ALPA'!$A$2:$C$561,3,FALSE),0)</f>
        <v>0</v>
      </c>
      <c r="F95" s="197">
        <f>IFERROR(VLOOKUP(B95,'EF ASGT'!$A$2:$F$492,3,FALSE),0)</f>
        <v>157274.46</v>
      </c>
      <c r="G95" s="197">
        <f>IFERROR(VLOOKUP('CONSOLIDADO MARZO 2018'!B95,'EF ALGT'!$A$2:$C$474,3,FALSE),0)</f>
        <v>75.06</v>
      </c>
      <c r="H95" s="197">
        <f>IFERROR(VLOOKUP('CONSOLIDADO MARZO 2018'!B95,'EF DAGT'!$A$2:$C$285,3,FALSE),0)</f>
        <v>4362.88</v>
      </c>
      <c r="I95" s="25">
        <f t="shared" si="15"/>
        <v>161712.4</v>
      </c>
      <c r="J95" s="92"/>
      <c r="K95" s="92"/>
      <c r="L95" s="92"/>
      <c r="M95" s="92"/>
      <c r="N95" s="92"/>
      <c r="O95" s="197">
        <f t="shared" si="10"/>
        <v>161712.4</v>
      </c>
      <c r="P95" s="92"/>
      <c r="Q95" s="197"/>
      <c r="R95" s="92"/>
      <c r="S95" s="92"/>
      <c r="T95" s="197"/>
      <c r="U95" s="197">
        <f t="shared" si="7"/>
        <v>161712.4</v>
      </c>
      <c r="V95" s="25"/>
      <c r="X95" s="33"/>
      <c r="AA95" s="315">
        <f t="shared" si="12"/>
        <v>0</v>
      </c>
      <c r="AB95" s="315">
        <f t="shared" si="13"/>
        <v>161712.4</v>
      </c>
    </row>
    <row r="96" spans="1:28" x14ac:dyDescent="0.25">
      <c r="B96" s="27"/>
      <c r="C96" s="27"/>
      <c r="E96" s="197">
        <f>IFERROR(VLOOKUP('CONSOLIDADO MARZO 2018'!B96,'EF ALPA'!$A$2:$C$67,3,FALSE),0)</f>
        <v>0</v>
      </c>
      <c r="F96" s="197">
        <f>IFERROR(VLOOKUP(B96,'EF ASGT'!$A$2:$F$77,3,FALSE),0)</f>
        <v>0</v>
      </c>
      <c r="G96" s="197">
        <f>IFERROR(VLOOKUP('CONSOLIDADO MARZO 2018'!B96,'EF ALGT'!$A$2:$C$74,3,FALSE),0)</f>
        <v>0</v>
      </c>
      <c r="H96" s="197">
        <f>IFERROR(VLOOKUP('CONSOLIDADO MARZO 2018'!B96,'EF DAGT'!$A$2:$C$34,3,FALSE),0)</f>
        <v>0</v>
      </c>
      <c r="I96" s="25">
        <f t="shared" si="15"/>
        <v>0</v>
      </c>
      <c r="O96" s="197">
        <f t="shared" si="10"/>
        <v>0</v>
      </c>
      <c r="U96" s="197">
        <f t="shared" si="7"/>
        <v>0</v>
      </c>
      <c r="V96" s="25"/>
      <c r="X96" s="36"/>
      <c r="AA96" s="315">
        <f t="shared" si="12"/>
        <v>0</v>
      </c>
    </row>
    <row r="97" spans="1:28" x14ac:dyDescent="0.25">
      <c r="B97" s="5"/>
      <c r="C97" s="5" t="s">
        <v>155</v>
      </c>
      <c r="D97" s="5"/>
      <c r="E97" s="9">
        <f>SUM(E98:E101)</f>
        <v>302146.17000000004</v>
      </c>
      <c r="F97" s="9">
        <f>SUM(F98:F101)</f>
        <v>558279.75</v>
      </c>
      <c r="G97" s="9">
        <f>SUM(G98:G101)</f>
        <v>145293.53</v>
      </c>
      <c r="H97" s="9">
        <f>SUM(H98:H101)</f>
        <v>13465.470000000001</v>
      </c>
      <c r="I97" s="9">
        <f>SUM(I98:I101)</f>
        <v>1019184.92</v>
      </c>
      <c r="J97" s="98"/>
      <c r="K97" s="98"/>
      <c r="L97" s="98"/>
      <c r="M97" s="98"/>
      <c r="N97" s="98"/>
      <c r="O97" s="98">
        <f>I97+K97-N97</f>
        <v>1019184.92</v>
      </c>
      <c r="P97" s="98"/>
      <c r="Q97" s="9">
        <f>SUM(Q98:Q101)</f>
        <v>0</v>
      </c>
      <c r="R97" s="89"/>
      <c r="S97" s="89"/>
      <c r="T97" s="9">
        <f>SUM(T98:T101)</f>
        <v>0</v>
      </c>
      <c r="U97" s="9">
        <f>O97+Q97-T97</f>
        <v>1019184.92</v>
      </c>
      <c r="V97" s="9"/>
      <c r="W97" s="9">
        <f>U97-V97</f>
        <v>1019184.92</v>
      </c>
      <c r="X97" s="36"/>
      <c r="AA97" s="315">
        <f t="shared" si="12"/>
        <v>0</v>
      </c>
    </row>
    <row r="98" spans="1:28" x14ac:dyDescent="0.25">
      <c r="B98" s="27">
        <v>4732001</v>
      </c>
      <c r="C98" s="27" t="s">
        <v>72</v>
      </c>
      <c r="E98" s="197">
        <f>IFERROR(VLOOKUP('CONSOLIDADO MARZO 2018'!B98,'EF ALPA'!$A$2:$C$561,3,FALSE),0)</f>
        <v>180137.48</v>
      </c>
      <c r="F98" s="197">
        <f>IFERROR(VLOOKUP(B98,'EF ASGT'!$A$2:$F$492,3,FALSE),0)</f>
        <v>0</v>
      </c>
      <c r="G98" s="197">
        <f>IFERROR(VLOOKUP('CONSOLIDADO MARZO 2018'!B98,'EF ALGT'!$A$2:$C$474,3,FALSE),0)</f>
        <v>0</v>
      </c>
      <c r="H98" s="197">
        <f>IFERROR(VLOOKUP('CONSOLIDADO MARZO 2018'!B98,'EF DAGT'!$A$2:$C$285,3,FALSE),0)</f>
        <v>0</v>
      </c>
      <c r="I98" s="25">
        <f>SUM(E98:H98)</f>
        <v>180137.48</v>
      </c>
      <c r="J98" s="92"/>
      <c r="K98" s="92"/>
      <c r="L98" s="92"/>
      <c r="M98" s="92"/>
      <c r="N98" s="92"/>
      <c r="O98" s="197">
        <f t="shared" si="10"/>
        <v>180137.48</v>
      </c>
      <c r="P98" s="92"/>
      <c r="Q98" s="197"/>
      <c r="R98" s="92"/>
      <c r="S98" s="92"/>
      <c r="T98" s="197"/>
      <c r="U98" s="197">
        <f t="shared" si="7"/>
        <v>180137.48</v>
      </c>
      <c r="V98" s="25"/>
      <c r="X98" s="36"/>
      <c r="AA98" s="315">
        <f t="shared" si="12"/>
        <v>0</v>
      </c>
      <c r="AB98" s="315">
        <f t="shared" si="13"/>
        <v>180137.48</v>
      </c>
    </row>
    <row r="99" spans="1:28" x14ac:dyDescent="0.25">
      <c r="B99" s="27">
        <v>4732002</v>
      </c>
      <c r="C99" s="27" t="s">
        <v>73</v>
      </c>
      <c r="E99" s="197">
        <f>IFERROR(VLOOKUP('CONSOLIDADO MARZO 2018'!B99,'EF ALPA'!$A$2:$C$561,3,FALSE),0)</f>
        <v>0</v>
      </c>
      <c r="F99" s="197">
        <f>IFERROR(VLOOKUP(B99,'EF ASGT'!$A$2:$F$492,3,FALSE),0)</f>
        <v>219170.16</v>
      </c>
      <c r="G99" s="197">
        <f>IFERROR(VLOOKUP('CONSOLIDADO MARZO 2018'!B99,'EF ALGT'!$A$2:$C$474,3,FALSE),0)</f>
        <v>72626.259999999995</v>
      </c>
      <c r="H99" s="197">
        <f>IFERROR(VLOOKUP('CONSOLIDADO MARZO 2018'!B99,'EF DAGT'!$A$2:$C$285,3,FALSE),0)</f>
        <v>1659.7</v>
      </c>
      <c r="I99" s="25">
        <f>SUM(E99:H99)</f>
        <v>293456.12</v>
      </c>
      <c r="O99" s="197">
        <f t="shared" si="10"/>
        <v>293456.12</v>
      </c>
      <c r="U99" s="197">
        <f t="shared" si="7"/>
        <v>293456.12</v>
      </c>
      <c r="V99" s="25"/>
      <c r="AA99" s="315">
        <f t="shared" si="12"/>
        <v>0</v>
      </c>
      <c r="AB99" s="315">
        <f t="shared" si="13"/>
        <v>293456.12</v>
      </c>
    </row>
    <row r="100" spans="1:28" x14ac:dyDescent="0.25">
      <c r="B100" s="27">
        <v>4732003</v>
      </c>
      <c r="C100" s="27" t="s">
        <v>74</v>
      </c>
      <c r="E100" s="197">
        <f>IFERROR(VLOOKUP('CONSOLIDADO MARZO 2018'!B100,'EF ALPA'!$A$2:$C$561,3,FALSE),0)</f>
        <v>0</v>
      </c>
      <c r="F100" s="197">
        <f>IFERROR(VLOOKUP(B100,'EF ASGT'!$A$2:$F$492,3,FALSE),0)</f>
        <v>339066.95</v>
      </c>
      <c r="G100" s="197">
        <f>IFERROR(VLOOKUP('CONSOLIDADO MARZO 2018'!B100,'EF ALGT'!$A$2:$C$474,3,FALSE),0)</f>
        <v>23682.47</v>
      </c>
      <c r="H100" s="197">
        <f>IFERROR(VLOOKUP('CONSOLIDADO MARZO 2018'!B100,'EF DAGT'!$A$2:$C$285,3,FALSE),0)</f>
        <v>11805.77</v>
      </c>
      <c r="I100" s="25">
        <f>SUM(E100:H100)</f>
        <v>374555.19000000006</v>
      </c>
      <c r="O100" s="197">
        <f t="shared" si="10"/>
        <v>374555.19000000006</v>
      </c>
      <c r="U100" s="197">
        <f>O100+Q100-T100</f>
        <v>374555.19000000006</v>
      </c>
      <c r="V100" s="25"/>
      <c r="AA100" s="315">
        <f t="shared" si="12"/>
        <v>0</v>
      </c>
      <c r="AB100" s="315">
        <f t="shared" si="13"/>
        <v>374555.19000000006</v>
      </c>
    </row>
    <row r="101" spans="1:28" x14ac:dyDescent="0.25">
      <c r="B101" s="27">
        <v>4732004</v>
      </c>
      <c r="C101" s="27" t="s">
        <v>75</v>
      </c>
      <c r="E101" s="197">
        <f>IFERROR(VLOOKUP('CONSOLIDADO MARZO 2018'!B101,'EF ALPA'!$A$2:$C$561,3,FALSE),0)</f>
        <v>122008.69</v>
      </c>
      <c r="F101" s="197">
        <f>IFERROR(VLOOKUP(B101,'EF ASGT'!$A$2:$F$492,3,FALSE),0)</f>
        <v>42.64</v>
      </c>
      <c r="G101" s="197">
        <f>IFERROR(VLOOKUP('CONSOLIDADO MARZO 2018'!B101,'EF ALGT'!$A$2:$C$474,3,FALSE),0)</f>
        <v>48984.800000000003</v>
      </c>
      <c r="H101" s="197">
        <f>IFERROR(VLOOKUP('CONSOLIDADO MARZO 2018'!B101,'EF DAGT'!$A$2:$C$285,3,FALSE),0)</f>
        <v>0</v>
      </c>
      <c r="I101" s="25">
        <f>SUM(E101:H101)</f>
        <v>171036.13</v>
      </c>
      <c r="O101" s="197">
        <f t="shared" si="10"/>
        <v>171036.13</v>
      </c>
      <c r="U101" s="197">
        <f>O101+Q101-T101</f>
        <v>171036.13</v>
      </c>
      <c r="V101" s="25"/>
      <c r="AA101" s="315">
        <f t="shared" si="12"/>
        <v>0</v>
      </c>
      <c r="AB101" s="315">
        <f t="shared" si="13"/>
        <v>171036.13</v>
      </c>
    </row>
    <row r="102" spans="1:28" s="184" customFormat="1" x14ac:dyDescent="0.25">
      <c r="B102" s="5"/>
      <c r="C102" s="5" t="s">
        <v>397</v>
      </c>
      <c r="D102" s="5"/>
      <c r="E102" s="9">
        <f>+E103</f>
        <v>62330.73</v>
      </c>
      <c r="F102" s="9">
        <f t="shared" ref="F102:Q102" si="16">+F103</f>
        <v>0</v>
      </c>
      <c r="G102" s="9">
        <f t="shared" si="16"/>
        <v>0</v>
      </c>
      <c r="H102" s="9">
        <f t="shared" si="16"/>
        <v>0</v>
      </c>
      <c r="I102" s="9">
        <f t="shared" si="16"/>
        <v>62330.73</v>
      </c>
      <c r="J102" s="89"/>
      <c r="K102" s="9">
        <f t="shared" si="16"/>
        <v>0</v>
      </c>
      <c r="L102" s="89"/>
      <c r="M102" s="89"/>
      <c r="N102" s="9">
        <f t="shared" si="16"/>
        <v>0</v>
      </c>
      <c r="O102" s="9">
        <f>I102+K102-N102</f>
        <v>62330.73</v>
      </c>
      <c r="P102" s="98"/>
      <c r="Q102" s="9">
        <f t="shared" si="16"/>
        <v>0</v>
      </c>
      <c r="R102" s="89"/>
      <c r="S102" s="89"/>
      <c r="T102" s="9">
        <f>+T103</f>
        <v>0</v>
      </c>
      <c r="U102" s="9">
        <f>O102+Q102-T102</f>
        <v>62330.73</v>
      </c>
      <c r="V102" s="9">
        <v>62330.180000000008</v>
      </c>
      <c r="W102" s="9">
        <f>U102-V102</f>
        <v>0.54999999999563443</v>
      </c>
      <c r="AA102" s="315">
        <f t="shared" si="12"/>
        <v>0</v>
      </c>
      <c r="AB102" s="315"/>
    </row>
    <row r="103" spans="1:28" s="184" customFormat="1" x14ac:dyDescent="0.25">
      <c r="B103" s="167">
        <v>4740001</v>
      </c>
      <c r="C103" s="167" t="s">
        <v>397</v>
      </c>
      <c r="E103" s="197">
        <f>IFERROR(VLOOKUP('CONSOLIDADO MARZO 2018'!B103,'EF ALPA'!$A$2:$C$561,3,FALSE),0)</f>
        <v>62330.73</v>
      </c>
      <c r="F103" s="197">
        <f>IFERROR(VLOOKUP(B103,'EF ASGT'!$A$2:$F$492,3,FALSE),0)</f>
        <v>0</v>
      </c>
      <c r="G103" s="197">
        <f>IFERROR(VLOOKUP('CONSOLIDADO MARZO 2018'!B103,'EF ALGT'!$A$2:$C$474,3,FALSE),0)</f>
        <v>0</v>
      </c>
      <c r="H103" s="197">
        <f>IFERROR(VLOOKUP('CONSOLIDADO MARZO 2018'!B103,'EF DAGT'!$A$2:$C$285,3,FALSE),0)</f>
        <v>0</v>
      </c>
      <c r="I103" s="197">
        <f>SUM(E103:H103)</f>
        <v>62330.73</v>
      </c>
      <c r="J103" s="87">
        <v>16</v>
      </c>
      <c r="K103" s="87"/>
      <c r="L103" s="87"/>
      <c r="M103" s="87"/>
      <c r="N103" s="87"/>
      <c r="O103" s="197">
        <f t="shared" si="10"/>
        <v>62330.73</v>
      </c>
      <c r="P103" s="87"/>
      <c r="Q103" s="267"/>
      <c r="R103" s="87" t="s">
        <v>460</v>
      </c>
      <c r="S103" s="87" t="s">
        <v>478</v>
      </c>
      <c r="T103" s="197"/>
      <c r="U103" s="197">
        <f>O103+Q103-T103</f>
        <v>62330.73</v>
      </c>
      <c r="V103" s="197"/>
      <c r="AA103" s="315">
        <f t="shared" si="12"/>
        <v>0</v>
      </c>
      <c r="AB103" s="315"/>
    </row>
    <row r="104" spans="1:28" ht="15.75" thickBot="1" x14ac:dyDescent="0.3">
      <c r="A104" s="6"/>
      <c r="B104" s="6"/>
      <c r="C104" s="6" t="s">
        <v>78</v>
      </c>
      <c r="D104" s="6" t="s">
        <v>127</v>
      </c>
      <c r="E104" s="11">
        <f>E88+E67+E65+E53+E34+E26+E10+E36+E52+E97+E33+E79+E102</f>
        <v>25870820.630000003</v>
      </c>
      <c r="F104" s="11">
        <f>F88+F67+F65+F53+F34+F26+F10+F36+F52+F97+F33+F79</f>
        <v>7355629.79</v>
      </c>
      <c r="G104" s="11">
        <f>G88+G67+G65+G53+G34+G26+G10+G36+G52+G97+G33+G79</f>
        <v>5390812.709999999</v>
      </c>
      <c r="H104" s="11">
        <f>H88+H67+H65+H53+H34+H26+H10+H36+H52+H97+H33+H79</f>
        <v>749967.82000000007</v>
      </c>
      <c r="I104" s="11">
        <f>I88+I67+I65+I53+I34+I26+I10+I36+I52+I97+I33+I79+I102</f>
        <v>39367230.949999996</v>
      </c>
      <c r="J104" s="11"/>
      <c r="K104" s="11">
        <f>+K102+K97+K88+K79+K67+K65+K651+K64+K53+K52+K36+K34+K26+K10</f>
        <v>1179665.3999999999</v>
      </c>
      <c r="L104" s="11"/>
      <c r="M104" s="11"/>
      <c r="N104" s="11">
        <f>+N102+N97+N88+N79+N67+N65+N651+N64+N53+N52+N36+N34+N26+N10</f>
        <v>53743.16</v>
      </c>
      <c r="O104" s="11">
        <f>O88+O67+O65+O53+O34+O26+O10+O36+O52+O97+O33+O79+O102</f>
        <v>40493153.18999999</v>
      </c>
      <c r="Q104" s="11">
        <f>+Q102+Q97+Q88+Q79+Q67+Q65+Q651+Q64+Q53+Q52+Q36+Q34+Q26+Q10</f>
        <v>17817.97</v>
      </c>
      <c r="R104" s="11"/>
      <c r="S104" s="11"/>
      <c r="T104" s="11">
        <f>+T102+T97+T88+T79+T67+T65+T651+T64+T53+T52+T36+T34+T26+T10</f>
        <v>9006731.1099999994</v>
      </c>
      <c r="U104" s="11">
        <f>+U102+U97+U88+U79+U67+U65+U651+U53+U52+U36+U34+U26+U10+U334+U33</f>
        <v>31504240.049999997</v>
      </c>
      <c r="V104" s="11">
        <f>+V102+V97+V88+V79+V67+V65+V651+V64+V53+V52+V36+V34+V26+V10+V33</f>
        <v>31502820.77</v>
      </c>
      <c r="W104" s="11">
        <f>U104-V104</f>
        <v>1419.2799999974668</v>
      </c>
      <c r="X104">
        <v>30572230</v>
      </c>
      <c r="Y104" s="10">
        <f>U104-X104</f>
        <v>932010.04999999702</v>
      </c>
      <c r="AA104" s="315">
        <f t="shared" si="12"/>
        <v>-1125922.2399999946</v>
      </c>
    </row>
    <row r="105" spans="1:28" ht="15.75" thickTop="1" x14ac:dyDescent="0.25">
      <c r="A105" s="2">
        <v>2</v>
      </c>
      <c r="B105" s="3"/>
      <c r="C105" s="3" t="s">
        <v>79</v>
      </c>
      <c r="D105" s="3"/>
      <c r="E105" s="12">
        <f>E104-24928578.07</f>
        <v>942242.56000000238</v>
      </c>
      <c r="F105" s="12">
        <f>F104-7123969.28</f>
        <v>231660.50999999978</v>
      </c>
      <c r="G105" s="12">
        <f>G104-5516418.75</f>
        <v>-125606.04000000097</v>
      </c>
      <c r="H105" s="12">
        <f>H104-730149.07</f>
        <v>19818.750000000116</v>
      </c>
      <c r="I105" s="12"/>
      <c r="K105" s="87">
        <f>K104-N104</f>
        <v>1125922.24</v>
      </c>
      <c r="O105" s="197">
        <f t="shared" si="10"/>
        <v>1125922.24</v>
      </c>
      <c r="T105" s="10">
        <f>T104-Q104</f>
        <v>8988913.1399999987</v>
      </c>
      <c r="U105" s="25"/>
      <c r="V105" s="197"/>
      <c r="AA105" s="315">
        <f t="shared" si="12"/>
        <v>-1125922.24</v>
      </c>
    </row>
    <row r="106" spans="1:28" x14ac:dyDescent="0.25">
      <c r="A106" s="2">
        <v>22</v>
      </c>
      <c r="B106" s="3"/>
      <c r="C106" s="3" t="s">
        <v>80</v>
      </c>
      <c r="D106" s="3"/>
      <c r="E106" s="12"/>
      <c r="F106" s="12"/>
      <c r="G106" s="12"/>
      <c r="H106" s="12"/>
      <c r="I106" s="12"/>
      <c r="O106" s="197">
        <f t="shared" si="10"/>
        <v>0</v>
      </c>
      <c r="U106" s="25"/>
      <c r="V106" s="25"/>
      <c r="W106" s="279"/>
      <c r="AA106" s="315">
        <f t="shared" si="12"/>
        <v>0</v>
      </c>
    </row>
    <row r="107" spans="1:28" x14ac:dyDescent="0.25">
      <c r="A107" s="4">
        <v>223</v>
      </c>
      <c r="B107" s="5"/>
      <c r="C107" s="5" t="s">
        <v>85</v>
      </c>
      <c r="D107" s="5"/>
      <c r="E107" s="9">
        <f>SUM(E108:E113)</f>
        <v>-3418184.27</v>
      </c>
      <c r="F107" s="9">
        <f>SUM(F108:F113)</f>
        <v>-875649.16999999993</v>
      </c>
      <c r="G107" s="9">
        <f>SUM(G108:G113)</f>
        <v>-27349.99</v>
      </c>
      <c r="H107" s="9">
        <f>SUM(H108:H113)</f>
        <v>-4025.6</v>
      </c>
      <c r="I107" s="9">
        <f>SUM(I108:I113)</f>
        <v>-4325209.0299999993</v>
      </c>
      <c r="J107" s="9"/>
      <c r="K107" s="9">
        <f>SUM(K108:K113)</f>
        <v>0</v>
      </c>
      <c r="L107" s="89"/>
      <c r="M107" s="89"/>
      <c r="N107" s="9">
        <f>SUM(N108:N113)</f>
        <v>0</v>
      </c>
      <c r="O107" s="9">
        <f>I107+K107-N107</f>
        <v>-4325209.0299999993</v>
      </c>
      <c r="Q107" s="9">
        <f>SUM(Q108:Q113)</f>
        <v>1026803.94</v>
      </c>
      <c r="R107" s="89"/>
      <c r="S107" s="89"/>
      <c r="T107" s="9">
        <f>SUM(T108:T113)</f>
        <v>17817.97</v>
      </c>
      <c r="U107" s="9">
        <f>+O107+Q107-T107</f>
        <v>-3316223.0599999996</v>
      </c>
      <c r="V107" s="9">
        <v>-11304031</v>
      </c>
      <c r="W107" s="9">
        <f>U107-V107</f>
        <v>7987807.9400000004</v>
      </c>
      <c r="X107" s="251"/>
      <c r="AA107" s="315">
        <f t="shared" si="12"/>
        <v>0</v>
      </c>
    </row>
    <row r="108" spans="1:28" x14ac:dyDescent="0.25">
      <c r="A108">
        <v>223</v>
      </c>
      <c r="B108" s="27">
        <v>4100000</v>
      </c>
      <c r="C108" s="27" t="s">
        <v>86</v>
      </c>
      <c r="E108" s="197">
        <f>IFERROR(VLOOKUP('CONSOLIDADO MARZO 2018'!B108,'EF ALPA'!$A$2:$C$561,3,FALSE),0)</f>
        <v>-1023184.04</v>
      </c>
      <c r="F108" s="197">
        <f>IFERROR(VLOOKUP(B108,'EF ASGT'!$A$2:$F$492,3,FALSE),0)</f>
        <v>-126309.16</v>
      </c>
      <c r="G108" s="197">
        <f>IFERROR(VLOOKUP('CONSOLIDADO MARZO 2018'!B108,'EF ALGT'!$A$2:$C$474,3,FALSE),0)</f>
        <v>-25668.23</v>
      </c>
      <c r="H108" s="197">
        <f>IFERROR(VLOOKUP('CONSOLIDADO MARZO 2018'!B108,'EF DAGT'!$A$2:$C$285,3,FALSE),0)</f>
        <v>-3979.89</v>
      </c>
      <c r="I108" s="197">
        <f t="shared" ref="I108:I113" si="17">SUM(E108:H108)</f>
        <v>-1179141.3199999998</v>
      </c>
      <c r="M108" s="87">
        <v>6</v>
      </c>
      <c r="N108" s="87">
        <v>0</v>
      </c>
      <c r="O108" s="197">
        <f t="shared" si="10"/>
        <v>-1179141.3199999998</v>
      </c>
      <c r="Q108" s="197"/>
      <c r="R108" s="92"/>
      <c r="S108" s="92" t="s">
        <v>479</v>
      </c>
      <c r="T108" s="197"/>
      <c r="U108" s="197">
        <f t="shared" ref="U108:U148" si="18">O108+Q108-T108</f>
        <v>-1179141.3199999998</v>
      </c>
      <c r="V108" s="25"/>
      <c r="W108" s="25"/>
      <c r="X108" s="197">
        <v>-1264947.44</v>
      </c>
      <c r="Y108" s="212">
        <f t="shared" ref="Y108:Y113" si="19">U108-X108</f>
        <v>85806.120000000112</v>
      </c>
      <c r="AA108" s="315">
        <f t="shared" si="12"/>
        <v>0</v>
      </c>
      <c r="AB108" s="315">
        <f t="shared" si="13"/>
        <v>-1179141.3199999998</v>
      </c>
    </row>
    <row r="109" spans="1:28" x14ac:dyDescent="0.25">
      <c r="A109">
        <v>223</v>
      </c>
      <c r="B109" s="27">
        <v>4104000</v>
      </c>
      <c r="C109" s="27" t="s">
        <v>87</v>
      </c>
      <c r="E109" s="197">
        <f>IFERROR(VLOOKUP('CONSOLIDADO MARZO 2018'!B109,'EF ALPA'!$A$2:$C$561,3,FALSE),0)</f>
        <v>-2110049.65</v>
      </c>
      <c r="F109" s="197">
        <f>IFERROR(VLOOKUP(B109,'EF ASGT'!$A$2:$F$492,3,FALSE),0)</f>
        <v>-3055</v>
      </c>
      <c r="G109" s="197">
        <f>IFERROR(VLOOKUP('CONSOLIDADO MARZO 2018'!B109,'EF ALGT'!$A$2:$C$474,3,FALSE),0)</f>
        <v>139.87</v>
      </c>
      <c r="H109" s="197">
        <f>IFERROR(VLOOKUP('CONSOLIDADO MARZO 2018'!B109,'EF DAGT'!$A$2:$C$285,3,FALSE),0)</f>
        <v>113.34</v>
      </c>
      <c r="I109" s="197">
        <f t="shared" si="17"/>
        <v>-2112851.44</v>
      </c>
      <c r="M109" s="87">
        <v>8</v>
      </c>
      <c r="O109" s="197">
        <f>I109+K109-N109</f>
        <v>-2112851.44</v>
      </c>
      <c r="Q109" s="273">
        <f>20627</f>
        <v>20627</v>
      </c>
      <c r="R109" s="92"/>
      <c r="S109" s="92" t="s">
        <v>480</v>
      </c>
      <c r="T109" s="197">
        <f>11905.22+5912.75</f>
        <v>17817.97</v>
      </c>
      <c r="U109" s="197">
        <f t="shared" si="18"/>
        <v>-2110042.41</v>
      </c>
      <c r="V109" s="25"/>
      <c r="W109" s="25"/>
      <c r="X109">
        <v>-1733960.64</v>
      </c>
      <c r="Y109" s="212">
        <f t="shared" si="19"/>
        <v>-376081.77000000025</v>
      </c>
      <c r="Z109" s="317">
        <f>E109-N109+Q109-T109-N108</f>
        <v>-2107240.62</v>
      </c>
      <c r="AA109" s="315">
        <f t="shared" si="12"/>
        <v>0</v>
      </c>
      <c r="AB109" s="315">
        <f t="shared" si="13"/>
        <v>-2110042.41</v>
      </c>
    </row>
    <row r="110" spans="1:28" x14ac:dyDescent="0.25">
      <c r="A110">
        <v>223</v>
      </c>
      <c r="B110" s="27">
        <v>4104099</v>
      </c>
      <c r="C110" s="27" t="s">
        <v>122</v>
      </c>
      <c r="E110" s="197">
        <f>IFERROR(VLOOKUP('CONSOLIDADO MARZO 2018'!B110,'EF ALPA'!$A$2:$C$561,3,FALSE),0)</f>
        <v>0</v>
      </c>
      <c r="F110" s="197">
        <f>IFERROR(VLOOKUP(B110,'EF ASGT'!$A$2:$F$492,3,FALSE),0)</f>
        <v>0</v>
      </c>
      <c r="G110" s="197">
        <f>IFERROR(VLOOKUP('CONSOLIDADO MARZO 2018'!B110,'EF ALGT'!$A$2:$C$474,3,FALSE),0)</f>
        <v>0</v>
      </c>
      <c r="H110" s="197">
        <f>IFERROR(VLOOKUP('CONSOLIDADO MARZO 2018'!B110,'EF DAGT'!$A$2:$C$285,3,FALSE),0)</f>
        <v>0</v>
      </c>
      <c r="I110" s="197">
        <f t="shared" si="17"/>
        <v>0</v>
      </c>
      <c r="J110" s="92">
        <v>24</v>
      </c>
      <c r="K110" s="92"/>
      <c r="L110" s="92"/>
      <c r="M110" s="92"/>
      <c r="N110" s="92"/>
      <c r="O110" s="197">
        <f t="shared" si="10"/>
        <v>0</v>
      </c>
      <c r="P110" s="92"/>
      <c r="Q110" s="268"/>
      <c r="R110" s="92"/>
      <c r="S110" s="92"/>
      <c r="T110" s="22"/>
      <c r="U110" s="197">
        <f t="shared" si="18"/>
        <v>0</v>
      </c>
      <c r="V110" s="25"/>
      <c r="W110" s="25"/>
      <c r="X110" s="251"/>
      <c r="Y110" s="212">
        <f t="shared" si="19"/>
        <v>0</v>
      </c>
      <c r="AA110" s="315">
        <f t="shared" si="12"/>
        <v>0</v>
      </c>
    </row>
    <row r="111" spans="1:28" x14ac:dyDescent="0.25">
      <c r="B111" s="27">
        <v>4100003</v>
      </c>
      <c r="C111" s="27" t="s">
        <v>81</v>
      </c>
      <c r="E111" s="197">
        <f>IFERROR(VLOOKUP('CONSOLIDADO MARZO 2018'!B111,'EF ALPA'!$A$2:$C$561,3,FALSE),0)</f>
        <v>-271533</v>
      </c>
      <c r="F111" s="197">
        <f>IFERROR(VLOOKUP(B111,'EF ASGT'!$A$2:$F$492,3,FALSE),0)</f>
        <v>-734643.94</v>
      </c>
      <c r="G111" s="197">
        <f>IFERROR(VLOOKUP('CONSOLIDADO MARZO 2018'!B111,'EF ALGT'!$A$2:$C$474,3,FALSE),0)</f>
        <v>0</v>
      </c>
      <c r="H111" s="197">
        <f>IFERROR(VLOOKUP('CONSOLIDADO MARZO 2018'!B111,'EF DAGT'!$A$2:$C$285,3,FALSE),0)</f>
        <v>0</v>
      </c>
      <c r="I111" s="197">
        <f t="shared" si="17"/>
        <v>-1006176.94</v>
      </c>
      <c r="J111" s="92">
        <v>2</v>
      </c>
      <c r="K111" s="154"/>
      <c r="L111" s="92"/>
      <c r="M111" s="92"/>
      <c r="N111" s="92"/>
      <c r="O111" s="197">
        <f t="shared" si="10"/>
        <v>-1006176.94</v>
      </c>
      <c r="P111" s="92">
        <v>2</v>
      </c>
      <c r="Q111" s="267">
        <v>1006176.94</v>
      </c>
      <c r="R111" s="92"/>
      <c r="S111" s="92"/>
      <c r="T111" s="22"/>
      <c r="U111" s="197">
        <f t="shared" si="18"/>
        <v>0</v>
      </c>
      <c r="V111" s="25"/>
      <c r="W111" s="25"/>
      <c r="X111">
        <v>-151874.46999999997</v>
      </c>
      <c r="Y111" s="212">
        <f t="shared" si="19"/>
        <v>151874.46999999997</v>
      </c>
      <c r="AA111" s="315">
        <f t="shared" si="12"/>
        <v>0</v>
      </c>
      <c r="AB111" s="315">
        <f t="shared" si="13"/>
        <v>0</v>
      </c>
    </row>
    <row r="112" spans="1:28" x14ac:dyDescent="0.25">
      <c r="B112" s="27">
        <v>4100004</v>
      </c>
      <c r="C112" s="27" t="s">
        <v>94</v>
      </c>
      <c r="E112" s="197">
        <f>IFERROR(VLOOKUP('CONSOLIDADO MARZO 2018'!B112,'EF ALPA'!$A$2:$C$561,3,FALSE),0)</f>
        <v>-15371.98</v>
      </c>
      <c r="F112" s="197">
        <f>IFERROR(VLOOKUP(B112,'EF ASGT'!$A$2:$F$492,3,FALSE),0)</f>
        <v>-11641.07</v>
      </c>
      <c r="G112" s="197">
        <f>IFERROR(VLOOKUP('CONSOLIDADO MARZO 2018'!B112,'EF ALGT'!$A$2:$C$474,3,FALSE),0)</f>
        <v>-1821.63</v>
      </c>
      <c r="H112" s="197">
        <f>IFERROR(VLOOKUP('CONSOLIDADO MARZO 2018'!B112,'EF DAGT'!$A$2:$C$285,3,FALSE),0)</f>
        <v>-159.05000000000001</v>
      </c>
      <c r="I112" s="197">
        <f t="shared" si="17"/>
        <v>-28993.73</v>
      </c>
      <c r="J112" s="92"/>
      <c r="K112" s="92"/>
      <c r="L112" s="92"/>
      <c r="M112" s="92"/>
      <c r="N112" s="92"/>
      <c r="O112" s="197">
        <f t="shared" si="10"/>
        <v>-28993.73</v>
      </c>
      <c r="P112" s="92"/>
      <c r="Q112" s="22"/>
      <c r="T112" s="25"/>
      <c r="U112" s="197">
        <f t="shared" si="18"/>
        <v>-28993.73</v>
      </c>
      <c r="V112" s="25"/>
      <c r="W112" s="25"/>
      <c r="X112">
        <v>-29611.06</v>
      </c>
      <c r="Y112" s="212">
        <f t="shared" si="19"/>
        <v>617.33000000000175</v>
      </c>
      <c r="AA112" s="315">
        <f t="shared" si="12"/>
        <v>0</v>
      </c>
      <c r="AB112" s="315">
        <f t="shared" si="13"/>
        <v>-28993.73</v>
      </c>
    </row>
    <row r="113" spans="1:28" x14ac:dyDescent="0.25">
      <c r="B113" s="27">
        <v>4144000</v>
      </c>
      <c r="C113" s="27" t="s">
        <v>84</v>
      </c>
      <c r="E113" s="197">
        <f>IFERROR(VLOOKUP('CONSOLIDADO MARZO 2018'!B113,'EF ALPA'!$A$2:$C$561,3,FALSE),0)</f>
        <v>1954.4</v>
      </c>
      <c r="F113" s="197">
        <f>IFERROR(VLOOKUP(B113,'EF ASGT'!$A$2:$F$492,3,FALSE),0)</f>
        <v>0</v>
      </c>
      <c r="G113" s="197">
        <f>IFERROR(VLOOKUP('CONSOLIDADO MARZO 2018'!B113,'EF ALGT'!$A$2:$C$474,3,FALSE),0)</f>
        <v>0</v>
      </c>
      <c r="H113" s="197">
        <f>IFERROR(VLOOKUP('CONSOLIDADO MARZO 2018'!B113,'EF DAGT'!$A$2:$C$285,3,FALSE),0)</f>
        <v>0</v>
      </c>
      <c r="I113" s="197">
        <f t="shared" si="17"/>
        <v>1954.4</v>
      </c>
      <c r="J113" s="92"/>
      <c r="K113" s="92"/>
      <c r="L113" s="92"/>
      <c r="M113" s="92"/>
      <c r="N113" s="92"/>
      <c r="O113" s="197">
        <f t="shared" si="10"/>
        <v>1954.4</v>
      </c>
      <c r="P113" s="92"/>
      <c r="Q113" s="22"/>
      <c r="U113" s="197">
        <f t="shared" si="18"/>
        <v>1954.4</v>
      </c>
      <c r="V113" s="25"/>
      <c r="W113" s="25"/>
      <c r="X113">
        <v>1954.4</v>
      </c>
      <c r="Y113" s="212">
        <f t="shared" si="19"/>
        <v>0</v>
      </c>
      <c r="AA113" s="315">
        <f t="shared" si="12"/>
        <v>0</v>
      </c>
      <c r="AB113" s="315">
        <f t="shared" si="13"/>
        <v>1954.4</v>
      </c>
    </row>
    <row r="114" spans="1:28" x14ac:dyDescent="0.25">
      <c r="A114" s="4">
        <v>224</v>
      </c>
      <c r="B114" s="5"/>
      <c r="C114" s="5" t="s">
        <v>88</v>
      </c>
      <c r="D114" s="5"/>
      <c r="E114" s="9">
        <f>SUM(E115:E124)</f>
        <v>-6325790.5099999998</v>
      </c>
      <c r="F114" s="9">
        <f>SUM(F115:F124)</f>
        <v>-4089036.57</v>
      </c>
      <c r="G114" s="9">
        <f>SUM(G115:G124)</f>
        <v>-1441231.13</v>
      </c>
      <c r="H114" s="9">
        <f>SUM(H115:H124)</f>
        <v>-628874.70000000007</v>
      </c>
      <c r="I114" s="9">
        <f>SUM(I115:I124)</f>
        <v>-12484932.91</v>
      </c>
      <c r="J114" s="89"/>
      <c r="K114" s="89">
        <f>SUM(K115:K124)</f>
        <v>0</v>
      </c>
      <c r="L114" s="89"/>
      <c r="M114" s="89"/>
      <c r="N114" s="89">
        <f>SUM(N115:N124)</f>
        <v>0</v>
      </c>
      <c r="O114" s="9">
        <f>I114+K114-N114</f>
        <v>-12484932.91</v>
      </c>
      <c r="P114" s="98"/>
      <c r="Q114" s="9">
        <f>SUM(Q115:Q124)</f>
        <v>4399051.24</v>
      </c>
      <c r="R114" s="89"/>
      <c r="S114" s="89"/>
      <c r="T114" s="9">
        <f>SUM(T115:T124)</f>
        <v>0</v>
      </c>
      <c r="U114" s="9">
        <f>+O114+Q114-T114</f>
        <v>-8085881.6699999999</v>
      </c>
      <c r="V114" s="9"/>
      <c r="W114" s="9">
        <f>U114-V114</f>
        <v>-8085881.6699999999</v>
      </c>
      <c r="X114" s="197"/>
      <c r="AA114" s="315">
        <f t="shared" si="12"/>
        <v>0</v>
      </c>
    </row>
    <row r="115" spans="1:28" x14ac:dyDescent="0.25">
      <c r="A115">
        <v>224</v>
      </c>
      <c r="B115" s="27">
        <v>4000000</v>
      </c>
      <c r="C115" s="27" t="s">
        <v>89</v>
      </c>
      <c r="E115" s="197">
        <f>IFERROR(VLOOKUP('CONSOLIDADO MARZO 2018'!B115,'EF ALPA'!$A$2:$C$561,3,FALSE),0)</f>
        <v>-1155570.68</v>
      </c>
      <c r="F115" s="197">
        <f>IFERROR(VLOOKUP(B115,'EF ASGT'!$A$2:$F$492,3,FALSE),0)</f>
        <v>-145006.82</v>
      </c>
      <c r="G115" s="197">
        <f>IFERROR(VLOOKUP('CONSOLIDADO MARZO 2018'!B115,'EF ALGT'!$A$2:$C$474,3,FALSE),0)</f>
        <v>-387009.78</v>
      </c>
      <c r="H115" s="197">
        <f>IFERROR(VLOOKUP('CONSOLIDADO MARZO 2018'!B115,'EF DAGT'!$A$2:$C$285,3,FALSE),0)</f>
        <v>-28664.76</v>
      </c>
      <c r="I115" s="197">
        <f t="shared" ref="I115:I123" si="20">SUM(E115:H115)</f>
        <v>-1716252.04</v>
      </c>
      <c r="J115" s="92"/>
      <c r="K115" s="92"/>
      <c r="L115" s="92"/>
      <c r="M115" s="92"/>
      <c r="N115" s="92"/>
      <c r="O115" s="197">
        <f t="shared" si="10"/>
        <v>-1716252.04</v>
      </c>
      <c r="P115" s="92"/>
      <c r="Q115" s="22"/>
      <c r="U115" s="197">
        <f t="shared" si="18"/>
        <v>-1716252.04</v>
      </c>
      <c r="V115" s="25"/>
      <c r="X115" s="197"/>
      <c r="AA115" s="315">
        <f t="shared" si="12"/>
        <v>0</v>
      </c>
      <c r="AB115" s="315">
        <f t="shared" si="13"/>
        <v>-1716252.04</v>
      </c>
    </row>
    <row r="116" spans="1:28" x14ac:dyDescent="0.25">
      <c r="A116">
        <v>224</v>
      </c>
      <c r="B116" s="27">
        <v>4000099</v>
      </c>
      <c r="C116" s="27" t="s">
        <v>123</v>
      </c>
      <c r="E116" s="197">
        <f>IFERROR(VLOOKUP('CONSOLIDADO MARZO 2018'!B116,'EF ALPA'!$A$2:$C$561,3,FALSE),0)</f>
        <v>0</v>
      </c>
      <c r="F116" s="197">
        <f>IFERROR(VLOOKUP(B116,'EF ASGT'!$A$2:$F$492,3,FALSE),0)</f>
        <v>0</v>
      </c>
      <c r="G116" s="197">
        <f>IFERROR(VLOOKUP('CONSOLIDADO MARZO 2018'!B116,'EF ALGT'!$A$2:$C$474,3,FALSE),0)</f>
        <v>0</v>
      </c>
      <c r="H116" s="197">
        <f>IFERROR(VLOOKUP('CONSOLIDADO MARZO 2018'!B116,'EF DAGT'!$A$2:$C$285,3,FALSE),0)</f>
        <v>0</v>
      </c>
      <c r="I116" s="197">
        <f t="shared" si="20"/>
        <v>0</v>
      </c>
      <c r="J116" s="92"/>
      <c r="K116" s="92"/>
      <c r="L116" s="92"/>
      <c r="M116" s="92"/>
      <c r="N116" s="92"/>
      <c r="O116" s="197">
        <f t="shared" si="10"/>
        <v>0</v>
      </c>
      <c r="P116" s="92"/>
      <c r="Q116" s="22"/>
      <c r="U116" s="197">
        <f t="shared" si="18"/>
        <v>0</v>
      </c>
      <c r="V116" s="25"/>
      <c r="AA116" s="315">
        <f t="shared" si="12"/>
        <v>0</v>
      </c>
    </row>
    <row r="117" spans="1:28" x14ac:dyDescent="0.25">
      <c r="B117" s="27">
        <v>4030000</v>
      </c>
      <c r="C117" s="27" t="s">
        <v>83</v>
      </c>
      <c r="E117" s="197">
        <f>IFERROR(VLOOKUP('CONSOLIDADO MARZO 2018'!B117,'EF ALPA'!$A$2:$C$561,3,FALSE),0)</f>
        <v>0</v>
      </c>
      <c r="F117" s="197">
        <f>IFERROR(VLOOKUP(B117,'EF ASGT'!$A$2:$F$492,3,FALSE),0)</f>
        <v>-2359715.33</v>
      </c>
      <c r="G117" s="197">
        <f>IFERROR(VLOOKUP('CONSOLIDADO MARZO 2018'!B117,'EF ALGT'!$A$2:$C$474,3,FALSE),0)</f>
        <v>-364305.03</v>
      </c>
      <c r="H117" s="197">
        <f>IFERROR(VLOOKUP('CONSOLIDADO MARZO 2018'!B117,'EF DAGT'!$A$2:$C$285,3,FALSE),0)</f>
        <v>-46415.88</v>
      </c>
      <c r="I117" s="197">
        <f>SUM(E117:H117)</f>
        <v>-2770436.24</v>
      </c>
      <c r="J117" s="92">
        <v>1</v>
      </c>
      <c r="K117" s="92"/>
      <c r="L117" s="92"/>
      <c r="M117" s="92"/>
      <c r="N117" s="92"/>
      <c r="O117" s="197">
        <f t="shared" si="10"/>
        <v>-2770436.24</v>
      </c>
      <c r="P117" s="92">
        <v>1</v>
      </c>
      <c r="Q117" s="267">
        <f>'PARTIDAS Elimina. ajsut, y recl'!F13+'PARTIDAS Elimina. ajsut, y recl'!F14+'PARTIDAS Elimina. ajsut, y recl'!F15+'PARTIDAS Elimina. ajsut, y recl'!F20+'PARTIDAS Elimina. ajsut, y recl'!F22</f>
        <v>2770436.2399999998</v>
      </c>
      <c r="U117" s="197">
        <f t="shared" si="18"/>
        <v>-4.6566128730773926E-10</v>
      </c>
      <c r="V117" s="25"/>
      <c r="AA117" s="315">
        <f t="shared" si="12"/>
        <v>0</v>
      </c>
      <c r="AB117" s="315">
        <f t="shared" si="13"/>
        <v>-4.6566128730773926E-10</v>
      </c>
    </row>
    <row r="118" spans="1:28" x14ac:dyDescent="0.25">
      <c r="B118" s="27">
        <v>4030001</v>
      </c>
      <c r="C118" s="27" t="s">
        <v>82</v>
      </c>
      <c r="E118" s="197">
        <f>IFERROR(VLOOKUP('CONSOLIDADO MARZO 2018'!B118,'EF ALPA'!$A$2:$C$561,3,FALSE),0)</f>
        <v>-1102336.46</v>
      </c>
      <c r="F118" s="197">
        <f>IFERROR(VLOOKUP(B118,'EF ASGT'!$A$2:$F$492,3,FALSE),0)</f>
        <v>-972783.48</v>
      </c>
      <c r="G118" s="197">
        <f>IFERROR(VLOOKUP('CONSOLIDADO MARZO 2018'!B118,'EF ALGT'!$A$2:$C$474,3,FALSE),0)</f>
        <v>-5333.2</v>
      </c>
      <c r="H118" s="197">
        <f>IFERROR(VLOOKUP('CONSOLIDADO MARZO 2018'!B118,'EF DAGT'!$A$2:$C$285,3,FALSE),0)</f>
        <v>0</v>
      </c>
      <c r="I118" s="197">
        <f>SUM(E118:H118)</f>
        <v>-2080453.14</v>
      </c>
      <c r="J118" s="92">
        <v>1</v>
      </c>
      <c r="K118" s="92"/>
      <c r="L118" s="92"/>
      <c r="M118" s="92"/>
      <c r="N118" s="92"/>
      <c r="O118" s="197">
        <f t="shared" si="10"/>
        <v>-2080453.14</v>
      </c>
      <c r="P118" s="92">
        <v>1</v>
      </c>
      <c r="Q118" s="267">
        <f>'PARTIDAS Elimina. ajsut, y recl'!F16+'PARTIDAS Elimina. ajsut, y recl'!F17+'PARTIDAS Elimina. ajsut, y recl'!F18</f>
        <v>1628615</v>
      </c>
      <c r="T118" s="10"/>
      <c r="U118" s="197">
        <f t="shared" si="18"/>
        <v>-451838.1399999999</v>
      </c>
      <c r="V118" s="25"/>
      <c r="AA118" s="315">
        <f t="shared" si="12"/>
        <v>0</v>
      </c>
      <c r="AB118" s="315">
        <f t="shared" si="13"/>
        <v>-451838.1399999999</v>
      </c>
    </row>
    <row r="119" spans="1:28" x14ac:dyDescent="0.25">
      <c r="A119">
        <v>224</v>
      </c>
      <c r="B119" s="27">
        <v>4004000</v>
      </c>
      <c r="C119" s="27" t="s">
        <v>90</v>
      </c>
      <c r="E119" s="197">
        <f>IFERROR(VLOOKUP('CONSOLIDADO MARZO 2018'!B119,'EF ALPA'!$A$2:$C$561,3,FALSE),0)</f>
        <v>-3613213.74</v>
      </c>
      <c r="F119" s="197">
        <f>IFERROR(VLOOKUP(B119,'EF ASGT'!$A$2:$F$492,3,FALSE),0)</f>
        <v>-606104.01</v>
      </c>
      <c r="G119" s="197">
        <f>IFERROR(VLOOKUP('CONSOLIDADO MARZO 2018'!B119,'EF ALGT'!$A$2:$C$474,3,FALSE),0)</f>
        <v>-652112.48</v>
      </c>
      <c r="H119" s="197">
        <f>IFERROR(VLOOKUP('CONSOLIDADO MARZO 2018'!B119,'EF DAGT'!$A$2:$C$285,3,FALSE),0)</f>
        <v>-527387.87</v>
      </c>
      <c r="I119" s="197">
        <f t="shared" si="20"/>
        <v>-5398818.1000000006</v>
      </c>
      <c r="J119" s="92"/>
      <c r="K119" s="92"/>
      <c r="L119" s="92"/>
      <c r="M119" s="92"/>
      <c r="N119" s="92"/>
      <c r="O119" s="197">
        <f t="shared" ref="O119:O148" si="21">I119+K119-N119</f>
        <v>-5398818.1000000006</v>
      </c>
      <c r="P119" s="92"/>
      <c r="Q119" s="22"/>
      <c r="T119" s="15"/>
      <c r="U119" s="197">
        <f t="shared" si="18"/>
        <v>-5398818.1000000006</v>
      </c>
      <c r="V119" s="25"/>
      <c r="AA119" s="315">
        <f t="shared" si="12"/>
        <v>0</v>
      </c>
      <c r="AB119" s="315">
        <f t="shared" si="13"/>
        <v>-5398818.1000000006</v>
      </c>
    </row>
    <row r="120" spans="1:28" x14ac:dyDescent="0.25">
      <c r="A120">
        <v>224</v>
      </c>
      <c r="B120" s="27">
        <v>4004099</v>
      </c>
      <c r="C120" s="27" t="s">
        <v>124</v>
      </c>
      <c r="E120" s="197">
        <f>IFERROR(VLOOKUP('CONSOLIDADO MARZO 2018'!B120,'EF ALPA'!$A$2:$C$561,3,FALSE),0)</f>
        <v>-309435.12</v>
      </c>
      <c r="F120" s="197">
        <f>IFERROR(VLOOKUP(B120,'EF ASGT'!$A$2:$F$492,3,FALSE),0)</f>
        <v>0</v>
      </c>
      <c r="G120" s="197">
        <f>IFERROR(VLOOKUP('CONSOLIDADO MARZO 2018'!B120,'EF ALGT'!$A$2:$C$474,3,FALSE),0)</f>
        <v>0</v>
      </c>
      <c r="H120" s="197">
        <f>IFERROR(VLOOKUP('CONSOLIDADO MARZO 2018'!B120,'EF DAGT'!$A$2:$C$285,3,FALSE),0)</f>
        <v>0</v>
      </c>
      <c r="I120" s="197">
        <f t="shared" si="20"/>
        <v>-309435.12</v>
      </c>
      <c r="J120" s="92"/>
      <c r="K120" s="92"/>
      <c r="L120" s="92"/>
      <c r="M120" s="92"/>
      <c r="N120" s="92"/>
      <c r="O120" s="197">
        <f t="shared" si="21"/>
        <v>-309435.12</v>
      </c>
      <c r="P120" s="92"/>
      <c r="U120" s="197">
        <f t="shared" si="18"/>
        <v>-309435.12</v>
      </c>
      <c r="V120" s="25"/>
      <c r="AA120" s="315">
        <f t="shared" si="12"/>
        <v>0</v>
      </c>
      <c r="AB120" s="315">
        <f t="shared" si="13"/>
        <v>-309435.12</v>
      </c>
    </row>
    <row r="121" spans="1:28" x14ac:dyDescent="0.25">
      <c r="A121">
        <v>224</v>
      </c>
      <c r="B121" s="27">
        <v>4009000</v>
      </c>
      <c r="C121" s="27" t="s">
        <v>91</v>
      </c>
      <c r="E121" s="197">
        <f>IFERROR(VLOOKUP('CONSOLIDADO MARZO 2018'!B121,'EF ALPA'!$A$2:$C$561,3,FALSE),0)</f>
        <v>-142881.22</v>
      </c>
      <c r="F121" s="197">
        <f>IFERROR(VLOOKUP(B121,'EF ASGT'!$A$2:$F$492,3,FALSE),0)</f>
        <v>5359.98</v>
      </c>
      <c r="G121" s="197">
        <f>IFERROR(VLOOKUP('CONSOLIDADO MARZO 2018'!B121,'EF ALGT'!$A$2:$C$474,3,FALSE),0)</f>
        <v>-16485.939999999999</v>
      </c>
      <c r="H121" s="197">
        <f>IFERROR(VLOOKUP('CONSOLIDADO MARZO 2018'!B121,'EF DAGT'!$A$2:$C$285,3,FALSE),0)</f>
        <v>-22595.41</v>
      </c>
      <c r="I121" s="197">
        <f t="shared" si="20"/>
        <v>-176602.59</v>
      </c>
      <c r="J121" s="92"/>
      <c r="K121" s="92"/>
      <c r="L121" s="92"/>
      <c r="M121" s="92"/>
      <c r="N121" s="92"/>
      <c r="O121" s="197">
        <f t="shared" si="21"/>
        <v>-176602.59</v>
      </c>
      <c r="P121" s="92"/>
      <c r="U121" s="197">
        <f t="shared" si="18"/>
        <v>-176602.59</v>
      </c>
      <c r="V121" s="25"/>
      <c r="AA121" s="315">
        <f t="shared" si="12"/>
        <v>0</v>
      </c>
      <c r="AB121" s="315">
        <f t="shared" si="13"/>
        <v>-176602.59</v>
      </c>
    </row>
    <row r="122" spans="1:28" x14ac:dyDescent="0.25">
      <c r="B122" s="27">
        <v>4009001</v>
      </c>
      <c r="C122" s="27" t="s">
        <v>156</v>
      </c>
      <c r="E122" s="197">
        <f>IFERROR(VLOOKUP('CONSOLIDADO MARZO 2018'!B122,'EF ALPA'!$A$2:$C$561,3,FALSE),0)</f>
        <v>0</v>
      </c>
      <c r="F122" s="197">
        <f>IFERROR(VLOOKUP(B122,'EF ASGT'!$A$2:$F$492,3,FALSE),0)</f>
        <v>-4096.21</v>
      </c>
      <c r="G122" s="197">
        <f>IFERROR(VLOOKUP('CONSOLIDADO MARZO 2018'!B122,'EF ALGT'!$A$2:$C$474,3,FALSE),0)</f>
        <v>1.58</v>
      </c>
      <c r="H122" s="197">
        <f>IFERROR(VLOOKUP('CONSOLIDADO MARZO 2018'!B122,'EF DAGT'!$A$2:$C$285,3,FALSE),0)</f>
        <v>0</v>
      </c>
      <c r="I122" s="197">
        <f t="shared" si="20"/>
        <v>-4094.63</v>
      </c>
      <c r="J122" s="92"/>
      <c r="K122" s="92"/>
      <c r="L122" s="92"/>
      <c r="M122" s="92"/>
      <c r="N122" s="92"/>
      <c r="O122" s="197">
        <f t="shared" si="21"/>
        <v>-4094.63</v>
      </c>
      <c r="P122" s="92"/>
      <c r="U122" s="197">
        <f t="shared" si="18"/>
        <v>-4094.63</v>
      </c>
      <c r="V122" s="25"/>
      <c r="AA122" s="315">
        <f t="shared" si="12"/>
        <v>0</v>
      </c>
      <c r="AB122" s="315">
        <f t="shared" si="13"/>
        <v>-4094.63</v>
      </c>
    </row>
    <row r="123" spans="1:28" x14ac:dyDescent="0.25">
      <c r="A123">
        <v>224</v>
      </c>
      <c r="B123" s="27">
        <v>4009002</v>
      </c>
      <c r="C123" s="27" t="s">
        <v>92</v>
      </c>
      <c r="E123" s="197">
        <f>IFERROR(VLOOKUP('CONSOLIDADO MARZO 2018'!B123,'EF ALPA'!$A$2:$C$561,3,FALSE),0)</f>
        <v>-2353.29</v>
      </c>
      <c r="F123" s="197">
        <f>IFERROR(VLOOKUP(B123,'EF ASGT'!$A$2:$F$492,3,FALSE),0)</f>
        <v>-6690.7</v>
      </c>
      <c r="G123" s="197">
        <f>IFERROR(VLOOKUP('CONSOLIDADO MARZO 2018'!B123,'EF ALGT'!$A$2:$C$474,3,FALSE),0)</f>
        <v>-15986.28</v>
      </c>
      <c r="H123" s="197">
        <f>IFERROR(VLOOKUP('CONSOLIDADO MARZO 2018'!B123,'EF DAGT'!$A$2:$C$285,3,FALSE),0)</f>
        <v>-3810.78</v>
      </c>
      <c r="I123" s="197">
        <f t="shared" si="20"/>
        <v>-28841.05</v>
      </c>
      <c r="J123" s="92"/>
      <c r="K123" s="92"/>
      <c r="L123" s="92"/>
      <c r="M123" s="92"/>
      <c r="N123" s="92"/>
      <c r="O123" s="197">
        <f t="shared" si="21"/>
        <v>-28841.05</v>
      </c>
      <c r="P123" s="92"/>
      <c r="U123" s="197">
        <f t="shared" si="18"/>
        <v>-28841.05</v>
      </c>
      <c r="V123" s="25"/>
      <c r="AA123" s="315">
        <f t="shared" si="12"/>
        <v>0</v>
      </c>
      <c r="AB123" s="315">
        <f t="shared" si="13"/>
        <v>-28841.05</v>
      </c>
    </row>
    <row r="124" spans="1:28" x14ac:dyDescent="0.25">
      <c r="B124" s="27">
        <v>4030099</v>
      </c>
      <c r="C124" s="27" t="s">
        <v>125</v>
      </c>
      <c r="E124" s="197">
        <f>IFERROR(VLOOKUP('CONSOLIDADO MARZO 2018'!B124,'EF ALPA'!$A$2:$C$561,3,FALSE),0)</f>
        <v>0</v>
      </c>
      <c r="F124" s="197">
        <f>IFERROR(VLOOKUP(B124,'EF ASGT'!$A$2:$F$492,3,FALSE),0)</f>
        <v>0</v>
      </c>
      <c r="G124" s="197">
        <f>IFERROR(VLOOKUP('CONSOLIDADO MARZO 2018'!B124,'EF ALGT'!$A$2:$C$474,3,FALSE),0)</f>
        <v>0</v>
      </c>
      <c r="H124" s="197">
        <f>IFERROR(VLOOKUP('CONSOLIDADO MARZO 2018'!B124,'EF DAGT'!$A$2:$C$285,3,FALSE),0)</f>
        <v>0</v>
      </c>
      <c r="I124" s="197">
        <f>SUM(E124:H124)</f>
        <v>0</v>
      </c>
      <c r="J124" s="92"/>
      <c r="K124" s="92"/>
      <c r="L124" s="92"/>
      <c r="M124" s="92"/>
      <c r="N124" s="92"/>
      <c r="O124" s="197">
        <f t="shared" si="21"/>
        <v>0</v>
      </c>
      <c r="P124" s="92"/>
      <c r="Q124" s="10"/>
      <c r="T124" s="25"/>
      <c r="U124" s="197">
        <f t="shared" si="18"/>
        <v>0</v>
      </c>
      <c r="V124" s="25"/>
      <c r="AA124" s="315">
        <f t="shared" si="12"/>
        <v>0</v>
      </c>
    </row>
    <row r="125" spans="1:28" x14ac:dyDescent="0.25">
      <c r="A125" s="4">
        <v>225</v>
      </c>
      <c r="B125" s="5"/>
      <c r="C125" s="5" t="s">
        <v>93</v>
      </c>
      <c r="D125" s="5"/>
      <c r="E125" s="9">
        <f>SUM(E126:E131)</f>
        <v>-1665080.5299999998</v>
      </c>
      <c r="F125" s="9">
        <f>SUM(F126:F131)</f>
        <v>-278776.03999999998</v>
      </c>
      <c r="G125" s="9">
        <f>SUM(G126:G131)</f>
        <v>-103020.68</v>
      </c>
      <c r="H125" s="9">
        <f>SUM(H126:H131)</f>
        <v>0</v>
      </c>
      <c r="I125" s="9">
        <f>SUM(I126:I131)</f>
        <v>-2046877.2499999998</v>
      </c>
      <c r="J125" s="98"/>
      <c r="K125" s="98">
        <f>SUM(K126:K131)</f>
        <v>0</v>
      </c>
      <c r="L125" s="98"/>
      <c r="M125" s="98"/>
      <c r="N125" s="98">
        <f>SUM(N126:N131)</f>
        <v>0</v>
      </c>
      <c r="O125" s="9">
        <f>I125+K125-N125</f>
        <v>-2046877.2499999998</v>
      </c>
      <c r="P125" s="98"/>
      <c r="Q125" s="9">
        <f>SUM(Q126:Q131)</f>
        <v>0</v>
      </c>
      <c r="R125" s="89"/>
      <c r="S125" s="89"/>
      <c r="T125" s="9">
        <f>SUM(T126:T131)</f>
        <v>0</v>
      </c>
      <c r="U125" s="9">
        <f>+O125+Q125-T125</f>
        <v>-2046877.2499999998</v>
      </c>
      <c r="V125" s="9">
        <v>-2046877.25</v>
      </c>
      <c r="W125" s="9">
        <f>U125-V125</f>
        <v>0</v>
      </c>
      <c r="AA125" s="315">
        <f t="shared" si="12"/>
        <v>0</v>
      </c>
    </row>
    <row r="126" spans="1:28" x14ac:dyDescent="0.25">
      <c r="A126">
        <v>225</v>
      </c>
      <c r="B126" s="27">
        <v>4100099</v>
      </c>
      <c r="C126" s="27" t="s">
        <v>121</v>
      </c>
      <c r="E126" s="197">
        <f>IFERROR(VLOOKUP('CONSOLIDADO MARZO 2018'!B126,'EF ALPA'!$A$2:$C$561,3,FALSE),0)</f>
        <v>0</v>
      </c>
      <c r="F126" s="197">
        <f>IFERROR(VLOOKUP(B126,'EF ASGT'!$A$2:$F$492,3,FALSE),0)</f>
        <v>0</v>
      </c>
      <c r="G126" s="197">
        <f>IFERROR(VLOOKUP('CONSOLIDADO MARZO 2018'!B126,'EF ALGT'!$A$2:$C$474,3,FALSE),0)</f>
        <v>0</v>
      </c>
      <c r="H126" s="197">
        <f>IFERROR(VLOOKUP('CONSOLIDADO MARZO 2018'!B126,'EF DAGT'!$A$2:$C$285,3,FALSE),0)</f>
        <v>0</v>
      </c>
      <c r="I126" s="25">
        <f t="shared" ref="I126:I131" si="22">SUM(E126:H126)</f>
        <v>0</v>
      </c>
      <c r="J126" s="92"/>
      <c r="K126" s="92"/>
      <c r="L126" s="92"/>
      <c r="M126" s="92"/>
      <c r="N126" s="92"/>
      <c r="O126" s="197">
        <f t="shared" si="21"/>
        <v>0</v>
      </c>
      <c r="P126" s="92"/>
      <c r="U126" s="197">
        <f t="shared" si="18"/>
        <v>0</v>
      </c>
      <c r="V126" s="25"/>
      <c r="AA126" s="315">
        <f t="shared" si="12"/>
        <v>0</v>
      </c>
    </row>
    <row r="127" spans="1:28" x14ac:dyDescent="0.25">
      <c r="A127">
        <v>225</v>
      </c>
      <c r="B127" s="27">
        <v>4650000</v>
      </c>
      <c r="C127" s="27" t="s">
        <v>95</v>
      </c>
      <c r="E127" s="197">
        <f>IFERROR(VLOOKUP('CONSOLIDADO MARZO 2018'!B127,'EF ALPA'!$A$2:$C$561,3,FALSE),0)</f>
        <v>-78575.95</v>
      </c>
      <c r="F127" s="197">
        <f>IFERROR(VLOOKUP(B127,'EF ASGT'!$A$2:$F$492,3,FALSE),0)</f>
        <v>-12336.21</v>
      </c>
      <c r="G127" s="197">
        <f>IFERROR(VLOOKUP('CONSOLIDADO MARZO 2018'!B127,'EF ALGT'!$A$2:$C$474,3,FALSE),0)</f>
        <v>0</v>
      </c>
      <c r="H127" s="197">
        <f>IFERROR(VLOOKUP('CONSOLIDADO MARZO 2018'!B127,'EF DAGT'!$A$2:$C$285,3,FALSE),0)</f>
        <v>0</v>
      </c>
      <c r="I127" s="25">
        <f t="shared" si="22"/>
        <v>-90912.16</v>
      </c>
      <c r="J127" s="92"/>
      <c r="K127" s="92"/>
      <c r="L127" s="92"/>
      <c r="M127" s="92"/>
      <c r="N127" s="92"/>
      <c r="O127" s="197">
        <f t="shared" si="21"/>
        <v>-90912.16</v>
      </c>
      <c r="P127" s="92"/>
      <c r="U127" s="197">
        <f t="shared" si="18"/>
        <v>-90912.16</v>
      </c>
      <c r="V127" s="25"/>
      <c r="AA127" s="315">
        <f t="shared" si="12"/>
        <v>0</v>
      </c>
      <c r="AB127" s="315">
        <f t="shared" si="13"/>
        <v>-90912.16</v>
      </c>
    </row>
    <row r="128" spans="1:28" x14ac:dyDescent="0.25">
      <c r="A128">
        <v>225</v>
      </c>
      <c r="B128" s="27">
        <v>4650001</v>
      </c>
      <c r="C128" s="27" t="s">
        <v>96</v>
      </c>
      <c r="E128" s="197">
        <f>IFERROR(VLOOKUP('CONSOLIDADO MARZO 2018'!B128,'EF ALPA'!$A$2:$C$561,3,FALSE),0)</f>
        <v>-93319.72</v>
      </c>
      <c r="F128" s="197">
        <f>IFERROR(VLOOKUP(B128,'EF ASGT'!$A$2:$F$492,3,FALSE),0)</f>
        <v>-24512.85</v>
      </c>
      <c r="G128" s="197">
        <f>IFERROR(VLOOKUP('CONSOLIDADO MARZO 2018'!B128,'EF ALGT'!$A$2:$C$474,3,FALSE),0)</f>
        <v>0</v>
      </c>
      <c r="H128" s="197">
        <f>IFERROR(VLOOKUP('CONSOLIDADO MARZO 2018'!B128,'EF DAGT'!$A$2:$C$285,3,FALSE),0)</f>
        <v>0</v>
      </c>
      <c r="I128" s="25">
        <f t="shared" si="22"/>
        <v>-117832.57</v>
      </c>
      <c r="J128" s="92"/>
      <c r="K128" s="92"/>
      <c r="L128" s="92"/>
      <c r="M128" s="92"/>
      <c r="N128" s="92"/>
      <c r="O128" s="197">
        <f t="shared" si="21"/>
        <v>-117832.57</v>
      </c>
      <c r="P128" s="92"/>
      <c r="U128" s="197">
        <f t="shared" si="18"/>
        <v>-117832.57</v>
      </c>
      <c r="V128" s="25"/>
      <c r="AA128" s="315">
        <f t="shared" si="12"/>
        <v>0</v>
      </c>
      <c r="AB128" s="315">
        <f t="shared" si="13"/>
        <v>-117832.57</v>
      </c>
    </row>
    <row r="129" spans="1:28" x14ac:dyDescent="0.25">
      <c r="A129">
        <v>225</v>
      </c>
      <c r="B129" s="27">
        <v>4650003</v>
      </c>
      <c r="C129" s="27" t="s">
        <v>97</v>
      </c>
      <c r="E129" s="197">
        <f>IFERROR(VLOOKUP('CONSOLIDADO MARZO 2018'!B129,'EF ALPA'!$A$2:$C$561,3,FALSE),0)</f>
        <v>-207642.74</v>
      </c>
      <c r="F129" s="197">
        <f>IFERROR(VLOOKUP(B129,'EF ASGT'!$A$2:$F$492,3,FALSE),0)</f>
        <v>-57928.65</v>
      </c>
      <c r="G129" s="197">
        <f>IFERROR(VLOOKUP('CONSOLIDADO MARZO 2018'!B129,'EF ALGT'!$A$2:$C$474,3,FALSE),0)</f>
        <v>-26461.58</v>
      </c>
      <c r="H129" s="197">
        <f>IFERROR(VLOOKUP('CONSOLIDADO MARZO 2018'!B129,'EF DAGT'!$A$2:$C$285,3,FALSE),0)</f>
        <v>0</v>
      </c>
      <c r="I129" s="25">
        <f t="shared" si="22"/>
        <v>-292032.97000000003</v>
      </c>
      <c r="J129" s="92"/>
      <c r="K129" s="92"/>
      <c r="L129" s="92"/>
      <c r="M129" s="92"/>
      <c r="N129" s="92"/>
      <c r="O129" s="197">
        <f t="shared" si="21"/>
        <v>-292032.97000000003</v>
      </c>
      <c r="P129" s="92"/>
      <c r="T129" s="15"/>
      <c r="U129" s="197">
        <f t="shared" si="18"/>
        <v>-292032.97000000003</v>
      </c>
      <c r="V129" s="25"/>
      <c r="AA129" s="315">
        <f t="shared" si="12"/>
        <v>0</v>
      </c>
      <c r="AB129" s="315">
        <f t="shared" si="13"/>
        <v>-292032.97000000003</v>
      </c>
    </row>
    <row r="130" spans="1:28" x14ac:dyDescent="0.25">
      <c r="A130">
        <v>225</v>
      </c>
      <c r="B130" s="27">
        <v>4650009</v>
      </c>
      <c r="C130" s="27" t="s">
        <v>98</v>
      </c>
      <c r="E130" s="197">
        <f>IFERROR(VLOOKUP('CONSOLIDADO MARZO 2018'!B130,'EF ALPA'!$A$2:$C$561,3,FALSE),0)</f>
        <v>-1174792.4099999999</v>
      </c>
      <c r="F130" s="197">
        <f>IFERROR(VLOOKUP(B130,'EF ASGT'!$A$2:$F$492,3,FALSE),0)</f>
        <v>-80257.41</v>
      </c>
      <c r="G130" s="197">
        <f>IFERROR(VLOOKUP('CONSOLIDADO MARZO 2018'!B130,'EF ALGT'!$A$2:$C$474,3,FALSE),0)</f>
        <v>-23287.18</v>
      </c>
      <c r="H130" s="197">
        <f>IFERROR(VLOOKUP('CONSOLIDADO MARZO 2018'!B130,'EF DAGT'!$A$2:$C$285,3,FALSE),0)</f>
        <v>0</v>
      </c>
      <c r="I130" s="25">
        <f t="shared" si="22"/>
        <v>-1278336.9999999998</v>
      </c>
      <c r="J130" s="92"/>
      <c r="K130" s="92"/>
      <c r="L130" s="92"/>
      <c r="M130" s="92"/>
      <c r="N130" s="92"/>
      <c r="O130" s="197">
        <f t="shared" si="21"/>
        <v>-1278336.9999999998</v>
      </c>
      <c r="P130" s="92"/>
      <c r="S130" s="87">
        <v>26</v>
      </c>
      <c r="T130" s="316"/>
      <c r="U130" s="197">
        <f t="shared" si="18"/>
        <v>-1278336.9999999998</v>
      </c>
      <c r="V130" s="25"/>
      <c r="Y130" s="316">
        <f>E130-T130</f>
        <v>-1174792.4099999999</v>
      </c>
      <c r="AA130" s="315">
        <f t="shared" si="12"/>
        <v>0</v>
      </c>
      <c r="AB130" s="315">
        <f t="shared" si="13"/>
        <v>-1278336.9999999998</v>
      </c>
    </row>
    <row r="131" spans="1:28" x14ac:dyDescent="0.25">
      <c r="A131">
        <v>225</v>
      </c>
      <c r="B131" s="27">
        <v>4650017</v>
      </c>
      <c r="C131" s="27" t="s">
        <v>99</v>
      </c>
      <c r="E131" s="197">
        <f>IFERROR(VLOOKUP('CONSOLIDADO MARZO 2018'!B131,'EF ALPA'!$A$2:$C$561,3,FALSE),0)</f>
        <v>-110749.71</v>
      </c>
      <c r="F131" s="197">
        <f>IFERROR(VLOOKUP(B131,'EF ASGT'!$A$2:$F$492,3,FALSE),0)</f>
        <v>-103740.92</v>
      </c>
      <c r="G131" s="197">
        <f>IFERROR(VLOOKUP('CONSOLIDADO MARZO 2018'!B131,'EF ALGT'!$A$2:$C$474,3,FALSE),0)</f>
        <v>-53271.92</v>
      </c>
      <c r="H131" s="197">
        <f>IFERROR(VLOOKUP('CONSOLIDADO MARZO 2018'!B131,'EF DAGT'!$A$2:$C$285,3,FALSE),0)</f>
        <v>0</v>
      </c>
      <c r="I131" s="25">
        <f t="shared" si="22"/>
        <v>-267762.55</v>
      </c>
      <c r="J131" s="92"/>
      <c r="K131" s="92"/>
      <c r="L131" s="92"/>
      <c r="M131" s="92"/>
      <c r="N131" s="92"/>
      <c r="O131" s="197">
        <f t="shared" si="21"/>
        <v>-267762.55</v>
      </c>
      <c r="P131" s="92"/>
      <c r="U131" s="197">
        <f t="shared" si="18"/>
        <v>-267762.55</v>
      </c>
      <c r="V131" s="25"/>
      <c r="AA131" s="315">
        <f t="shared" si="12"/>
        <v>0</v>
      </c>
      <c r="AB131" s="315">
        <f t="shared" si="13"/>
        <v>-267762.55</v>
      </c>
    </row>
    <row r="132" spans="1:28" x14ac:dyDescent="0.25">
      <c r="A132" s="4">
        <v>226</v>
      </c>
      <c r="B132" s="5"/>
      <c r="C132" s="5" t="s">
        <v>100</v>
      </c>
      <c r="D132" s="5"/>
      <c r="E132" s="9">
        <f>SUM(E133:E135)</f>
        <v>-342963.74</v>
      </c>
      <c r="F132" s="9">
        <f>SUM(F133:F135)</f>
        <v>-18246.23</v>
      </c>
      <c r="G132" s="9">
        <f>SUM(G133:G135)</f>
        <v>-15201.43</v>
      </c>
      <c r="H132" s="9">
        <f>SUM(H133:H135)</f>
        <v>-3.740000000000002</v>
      </c>
      <c r="I132" s="9">
        <f>SUM(I133:I135)</f>
        <v>-376415.13999999996</v>
      </c>
      <c r="J132" s="98"/>
      <c r="K132" s="98">
        <f>SUM(K133:K135)</f>
        <v>0</v>
      </c>
      <c r="L132" s="98"/>
      <c r="M132" s="98"/>
      <c r="N132" s="98">
        <f>SUM(N133:N135)</f>
        <v>0</v>
      </c>
      <c r="O132" s="9">
        <f>I132+K132-N132</f>
        <v>-376415.13999999996</v>
      </c>
      <c r="P132" s="98"/>
      <c r="Q132" s="9">
        <f>SUM(Q133:Q135)</f>
        <v>0</v>
      </c>
      <c r="R132" s="89"/>
      <c r="S132" s="89"/>
      <c r="T132" s="9">
        <f>SUM(T133:T135)</f>
        <v>0</v>
      </c>
      <c r="U132" s="9">
        <f>+O132+Q132-T132</f>
        <v>-376415.13999999996</v>
      </c>
      <c r="V132" s="9">
        <v>-373252.12</v>
      </c>
      <c r="W132" s="9">
        <f>U132-V132</f>
        <v>-3163.0199999999604</v>
      </c>
      <c r="AA132" s="315">
        <f t="shared" si="12"/>
        <v>0</v>
      </c>
    </row>
    <row r="133" spans="1:28" x14ac:dyDescent="0.25">
      <c r="A133" s="184"/>
      <c r="B133" s="27">
        <v>4751007</v>
      </c>
      <c r="C133" s="27" t="s">
        <v>104</v>
      </c>
      <c r="E133" s="197">
        <f>IFERROR(VLOOKUP('CONSOLIDADO MARZO 2018'!B133,'EF ALPA'!$A$2:$C$561,3,FALSE),0)</f>
        <v>-342963.74</v>
      </c>
      <c r="F133" s="197">
        <f>IFERROR(VLOOKUP(B133,'EF ASGT'!$A$2:$F$492,3,FALSE),0)</f>
        <v>-9073.67</v>
      </c>
      <c r="G133" s="197">
        <f>IFERROR(VLOOKUP('CONSOLIDADO MARZO 2018'!B133,'EF ALGT'!$A$2:$C$474,3,FALSE),0)</f>
        <v>-3441.8</v>
      </c>
      <c r="H133" s="197">
        <f>IFERROR(VLOOKUP('CONSOLIDADO MARZO 2018'!B133,'EF DAGT'!$A$2:$C$285,3,FALSE),0)</f>
        <v>-52.13</v>
      </c>
      <c r="I133" s="25">
        <f>SUM(E133:H133)</f>
        <v>-355531.33999999997</v>
      </c>
      <c r="J133" s="97"/>
      <c r="K133" s="97"/>
      <c r="L133" s="97"/>
      <c r="M133" s="97"/>
      <c r="N133" s="97"/>
      <c r="O133" s="197">
        <f t="shared" si="21"/>
        <v>-355531.33999999997</v>
      </c>
      <c r="P133" s="97"/>
      <c r="Q133" s="22"/>
      <c r="R133" s="92"/>
      <c r="S133" s="92"/>
      <c r="T133" s="15"/>
      <c r="U133" s="197">
        <f t="shared" si="18"/>
        <v>-355531.33999999997</v>
      </c>
      <c r="V133" s="25"/>
      <c r="AA133" s="315">
        <f t="shared" si="12"/>
        <v>0</v>
      </c>
      <c r="AB133" s="315">
        <f t="shared" si="13"/>
        <v>-355531.33999999997</v>
      </c>
    </row>
    <row r="134" spans="1:28" s="184" customFormat="1" x14ac:dyDescent="0.25">
      <c r="B134" s="167">
        <v>4751009</v>
      </c>
      <c r="C134" s="167" t="s">
        <v>487</v>
      </c>
      <c r="E134" s="197">
        <f>IFERROR(VLOOKUP('CONSOLIDADO MARZO 2018'!B134,'EF ALPA'!$A$2:$C$561,3,FALSE),0)</f>
        <v>0</v>
      </c>
      <c r="F134" s="197">
        <f>IFERROR(VLOOKUP(B134,'EF ASGT'!$A$2:$F$492,3,FALSE),0)</f>
        <v>-9295.85</v>
      </c>
      <c r="G134" s="197">
        <f>IFERROR(VLOOKUP('CONSOLIDADO MARZO 2018'!B134,'EF ALGT'!$A$2:$C$474,3,FALSE),0)</f>
        <v>0</v>
      </c>
      <c r="H134" s="197">
        <f>IFERROR(VLOOKUP('CONSOLIDADO MARZO 2018'!B134,'EF DAGT'!$A$2:$C$285,3,FALSE),0)</f>
        <v>0</v>
      </c>
      <c r="I134" s="197">
        <f>SUM(E134:H134)</f>
        <v>-9295.85</v>
      </c>
      <c r="J134" s="97"/>
      <c r="K134" s="97"/>
      <c r="L134" s="97"/>
      <c r="M134" s="97"/>
      <c r="N134" s="97"/>
      <c r="O134" s="197">
        <f t="shared" si="21"/>
        <v>-9295.85</v>
      </c>
      <c r="P134" s="97"/>
      <c r="Q134" s="22"/>
      <c r="R134" s="92"/>
      <c r="S134" s="92"/>
      <c r="T134" s="15"/>
      <c r="U134" s="197">
        <f t="shared" si="18"/>
        <v>-9295.85</v>
      </c>
      <c r="V134" s="197"/>
      <c r="AA134" s="315">
        <f t="shared" si="12"/>
        <v>0</v>
      </c>
      <c r="AB134" s="315">
        <f t="shared" si="13"/>
        <v>-9295.85</v>
      </c>
    </row>
    <row r="135" spans="1:28" s="184" customFormat="1" x14ac:dyDescent="0.25">
      <c r="B135" s="167">
        <v>4770000</v>
      </c>
      <c r="C135" s="167" t="s">
        <v>105</v>
      </c>
      <c r="E135" s="197">
        <f>IFERROR(VLOOKUP('CONSOLIDADO MARZO 2018'!B135,'EF ALPA'!$A$2:$C$561,3,FALSE),0)</f>
        <v>0</v>
      </c>
      <c r="F135" s="197">
        <f>IFERROR(VLOOKUP(B135,'EF ASGT'!$A$2:$F$492,3,FALSE),0)</f>
        <v>123.29</v>
      </c>
      <c r="G135" s="197">
        <f>IFERROR(VLOOKUP('CONSOLIDADO MARZO 2018'!B135,'EF ALGT'!$A$2:$C$474,3,FALSE),0)</f>
        <v>-11759.63</v>
      </c>
      <c r="H135" s="197">
        <f>IFERROR(VLOOKUP('CONSOLIDADO MARZO 2018'!B135,'EF DAGT'!$A$2:$C$285,3,FALSE),0)</f>
        <v>48.39</v>
      </c>
      <c r="I135" s="197">
        <f>SUM(E135:H135)</f>
        <v>-11587.949999999999</v>
      </c>
      <c r="J135" s="97" t="s">
        <v>481</v>
      </c>
      <c r="K135" s="97"/>
      <c r="L135" s="97"/>
      <c r="M135" s="97"/>
      <c r="N135" s="97"/>
      <c r="O135" s="197">
        <f t="shared" si="21"/>
        <v>-11587.949999999999</v>
      </c>
      <c r="P135" s="97"/>
      <c r="Q135" s="275"/>
      <c r="R135" s="92"/>
      <c r="S135" s="92"/>
      <c r="T135" s="15"/>
      <c r="U135" s="197">
        <f t="shared" si="18"/>
        <v>-11587.949999999999</v>
      </c>
      <c r="V135" s="197"/>
      <c r="AA135" s="315">
        <f t="shared" si="12"/>
        <v>0</v>
      </c>
      <c r="AB135" s="315">
        <f t="shared" si="13"/>
        <v>-11587.949999999999</v>
      </c>
    </row>
    <row r="136" spans="1:28" s="184" customFormat="1" x14ac:dyDescent="0.25">
      <c r="A136" s="4"/>
      <c r="B136" s="5"/>
      <c r="C136" s="5" t="s">
        <v>492</v>
      </c>
      <c r="D136" s="5"/>
      <c r="E136" s="9">
        <f>+E137</f>
        <v>0</v>
      </c>
      <c r="F136" s="9">
        <f>+F137</f>
        <v>0</v>
      </c>
      <c r="G136" s="9">
        <f>+G137</f>
        <v>0</v>
      </c>
      <c r="H136" s="9">
        <f>+H137</f>
        <v>0</v>
      </c>
      <c r="I136" s="9">
        <f>+I137</f>
        <v>0</v>
      </c>
      <c r="J136" s="98"/>
      <c r="K136" s="98"/>
      <c r="L136" s="98"/>
      <c r="M136" s="98"/>
      <c r="N136" s="98"/>
      <c r="O136" s="9">
        <f>I136+K136-N136</f>
        <v>0</v>
      </c>
      <c r="P136" s="98"/>
      <c r="Q136" s="9">
        <f>+Q137</f>
        <v>0</v>
      </c>
      <c r="R136" s="89"/>
      <c r="S136" s="89"/>
      <c r="T136" s="9"/>
      <c r="U136" s="9">
        <f>+U137</f>
        <v>0</v>
      </c>
      <c r="V136" s="9">
        <v>-100371</v>
      </c>
      <c r="W136" s="9">
        <f>U136-V136</f>
        <v>100371</v>
      </c>
      <c r="AA136" s="315">
        <f t="shared" si="12"/>
        <v>0</v>
      </c>
      <c r="AB136" s="315"/>
    </row>
    <row r="137" spans="1:28" s="184" customFormat="1" x14ac:dyDescent="0.25">
      <c r="B137" s="167"/>
      <c r="C137" s="167" t="s">
        <v>492</v>
      </c>
      <c r="E137" s="197">
        <f>IFERROR(VLOOKUP('CONSOLIDADO MARZO 2018'!B137,'EF ALPA'!$A$2:$C$67,3,FALSE),0)</f>
        <v>0</v>
      </c>
      <c r="F137" s="197">
        <f>IFERROR(VLOOKUP(B137,'EF ASGT'!$A$2:$F$77,3,FALSE),0)</f>
        <v>0</v>
      </c>
      <c r="G137" s="197">
        <f>IFERROR(VLOOKUP('CONSOLIDADO MARZO 2018'!B137,'EF ALGT'!$A$2:$C$474,3,FALSE),0)</f>
        <v>0</v>
      </c>
      <c r="H137" s="197">
        <f>IFERROR(VLOOKUP('CONSOLIDADO MARZO 2018'!B137,'EF DAGT'!$A$2:$C$34,3,FALSE),0)</f>
        <v>0</v>
      </c>
      <c r="I137" s="197">
        <f>SUM(E137:H137)</f>
        <v>0</v>
      </c>
      <c r="J137" s="97"/>
      <c r="K137" s="97"/>
      <c r="L137" s="97"/>
      <c r="M137" s="97"/>
      <c r="N137" s="97"/>
      <c r="O137" s="197">
        <f t="shared" si="21"/>
        <v>0</v>
      </c>
      <c r="P137" s="97"/>
      <c r="Q137" s="197"/>
      <c r="R137" s="92"/>
      <c r="S137" s="92">
        <v>17</v>
      </c>
      <c r="T137" s="284"/>
      <c r="U137" s="197">
        <f t="shared" si="18"/>
        <v>0</v>
      </c>
      <c r="V137" s="197"/>
      <c r="AA137" s="315">
        <f t="shared" si="12"/>
        <v>0</v>
      </c>
      <c r="AB137" s="315">
        <f t="shared" si="13"/>
        <v>0</v>
      </c>
    </row>
    <row r="138" spans="1:28" s="184" customFormat="1" x14ac:dyDescent="0.25">
      <c r="A138" s="4"/>
      <c r="B138" s="5"/>
      <c r="C138" s="5" t="s">
        <v>340</v>
      </c>
      <c r="D138" s="5"/>
      <c r="E138" s="9">
        <f>+E139</f>
        <v>-200081.25</v>
      </c>
      <c r="F138" s="9">
        <f>+F139</f>
        <v>0</v>
      </c>
      <c r="G138" s="9">
        <f>+G139</f>
        <v>0</v>
      </c>
      <c r="H138" s="9">
        <f>+H139</f>
        <v>0</v>
      </c>
      <c r="I138" s="9">
        <f>+I139</f>
        <v>-200081.25</v>
      </c>
      <c r="J138" s="98"/>
      <c r="K138" s="98">
        <f>SUM(K139:K144)</f>
        <v>0</v>
      </c>
      <c r="L138" s="98"/>
      <c r="M138" s="98"/>
      <c r="N138" s="98">
        <f>SUM(N139:N144)</f>
        <v>0</v>
      </c>
      <c r="O138" s="9">
        <f>I138+K138-N138</f>
        <v>-200081.25</v>
      </c>
      <c r="P138" s="98"/>
      <c r="Q138" s="9">
        <f>+Q139</f>
        <v>0</v>
      </c>
      <c r="R138" s="89"/>
      <c r="S138" s="89"/>
      <c r="T138" s="9">
        <f>+T139</f>
        <v>0</v>
      </c>
      <c r="U138" s="9">
        <f>+O138+Q138-T138</f>
        <v>-200081.25</v>
      </c>
      <c r="V138" s="9">
        <v>-200081.55000000002</v>
      </c>
      <c r="W138" s="9">
        <f>U138-V138</f>
        <v>0.3000000000174623</v>
      </c>
      <c r="AA138" s="315">
        <f t="shared" si="12"/>
        <v>0</v>
      </c>
      <c r="AB138" s="315"/>
    </row>
    <row r="139" spans="1:28" s="184" customFormat="1" x14ac:dyDescent="0.25">
      <c r="B139" s="167">
        <v>4790000</v>
      </c>
      <c r="C139" s="167" t="s">
        <v>340</v>
      </c>
      <c r="E139" s="197">
        <f>IFERROR(VLOOKUP('CONSOLIDADO MARZO 2018'!B139,'EF ALPA'!$A$2:$C$561,3,FALSE),0)</f>
        <v>-200081.25</v>
      </c>
      <c r="F139" s="197">
        <f>IFERROR(VLOOKUP(B139,'EF ASGT'!$A$2:$F$492,3,FALSE),0)</f>
        <v>0</v>
      </c>
      <c r="G139" s="197">
        <f>IFERROR(VLOOKUP('CONSOLIDADO MARZO 2018'!B139,'EF ALGT'!$A$2:$C$474,3,FALSE),0)</f>
        <v>0</v>
      </c>
      <c r="H139" s="197">
        <f>IFERROR(VLOOKUP('CONSOLIDADO MARZO 2018'!B139,'EF DAGT'!$A$2:$C$285,3,FALSE),0)</f>
        <v>0</v>
      </c>
      <c r="I139" s="197">
        <f>SUM(E139:H139)</f>
        <v>-200081.25</v>
      </c>
      <c r="J139" s="97"/>
      <c r="K139" s="97"/>
      <c r="L139" s="97"/>
      <c r="M139" s="97"/>
      <c r="N139" s="284"/>
      <c r="O139" s="197">
        <f t="shared" si="21"/>
        <v>-200081.25</v>
      </c>
      <c r="P139" s="97">
        <v>12</v>
      </c>
      <c r="Q139" s="70"/>
      <c r="R139" s="92"/>
      <c r="S139" s="92">
        <v>13</v>
      </c>
      <c r="T139" s="284"/>
      <c r="U139" s="197">
        <f t="shared" si="18"/>
        <v>-200081.25</v>
      </c>
      <c r="V139" s="197"/>
      <c r="Z139" s="277">
        <f>7292.77+20552.79+39675.28+40393.12+44219.44+45456.39-17396.39+33994.82+2879.27-2686.54+192+7607-2722.89</f>
        <v>219457.05999999994</v>
      </c>
      <c r="AA139" s="315">
        <f t="shared" si="12"/>
        <v>0</v>
      </c>
      <c r="AB139" s="315">
        <f t="shared" si="13"/>
        <v>-200081.25</v>
      </c>
    </row>
    <row r="140" spans="1:28" x14ac:dyDescent="0.25">
      <c r="A140" s="16">
        <v>226</v>
      </c>
      <c r="B140" s="5"/>
      <c r="C140" s="5" t="s">
        <v>158</v>
      </c>
      <c r="D140" s="5"/>
      <c r="E140" s="9">
        <f>SUM(E141:E144)</f>
        <v>-41570.31</v>
      </c>
      <c r="F140" s="9">
        <f>SUM(F141:F144)</f>
        <v>-54428.520000000004</v>
      </c>
      <c r="G140" s="9">
        <f>SUM(G141:G144)</f>
        <v>-14380.08</v>
      </c>
      <c r="H140" s="9">
        <f>SUM(H141:H144)</f>
        <v>0</v>
      </c>
      <c r="I140" s="9">
        <f>SUM(I141:I144)</f>
        <v>-110378.90999999999</v>
      </c>
      <c r="J140" s="9"/>
      <c r="K140" s="9">
        <f>SUM(K141:K144)</f>
        <v>0</v>
      </c>
      <c r="L140" s="9"/>
      <c r="M140" s="9"/>
      <c r="N140" s="9">
        <f>SUM(N141:N144)</f>
        <v>0</v>
      </c>
      <c r="O140" s="9">
        <f>I140+K140-N140</f>
        <v>-110378.90999999999</v>
      </c>
      <c r="P140" s="97"/>
      <c r="Q140" s="9">
        <f>SUM(Q141:Q144)</f>
        <v>0</v>
      </c>
      <c r="R140" s="89"/>
      <c r="S140" s="89"/>
      <c r="T140" s="9">
        <f>SUM(T141:T144)</f>
        <v>0</v>
      </c>
      <c r="U140" s="9">
        <f>+O140+Q140-T140</f>
        <v>-110378.90999999999</v>
      </c>
      <c r="V140" s="9">
        <v>-110378.90999999999</v>
      </c>
      <c r="W140" s="9">
        <f>U140-V140</f>
        <v>0</v>
      </c>
      <c r="AA140" s="315">
        <f t="shared" si="12"/>
        <v>0</v>
      </c>
    </row>
    <row r="141" spans="1:28" x14ac:dyDescent="0.25">
      <c r="A141">
        <v>226</v>
      </c>
      <c r="B141" s="27">
        <v>4760000</v>
      </c>
      <c r="C141" s="27" t="s">
        <v>101</v>
      </c>
      <c r="E141" s="197">
        <f>IFERROR(VLOOKUP('CONSOLIDADO MARZO 2018'!B141,'EF ALPA'!$A$2:$C$561,3,FALSE),0)</f>
        <v>0</v>
      </c>
      <c r="F141" s="197">
        <f>IFERROR(VLOOKUP(B141,'EF ASGT'!$A$2:$F$492,3,FALSE),0)</f>
        <v>-28886.080000000002</v>
      </c>
      <c r="G141" s="197">
        <f>IFERROR(VLOOKUP('CONSOLIDADO MARZO 2018'!B141,'EF ALGT'!$A$2:$C$474,3,FALSE),0)</f>
        <v>-9734.25</v>
      </c>
      <c r="H141" s="197">
        <f>IFERROR(VLOOKUP('CONSOLIDADO MARZO 2018'!B141,'EF DAGT'!$A$2:$C$285,3,FALSE),0)</f>
        <v>0</v>
      </c>
      <c r="I141" s="25">
        <f>SUM(E141:H141)</f>
        <v>-38620.33</v>
      </c>
      <c r="J141" s="92"/>
      <c r="K141" s="92"/>
      <c r="L141" s="92"/>
      <c r="M141" s="92"/>
      <c r="N141" s="92"/>
      <c r="O141" s="197">
        <f t="shared" si="21"/>
        <v>-38620.33</v>
      </c>
      <c r="P141" s="92"/>
      <c r="U141" s="197">
        <f t="shared" si="18"/>
        <v>-38620.33</v>
      </c>
      <c r="V141" s="25"/>
      <c r="AA141" s="315">
        <f t="shared" ref="AA141:AA154" si="23">I141-O141</f>
        <v>0</v>
      </c>
      <c r="AB141" s="315">
        <f t="shared" ref="AB141:AB155" si="24">U141-AA141</f>
        <v>-38620.33</v>
      </c>
    </row>
    <row r="142" spans="1:28" x14ac:dyDescent="0.25">
      <c r="A142">
        <v>226</v>
      </c>
      <c r="B142" s="27">
        <v>4760023</v>
      </c>
      <c r="C142" s="27" t="s">
        <v>102</v>
      </c>
      <c r="E142" s="197">
        <f>IFERROR(VLOOKUP('CONSOLIDADO MARZO 2018'!B142,'EF ALPA'!$A$2:$C$561,3,FALSE),0)</f>
        <v>-41570.31</v>
      </c>
      <c r="F142" s="197">
        <f>IFERROR(VLOOKUP(B142,'EF ASGT'!$A$2:$F$492,3,FALSE),0)</f>
        <v>-11011.96</v>
      </c>
      <c r="G142" s="197">
        <f>IFERROR(VLOOKUP('CONSOLIDADO MARZO 2018'!B142,'EF ALGT'!$A$2:$C$474,3,FALSE),0)</f>
        <v>-3710.92</v>
      </c>
      <c r="H142" s="197">
        <f>IFERROR(VLOOKUP('CONSOLIDADO MARZO 2018'!B142,'EF DAGT'!$A$2:$C$285,3,FALSE),0)</f>
        <v>0</v>
      </c>
      <c r="I142" s="25">
        <f>SUM(E142:H142)</f>
        <v>-56293.189999999995</v>
      </c>
      <c r="J142" s="92"/>
      <c r="K142" s="92"/>
      <c r="L142" s="92"/>
      <c r="M142" s="92"/>
      <c r="N142" s="92"/>
      <c r="O142" s="197">
        <f t="shared" si="21"/>
        <v>-56293.189999999995</v>
      </c>
      <c r="P142" s="92"/>
      <c r="U142" s="197">
        <f t="shared" si="18"/>
        <v>-56293.189999999995</v>
      </c>
      <c r="V142" s="25"/>
      <c r="AA142" s="315">
        <f t="shared" si="23"/>
        <v>0</v>
      </c>
      <c r="AB142" s="315">
        <f t="shared" si="24"/>
        <v>-56293.189999999995</v>
      </c>
    </row>
    <row r="143" spans="1:28" s="184" customFormat="1" x14ac:dyDescent="0.25">
      <c r="A143" s="184">
        <v>226</v>
      </c>
      <c r="B143" s="167">
        <v>5550000</v>
      </c>
      <c r="C143" s="167" t="s">
        <v>846</v>
      </c>
      <c r="E143" s="197">
        <v>0</v>
      </c>
      <c r="F143" s="197">
        <f>IFERROR(VLOOKUP(B143,'EF ASGT'!$A$2:$F$492,3,FALSE),0)</f>
        <v>0</v>
      </c>
      <c r="G143" s="197">
        <f>IFERROR(VLOOKUP('CONSOLIDADO MARZO 2018'!B143,'EF ALGT'!$A$2:$C$474,3,FALSE),0)</f>
        <v>0</v>
      </c>
      <c r="H143" s="197">
        <f>IFERROR(VLOOKUP('CONSOLIDADO MARZO 2018'!B143,'EF DAGT'!$A$2:$C$285,3,FALSE),0)</f>
        <v>0</v>
      </c>
      <c r="I143" s="197">
        <f>SUM(E143:H143)</f>
        <v>0</v>
      </c>
      <c r="J143" s="92"/>
      <c r="K143" s="92"/>
      <c r="L143" s="92"/>
      <c r="M143" s="92"/>
      <c r="N143" s="92"/>
      <c r="O143" s="197">
        <f>I143+K143-N143</f>
        <v>0</v>
      </c>
      <c r="P143" s="92"/>
      <c r="R143" s="87"/>
      <c r="S143" s="87"/>
      <c r="U143" s="197">
        <f>O143+Q143-T143</f>
        <v>0</v>
      </c>
      <c r="V143" s="197"/>
      <c r="AA143" s="315">
        <f>I143-O143</f>
        <v>0</v>
      </c>
      <c r="AB143" s="315">
        <f>U143-AA143</f>
        <v>0</v>
      </c>
    </row>
    <row r="144" spans="1:28" x14ac:dyDescent="0.25">
      <c r="A144">
        <v>226</v>
      </c>
      <c r="B144" s="27">
        <v>4760024</v>
      </c>
      <c r="C144" s="27" t="s">
        <v>103</v>
      </c>
      <c r="E144" s="197">
        <f>IFERROR(VLOOKUP('CONSOLIDADO MARZO 2018'!B144,'EF ALPA'!$A$2:$C$561,3,FALSE),0)</f>
        <v>0</v>
      </c>
      <c r="F144" s="197">
        <f>IFERROR(VLOOKUP(B144,'EF ASGT'!$A$2:$F$492,3,FALSE),0)</f>
        <v>-14530.48</v>
      </c>
      <c r="G144" s="197">
        <f>IFERROR(VLOOKUP('CONSOLIDADO MARZO 2018'!B144,'EF ALGT'!$A$2:$C$474,3,FALSE),0)</f>
        <v>-934.91</v>
      </c>
      <c r="H144" s="197">
        <f>IFERROR(VLOOKUP('CONSOLIDADO MARZO 2018'!B144,'EF DAGT'!$A$2:$C$285,3,FALSE),0)</f>
        <v>0</v>
      </c>
      <c r="I144" s="25">
        <f>SUM(E144:H144)</f>
        <v>-15465.39</v>
      </c>
      <c r="J144" s="92"/>
      <c r="K144" s="92"/>
      <c r="L144" s="92"/>
      <c r="M144" s="92"/>
      <c r="N144" s="92"/>
      <c r="O144" s="197">
        <f t="shared" si="21"/>
        <v>-15465.39</v>
      </c>
      <c r="P144" s="92"/>
      <c r="U144" s="197">
        <f t="shared" si="18"/>
        <v>-15465.39</v>
      </c>
      <c r="V144" s="25"/>
      <c r="AA144" s="315">
        <f t="shared" si="23"/>
        <v>0</v>
      </c>
      <c r="AB144" s="315">
        <f t="shared" si="24"/>
        <v>-15465.39</v>
      </c>
    </row>
    <row r="145" spans="1:29" x14ac:dyDescent="0.25">
      <c r="A145" s="5"/>
      <c r="B145" s="5"/>
      <c r="C145" s="5" t="s">
        <v>106</v>
      </c>
      <c r="D145" s="5"/>
      <c r="E145" s="9">
        <f>E146</f>
        <v>0</v>
      </c>
      <c r="F145" s="9">
        <f>F146</f>
        <v>0</v>
      </c>
      <c r="G145" s="9">
        <f>G146</f>
        <v>-3430046.16</v>
      </c>
      <c r="H145" s="9">
        <f>H146</f>
        <v>0</v>
      </c>
      <c r="I145" s="9">
        <f>I146</f>
        <v>-3430046.16</v>
      </c>
      <c r="J145" s="9"/>
      <c r="K145" s="9">
        <f>K146</f>
        <v>0</v>
      </c>
      <c r="L145" s="9"/>
      <c r="M145" s="9"/>
      <c r="N145" s="9">
        <f>N146</f>
        <v>0</v>
      </c>
      <c r="O145" s="9">
        <f>I145+K145-N145</f>
        <v>-3430046.16</v>
      </c>
      <c r="P145" s="98"/>
      <c r="Q145" s="9">
        <f>Q146</f>
        <v>3430758.14</v>
      </c>
      <c r="R145" s="89"/>
      <c r="S145" s="89"/>
      <c r="T145" s="9">
        <f>T146</f>
        <v>0</v>
      </c>
      <c r="U145" s="9">
        <f>+O145+Q145-T145</f>
        <v>711.97999999998137</v>
      </c>
      <c r="V145" s="9">
        <f>V146</f>
        <v>0</v>
      </c>
      <c r="W145" s="9">
        <f>W146</f>
        <v>0</v>
      </c>
      <c r="AA145" s="315">
        <f t="shared" si="23"/>
        <v>0</v>
      </c>
    </row>
    <row r="146" spans="1:29" x14ac:dyDescent="0.25">
      <c r="A146">
        <v>229</v>
      </c>
      <c r="B146" s="27">
        <v>5510000</v>
      </c>
      <c r="C146" s="27" t="s">
        <v>46</v>
      </c>
      <c r="E146" s="197">
        <v>0</v>
      </c>
      <c r="F146" s="197">
        <f>IFERROR(VLOOKUP(B146,'EF ASGT'!$A$2:$F$492,3,FALSE),0)</f>
        <v>0</v>
      </c>
      <c r="G146" s="197">
        <f>IFERROR(VLOOKUP('CONSOLIDADO MARZO 2018'!B146,'EF ALGT'!$A$2:$C$474,3,FALSE),0)</f>
        <v>-3430046.16</v>
      </c>
      <c r="H146" s="197">
        <f>IFERROR(VLOOKUP('CONSOLIDADO MARZO 2018'!B146,'EF DAGT'!$A$2:$C$285,3,FALSE),0)</f>
        <v>0</v>
      </c>
      <c r="I146" s="25">
        <f>SUM(E146:H146)</f>
        <v>-3430046.16</v>
      </c>
      <c r="J146" s="87">
        <v>2</v>
      </c>
      <c r="O146" s="197">
        <f t="shared" si="21"/>
        <v>-3430046.16</v>
      </c>
      <c r="P146" s="87">
        <v>2</v>
      </c>
      <c r="Q146" s="286">
        <v>3430758.14</v>
      </c>
      <c r="R146" s="266"/>
      <c r="S146" s="266"/>
      <c r="T146" s="287"/>
      <c r="U146" s="197">
        <f t="shared" si="18"/>
        <v>711.97999999998137</v>
      </c>
      <c r="V146" s="25"/>
      <c r="AA146" s="315">
        <f t="shared" si="23"/>
        <v>0</v>
      </c>
      <c r="AB146" s="315">
        <f t="shared" si="24"/>
        <v>711.97999999998137</v>
      </c>
    </row>
    <row r="147" spans="1:29" x14ac:dyDescent="0.25">
      <c r="A147" s="4">
        <v>24</v>
      </c>
      <c r="B147" s="5"/>
      <c r="C147" s="5" t="s">
        <v>107</v>
      </c>
      <c r="D147" s="5"/>
      <c r="E147" s="9">
        <f>+E148</f>
        <v>63707.92</v>
      </c>
      <c r="F147" s="9">
        <f>+F148</f>
        <v>-42236.26</v>
      </c>
      <c r="G147" s="9">
        <f>+G148</f>
        <v>-21471.66</v>
      </c>
      <c r="H147" s="9">
        <f>+H148</f>
        <v>0</v>
      </c>
      <c r="I147" s="9">
        <f>+I148</f>
        <v>-3.637978807091713E-12</v>
      </c>
      <c r="J147" s="98"/>
      <c r="K147" s="9">
        <f>K148</f>
        <v>0</v>
      </c>
      <c r="L147" s="9"/>
      <c r="M147" s="9"/>
      <c r="N147" s="9">
        <f>N148</f>
        <v>0</v>
      </c>
      <c r="O147" s="9">
        <f>I147+K147-N147</f>
        <v>-3.637978807091713E-12</v>
      </c>
      <c r="P147" s="98"/>
      <c r="Q147" s="9">
        <f>SUM(Q148)</f>
        <v>0</v>
      </c>
      <c r="R147" s="89"/>
      <c r="S147" s="89"/>
      <c r="T147" s="9">
        <f>SUM(T148)</f>
        <v>0</v>
      </c>
      <c r="U147" s="9">
        <f>+O147+Q147-T147</f>
        <v>-3.637978807091713E-12</v>
      </c>
      <c r="V147" s="9">
        <f>SUM(V148)</f>
        <v>0</v>
      </c>
      <c r="W147" s="9">
        <f>SUM(W148)</f>
        <v>0</v>
      </c>
      <c r="AA147" s="315">
        <f t="shared" si="23"/>
        <v>0</v>
      </c>
      <c r="AB147" s="315">
        <f t="shared" si="24"/>
        <v>-3.637978807091713E-12</v>
      </c>
    </row>
    <row r="148" spans="1:29" x14ac:dyDescent="0.25">
      <c r="A148">
        <v>241</v>
      </c>
      <c r="B148" s="27">
        <v>1420000</v>
      </c>
      <c r="C148" s="27" t="s">
        <v>108</v>
      </c>
      <c r="E148" s="197">
        <f>IFERROR(VLOOKUP('CONSOLIDADO MARZO 2018'!B148,'EF ALPA'!$A$2:$C$561,3,FALSE),0)</f>
        <v>63707.92</v>
      </c>
      <c r="F148" s="197">
        <f>IFERROR(VLOOKUP(B148,'EF ASGT'!$A$2:$F$492,3,FALSE),0)</f>
        <v>-42236.26</v>
      </c>
      <c r="G148" s="197">
        <f>IFERROR(VLOOKUP('CONSOLIDADO MARZO 2018'!B148,'EF ALGT'!$A$2:$C$474,3,FALSE),0)</f>
        <v>-21471.66</v>
      </c>
      <c r="H148" s="197">
        <f>IFERROR(VLOOKUP('CONSOLIDADO MARZO 2018'!B148,'EF DAGT'!$A$2:$C$285,3,FALSE),0)</f>
        <v>0</v>
      </c>
      <c r="I148" s="25">
        <f>SUM(E148:H148)</f>
        <v>-3.637978807091713E-12</v>
      </c>
      <c r="O148" s="197">
        <f t="shared" si="21"/>
        <v>-3.637978807091713E-12</v>
      </c>
      <c r="P148" s="87">
        <v>12</v>
      </c>
      <c r="Q148" s="267"/>
      <c r="R148" s="86"/>
      <c r="S148" s="86"/>
      <c r="T148" s="25">
        <v>0</v>
      </c>
      <c r="U148" s="197">
        <f t="shared" si="18"/>
        <v>-3.637978807091713E-12</v>
      </c>
      <c r="V148" s="25">
        <v>0</v>
      </c>
      <c r="W148" s="25">
        <v>0</v>
      </c>
      <c r="AA148" s="315">
        <f t="shared" si="23"/>
        <v>0</v>
      </c>
      <c r="AB148" s="315">
        <f t="shared" si="24"/>
        <v>-3.637978807091713E-12</v>
      </c>
    </row>
    <row r="149" spans="1:29" x14ac:dyDescent="0.25">
      <c r="A149" s="5"/>
      <c r="B149" s="5"/>
      <c r="C149" s="5" t="s">
        <v>109</v>
      </c>
      <c r="D149" s="18" t="s">
        <v>127</v>
      </c>
      <c r="E149" s="9">
        <f>E147+E145+E140+E138+E136+E132+E125+E114+E107</f>
        <v>-11929962.689999999</v>
      </c>
      <c r="F149" s="9">
        <f>F107+F114+F125+F132+F140+F145+F147+F138+F136</f>
        <v>-5358372.79</v>
      </c>
      <c r="G149" s="9">
        <f>G107+G114+G125+G132+G140+G145+G147+G138+G136</f>
        <v>-5052701.13</v>
      </c>
      <c r="H149" s="9">
        <f>H107+H114+H125+H132+H140+H145+H147+H138+H136</f>
        <v>-632904.04</v>
      </c>
      <c r="I149" s="9">
        <f>I107+I114+I125+I132+I140+I145+I147+I138+I136</f>
        <v>-22973940.649999999</v>
      </c>
      <c r="J149" s="9"/>
      <c r="K149" s="9">
        <f>K107+K114+K125+K132+K140+K145+K147+K138+K136</f>
        <v>0</v>
      </c>
      <c r="L149" s="9"/>
      <c r="M149" s="9"/>
      <c r="N149" s="9">
        <f>N107+N114+N125+N132+N140+N145+N147+N138+N136</f>
        <v>0</v>
      </c>
      <c r="O149" s="9">
        <f>O107+O114+O125+O132+O140+O145+O147+O138+O136</f>
        <v>-22973940.649999999</v>
      </c>
      <c r="P149" s="98"/>
      <c r="Q149" s="9">
        <f>Q107+Q114+Q125+Q132+Q140+Q145+Q147+Q138+Q136</f>
        <v>8856613.3200000003</v>
      </c>
      <c r="R149" s="89"/>
      <c r="S149" s="89"/>
      <c r="T149" s="9">
        <f>T107+T114+T125+T132+T140+T145+T147+T138+T136</f>
        <v>17817.97</v>
      </c>
      <c r="U149" s="9">
        <f>U107+U114+U125+U132+U140+U145+U147+U138+U136</f>
        <v>-14135145.300000001</v>
      </c>
      <c r="V149" s="9">
        <f>V107+V114+V125+V132+V140+V145+V147+V136+V138</f>
        <v>-14134991.83</v>
      </c>
      <c r="W149" s="9">
        <f>W107+W114+W125+W132+W140+W145+W147+W136+W138</f>
        <v>-865.44999999945867</v>
      </c>
      <c r="X149" s="197">
        <f>U149+11599472</f>
        <v>-2535673.3000000007</v>
      </c>
      <c r="Y149" s="197"/>
      <c r="Z149" s="197"/>
      <c r="AA149" s="315">
        <f t="shared" si="23"/>
        <v>0</v>
      </c>
    </row>
    <row r="150" spans="1:29" x14ac:dyDescent="0.25">
      <c r="A150" s="7">
        <v>31</v>
      </c>
      <c r="B150" s="8"/>
      <c r="C150" s="8" t="s">
        <v>110</v>
      </c>
      <c r="D150" s="8"/>
      <c r="E150" s="13">
        <f>SUM(E151:E155)</f>
        <v>-13940857.940000001</v>
      </c>
      <c r="F150" s="13">
        <f>SUM(F151:F155)</f>
        <v>-1997257</v>
      </c>
      <c r="G150" s="13">
        <f>SUM(G151:G155)</f>
        <v>-338111.58000000007</v>
      </c>
      <c r="H150" s="13">
        <f>SUM(H151:H155)</f>
        <v>-117063.78</v>
      </c>
      <c r="I150" s="13">
        <f>SUM(I151:I155)</f>
        <v>-16393290.300000001</v>
      </c>
      <c r="J150" s="13"/>
      <c r="K150" s="13">
        <f>SUM(K151:K155)</f>
        <v>0</v>
      </c>
      <c r="L150" s="13"/>
      <c r="M150" s="13"/>
      <c r="N150" s="13">
        <f>SUM(N151:N155)</f>
        <v>1125922</v>
      </c>
      <c r="O150" s="13">
        <f>SUM(O151:O155)</f>
        <v>-17519212.300000001</v>
      </c>
      <c r="P150" s="89"/>
      <c r="Q150" s="13">
        <f>SUM(Q151:Q155)</f>
        <v>150118.32999999999</v>
      </c>
      <c r="R150" s="95"/>
      <c r="S150" s="95"/>
      <c r="T150" s="13">
        <f>SUM(T151:T155)</f>
        <v>0.78</v>
      </c>
      <c r="U150" s="13">
        <f>SUM(U151:U155)</f>
        <v>-17369094.75</v>
      </c>
      <c r="V150" s="13">
        <f>SUM(V151:V155)</f>
        <v>-17367829.100000001</v>
      </c>
      <c r="W150" s="13">
        <f>SUM(W151:W155)</f>
        <v>-1265.6499999994412</v>
      </c>
      <c r="X150" s="197">
        <f>U150+14035057</f>
        <v>-3334037.75</v>
      </c>
      <c r="Y150" s="197"/>
      <c r="Z150" s="197"/>
      <c r="AA150" s="315">
        <f t="shared" si="23"/>
        <v>1125922</v>
      </c>
    </row>
    <row r="151" spans="1:29" x14ac:dyDescent="0.25">
      <c r="A151">
        <v>311</v>
      </c>
      <c r="B151" s="27">
        <v>1000000</v>
      </c>
      <c r="C151" s="27" t="s">
        <v>111</v>
      </c>
      <c r="E151" s="197">
        <f>IFERROR(VLOOKUP('CONSOLIDADO MARZO 2018'!B151,'EF ALPA'!$A$2:$C$561,3,FALSE),0)</f>
        <v>-1492894.33</v>
      </c>
      <c r="F151" s="197">
        <f>IFERROR(VLOOKUP(B151,'EF ASGT'!$A$2:$F$492,3,FALSE),0)</f>
        <v>-13102</v>
      </c>
      <c r="G151" s="197">
        <f>IFERROR(VLOOKUP('CONSOLIDADO MARZO 2018'!B151,'EF ALGT'!$A$2:$C$474,3,FALSE),0)</f>
        <v>-131020</v>
      </c>
      <c r="H151" s="197">
        <f>IFERROR(VLOOKUP('CONSOLIDADO MARZO 2018'!B151,'EF DAGT'!$A$2:$C$285,3,FALSE),0)</f>
        <v>-13102</v>
      </c>
      <c r="I151" s="25">
        <f>SUM(E151:H151)</f>
        <v>-1650118.33</v>
      </c>
      <c r="J151" s="99">
        <v>3</v>
      </c>
      <c r="K151" s="99"/>
      <c r="L151" s="99"/>
      <c r="M151" s="99"/>
      <c r="N151" s="99"/>
      <c r="O151" s="197">
        <f>I151+K151-N151</f>
        <v>-1650118.33</v>
      </c>
      <c r="P151" s="99"/>
      <c r="Q151" s="223">
        <f>'PARTIDAS Elimina. ajsut, y recl'!F46+'PARTIDAS Elimina. ajsut, y recl'!F47+'PARTIDAS Elimina. ajsut, y recl'!F48+'PARTIDAS Elimina. ajsut, y recl'!F49</f>
        <v>150118.32999999999</v>
      </c>
      <c r="R151" s="94"/>
      <c r="S151" s="94"/>
      <c r="T151" s="69"/>
      <c r="U151" s="197">
        <f>O151+Q151-T151</f>
        <v>-1500000</v>
      </c>
      <c r="V151" s="25">
        <v>-1500000</v>
      </c>
      <c r="W151" s="37">
        <f>U151-V151</f>
        <v>0</v>
      </c>
      <c r="X151" s="197"/>
      <c r="Y151" s="197"/>
      <c r="Z151" s="197">
        <f>Q151-T66</f>
        <v>0</v>
      </c>
      <c r="AA151" s="315">
        <f t="shared" si="23"/>
        <v>0</v>
      </c>
      <c r="AB151" s="315">
        <f t="shared" si="24"/>
        <v>-1500000</v>
      </c>
    </row>
    <row r="152" spans="1:29" x14ac:dyDescent="0.25">
      <c r="A152">
        <v>321</v>
      </c>
      <c r="B152" s="27">
        <v>1120000</v>
      </c>
      <c r="C152" s="27" t="s">
        <v>112</v>
      </c>
      <c r="E152" s="197">
        <f>IFERROR(VLOOKUP('CONSOLIDADO MARZO 2018'!B152,'EF ALPA'!$A$2:$C$561,3,FALSE),0)</f>
        <v>-817113.77</v>
      </c>
      <c r="F152" s="197">
        <f>IFERROR(VLOOKUP(B152,'EF ASGT'!$A$2:$F$492,3,FALSE),0)</f>
        <v>-94048.35</v>
      </c>
      <c r="G152" s="197">
        <f>IFERROR(VLOOKUP('CONSOLIDADO MARZO 2018'!B152,'EF ALGT'!$A$2:$C$474,3,FALSE),0)</f>
        <v>-34703.160000000003</v>
      </c>
      <c r="H152" s="197">
        <f>IFERROR(VLOOKUP('CONSOLIDADO MARZO 2018'!B152,'EF DAGT'!$A$2:$C$285,3,FALSE),0)</f>
        <v>-7123.49</v>
      </c>
      <c r="I152" s="25">
        <f>SUM(E152:H152)</f>
        <v>-952988.77</v>
      </c>
      <c r="O152" s="197">
        <f>I152+K152-N152</f>
        <v>-952988.77</v>
      </c>
      <c r="Q152" s="153"/>
      <c r="R152" s="154"/>
      <c r="S152" s="154"/>
      <c r="T152" s="21"/>
      <c r="U152" s="197">
        <f>O152+Q152-T152</f>
        <v>-952988.77</v>
      </c>
      <c r="V152" s="25">
        <v>-952989</v>
      </c>
      <c r="W152" s="37">
        <f>U152-V152</f>
        <v>0.22999999998137355</v>
      </c>
      <c r="X152" s="197"/>
      <c r="Y152" s="197"/>
      <c r="Z152" s="197"/>
      <c r="AA152" s="315">
        <f t="shared" si="23"/>
        <v>0</v>
      </c>
      <c r="AB152" s="315">
        <f t="shared" si="24"/>
        <v>-952988.77</v>
      </c>
    </row>
    <row r="153" spans="1:29" x14ac:dyDescent="0.25">
      <c r="A153">
        <v>331</v>
      </c>
      <c r="B153" s="27">
        <v>1210000</v>
      </c>
      <c r="C153" s="27" t="s">
        <v>113</v>
      </c>
      <c r="E153" s="197">
        <f>IFERROR(VLOOKUP('CONSOLIDADO MARZO 2018'!B153,'EF ALPA'!$A$2:$C$561,3,FALSE),0)</f>
        <v>-4451643.03</v>
      </c>
      <c r="F153" s="197">
        <f>IFERROR(VLOOKUP(B153,'EF ASGT'!$A$2:$F$492,3,FALSE),0)</f>
        <v>-1365107.56</v>
      </c>
      <c r="G153" s="197">
        <f>IFERROR(VLOOKUP('CONSOLIDADO MARZO 2018'!B153,'EF ALGT'!$A$2:$C$474,3,FALSE),0)</f>
        <v>-355100.53</v>
      </c>
      <c r="H153" s="197">
        <f>IFERROR(VLOOKUP('CONSOLIDADO MARZO 2018'!B153,'EF DAGT'!$A$2:$C$285,3,FALSE),0)</f>
        <v>-79695.350000000006</v>
      </c>
      <c r="I153" s="25">
        <f>SUM(E153:H153)</f>
        <v>-6251546.4699999997</v>
      </c>
      <c r="J153" s="87" t="s">
        <v>482</v>
      </c>
      <c r="N153" s="87">
        <v>1125922</v>
      </c>
      <c r="O153" s="197">
        <f>I153+K153-N153</f>
        <v>-7377468.4699999997</v>
      </c>
      <c r="Q153" s="267"/>
      <c r="R153" s="154" t="s">
        <v>458</v>
      </c>
      <c r="S153" s="154" t="s">
        <v>483</v>
      </c>
      <c r="T153" s="267">
        <v>0.78</v>
      </c>
      <c r="U153" s="197">
        <f>O153+Q153-T153</f>
        <v>-7377469.25</v>
      </c>
      <c r="V153" s="25">
        <v>-12677787</v>
      </c>
      <c r="W153" s="37">
        <f>U153-V153</f>
        <v>5300317.75</v>
      </c>
      <c r="X153" s="197">
        <v>8716719</v>
      </c>
      <c r="Y153" s="197">
        <f>8431990+313488</f>
        <v>8745478</v>
      </c>
      <c r="Z153" s="197">
        <f>X153-Y153</f>
        <v>-28759</v>
      </c>
      <c r="AA153" s="315">
        <f t="shared" si="23"/>
        <v>1125922</v>
      </c>
      <c r="AB153" s="315">
        <f t="shared" si="24"/>
        <v>-8503391.25</v>
      </c>
      <c r="AC153" s="316">
        <f>E153-T153+Q153</f>
        <v>-4451643.8100000005</v>
      </c>
    </row>
    <row r="154" spans="1:29" x14ac:dyDescent="0.25">
      <c r="A154">
        <v>351</v>
      </c>
      <c r="B154" s="27">
        <v>1200000</v>
      </c>
      <c r="C154" s="27" t="s">
        <v>114</v>
      </c>
      <c r="E154" s="197">
        <f>IFERROR(VLOOKUP('CONSOLIDADO MARZO 2018'!B154,'EF ALPA'!$A$2:$C$561,3,FALSE),0)+557354.92+10551.9</f>
        <v>-5057758.3499999996</v>
      </c>
      <c r="F154" s="197">
        <f>IFERROR(VLOOKUP(B154,'EF ASGT'!$A$2:$F$492,3,FALSE),0)</f>
        <v>-384061.36</v>
      </c>
      <c r="G154" s="197">
        <f>IFERROR(VLOOKUP('CONSOLIDADO MARZO 2018'!B154,'EF ALGT'!$A$2:$C$474,3,FALSE),0)</f>
        <v>173646.43</v>
      </c>
      <c r="H154" s="197">
        <f>IFERROR(VLOOKUP('CONSOLIDADO MARZO 2018'!B154,'EF DAGT'!$A$2:$C$285,3,FALSE),0)</f>
        <v>-33349.19</v>
      </c>
      <c r="I154" s="25">
        <f>SUM(E154:H154)</f>
        <v>-5301522.4700000007</v>
      </c>
      <c r="O154" s="197">
        <f>I154+K154-N154</f>
        <v>-5301522.4700000007</v>
      </c>
      <c r="Q154" s="267"/>
      <c r="R154" s="154"/>
      <c r="S154" s="154"/>
      <c r="T154" s="267"/>
      <c r="U154" s="197">
        <f>O154+Q154-T154</f>
        <v>-5301522.4700000007</v>
      </c>
      <c r="V154" s="25">
        <v>0</v>
      </c>
      <c r="W154" s="37">
        <f>U154-V154</f>
        <v>-5301522.4700000007</v>
      </c>
      <c r="X154" s="197"/>
      <c r="Y154" s="197"/>
      <c r="Z154" s="197"/>
      <c r="AA154" s="315">
        <f t="shared" si="23"/>
        <v>0</v>
      </c>
      <c r="AB154" s="315">
        <f t="shared" si="24"/>
        <v>-5301522.4700000007</v>
      </c>
    </row>
    <row r="155" spans="1:29" x14ac:dyDescent="0.25">
      <c r="A155">
        <v>351</v>
      </c>
      <c r="B155" s="27"/>
      <c r="C155" s="27" t="s">
        <v>115</v>
      </c>
      <c r="E155" s="197">
        <v>-2121448.46</v>
      </c>
      <c r="F155" s="197">
        <v>-140937.73000000001</v>
      </c>
      <c r="G155" s="197">
        <v>9065.68</v>
      </c>
      <c r="H155" s="197">
        <v>16206.25</v>
      </c>
      <c r="I155" s="197">
        <f>SUM(E155:H155)</f>
        <v>-2237114.2599999998</v>
      </c>
      <c r="O155" s="197">
        <f>I155+K155-N155</f>
        <v>-2237114.2599999998</v>
      </c>
      <c r="Q155" s="197"/>
      <c r="R155" s="92"/>
      <c r="S155" s="92"/>
      <c r="T155" s="197"/>
      <c r="U155" s="197">
        <f>O155+Q155-T155</f>
        <v>-2237114.2599999998</v>
      </c>
      <c r="V155" s="25">
        <v>-2237053.1000000006</v>
      </c>
      <c r="W155" s="37">
        <f>U155-V155</f>
        <v>-61.159999999217689</v>
      </c>
      <c r="X155" s="197"/>
      <c r="Y155" s="197"/>
      <c r="Z155" s="197"/>
      <c r="AB155" s="315">
        <f t="shared" si="24"/>
        <v>-2237114.2599999998</v>
      </c>
    </row>
    <row r="156" spans="1:29" ht="15.75" thickBot="1" x14ac:dyDescent="0.3">
      <c r="A156" s="6"/>
      <c r="B156" s="6"/>
      <c r="C156" s="6" t="s">
        <v>116</v>
      </c>
      <c r="D156" s="6" t="s">
        <v>127</v>
      </c>
      <c r="E156" s="11">
        <f>+E150+E149</f>
        <v>-25870820.630000003</v>
      </c>
      <c r="F156" s="11">
        <f t="shared" ref="F156:K156" si="25">+F150+F149</f>
        <v>-7355629.79</v>
      </c>
      <c r="G156" s="11">
        <f t="shared" si="25"/>
        <v>-5390812.71</v>
      </c>
      <c r="H156" s="11">
        <f t="shared" si="25"/>
        <v>-749967.82000000007</v>
      </c>
      <c r="I156" s="11">
        <f t="shared" si="25"/>
        <v>-39367230.950000003</v>
      </c>
      <c r="J156" s="93"/>
      <c r="K156" s="11">
        <f t="shared" si="25"/>
        <v>0</v>
      </c>
      <c r="L156" s="93"/>
      <c r="M156" s="93"/>
      <c r="N156" s="11">
        <f>+N150+N149</f>
        <v>1125922</v>
      </c>
      <c r="O156" s="11">
        <f>+O150+O149</f>
        <v>-40493152.950000003</v>
      </c>
      <c r="P156" s="93"/>
      <c r="Q156" s="11">
        <f>+Q150+Q149</f>
        <v>9006731.6500000004</v>
      </c>
      <c r="R156" s="93"/>
      <c r="S156" s="93"/>
      <c r="T156" s="11">
        <f>+T150+T149</f>
        <v>17818.75</v>
      </c>
      <c r="U156" s="11">
        <f>+U150+U149</f>
        <v>-31504240.050000001</v>
      </c>
      <c r="V156" s="11">
        <f>+V150+V149</f>
        <v>-31502820.93</v>
      </c>
      <c r="W156" s="11">
        <f>+W150+W149</f>
        <v>-2131.0999999988999</v>
      </c>
      <c r="X156" s="197">
        <f>W156/2</f>
        <v>-1065.5499999994499</v>
      </c>
      <c r="Y156" s="197"/>
      <c r="Z156" s="197"/>
    </row>
    <row r="157" spans="1:29" ht="15.75" thickTop="1" x14ac:dyDescent="0.25">
      <c r="C157" s="104"/>
      <c r="D157" s="69"/>
      <c r="E157" s="19">
        <f>E104+E156</f>
        <v>0</v>
      </c>
      <c r="F157" s="19">
        <f>F104+F156</f>
        <v>0</v>
      </c>
      <c r="G157" s="19">
        <f>G104+G156</f>
        <v>0</v>
      </c>
      <c r="H157" s="19">
        <f>H104+H156</f>
        <v>0</v>
      </c>
      <c r="I157" s="19">
        <f>I104+I156</f>
        <v>0</v>
      </c>
      <c r="J157" s="94"/>
      <c r="K157" s="94"/>
      <c r="L157" s="94"/>
      <c r="M157" s="94"/>
      <c r="N157" s="94"/>
      <c r="O157" s="19">
        <f>O104+O156</f>
        <v>0.23999998718500137</v>
      </c>
      <c r="P157" s="94"/>
      <c r="Q157" s="19">
        <f>Q156-T156</f>
        <v>8988912.9000000004</v>
      </c>
      <c r="R157" s="94"/>
      <c r="S157" s="94"/>
      <c r="T157" s="19"/>
      <c r="U157" s="105">
        <f>U156+U104</f>
        <v>0</v>
      </c>
      <c r="V157" s="105">
        <f>V156+V104</f>
        <v>-0.16000000014901161</v>
      </c>
      <c r="W157" s="105">
        <f>W156+W104</f>
        <v>-711.82000000143307</v>
      </c>
      <c r="X157" s="197"/>
      <c r="Y157" s="197"/>
      <c r="Z157" s="197"/>
    </row>
    <row r="158" spans="1:29" x14ac:dyDescent="0.25">
      <c r="A158" s="22"/>
      <c r="B158" s="22"/>
      <c r="C158" s="107"/>
      <c r="D158" s="69"/>
      <c r="E158" s="105"/>
      <c r="F158" s="33"/>
      <c r="G158" s="33"/>
      <c r="H158" s="33"/>
      <c r="I158" s="69"/>
      <c r="J158" s="94"/>
      <c r="K158" s="94"/>
      <c r="L158" s="94"/>
      <c r="M158" s="94"/>
      <c r="N158" s="94"/>
      <c r="O158" s="94"/>
      <c r="P158" s="94"/>
      <c r="Q158" s="256">
        <f>Q157-T105</f>
        <v>-0.23999999836087227</v>
      </c>
      <c r="R158" s="94"/>
      <c r="S158" s="94"/>
      <c r="T158" s="69"/>
      <c r="U158" s="19">
        <f>29576801</f>
        <v>29576801</v>
      </c>
      <c r="V158" s="33"/>
      <c r="W158" s="69"/>
      <c r="X158" s="69"/>
    </row>
    <row r="159" spans="1:29" x14ac:dyDescent="0.25">
      <c r="A159" s="22"/>
      <c r="B159" s="22"/>
      <c r="C159" s="107" t="s">
        <v>426</v>
      </c>
      <c r="D159" s="69"/>
      <c r="E159" s="105">
        <v>0</v>
      </c>
      <c r="F159" s="105">
        <v>0</v>
      </c>
      <c r="G159" s="105">
        <v>0</v>
      </c>
      <c r="H159" s="105">
        <v>0</v>
      </c>
      <c r="I159" s="69"/>
      <c r="J159" s="94"/>
      <c r="K159" s="94"/>
      <c r="L159" s="94"/>
      <c r="M159" s="94"/>
      <c r="N159" s="94"/>
      <c r="O159" s="94"/>
      <c r="P159" s="94"/>
      <c r="Q159" s="108" t="s">
        <v>499</v>
      </c>
      <c r="R159" s="94"/>
      <c r="S159" s="94"/>
      <c r="T159" s="69"/>
      <c r="U159" s="105">
        <f>U156+U104</f>
        <v>0</v>
      </c>
      <c r="V159" s="33"/>
      <c r="W159" s="69"/>
      <c r="X159" s="69"/>
    </row>
    <row r="160" spans="1:29" x14ac:dyDescent="0.25">
      <c r="A160" s="22"/>
      <c r="B160" s="22"/>
      <c r="C160" s="69" t="s">
        <v>160</v>
      </c>
      <c r="D160" s="69"/>
      <c r="E160" s="105">
        <f>E155-E159</f>
        <v>-2121448.46</v>
      </c>
      <c r="F160" s="105">
        <f>F155-F159</f>
        <v>-140937.73000000001</v>
      </c>
      <c r="G160" s="105">
        <f>G155-G159</f>
        <v>9065.68</v>
      </c>
      <c r="H160" s="105">
        <f>H155-H159</f>
        <v>16206.25</v>
      </c>
      <c r="I160" s="69"/>
      <c r="J160" s="94"/>
      <c r="K160" s="94"/>
      <c r="L160" s="94"/>
      <c r="M160" s="94"/>
      <c r="N160" s="94"/>
      <c r="O160" s="94"/>
      <c r="P160" s="94"/>
      <c r="Q160" s="33">
        <v>1518779</v>
      </c>
      <c r="R160" s="94"/>
      <c r="S160" s="94"/>
      <c r="T160" s="33"/>
      <c r="U160" s="69"/>
      <c r="V160" s="33"/>
      <c r="W160" s="69"/>
      <c r="X160" s="69"/>
    </row>
    <row r="161" spans="1:24" x14ac:dyDescent="0.25">
      <c r="A161" s="22"/>
      <c r="B161" s="22"/>
      <c r="C161" s="69"/>
      <c r="D161" s="69"/>
      <c r="E161" s="105"/>
      <c r="F161" s="69"/>
      <c r="G161" s="69"/>
      <c r="H161" s="69"/>
      <c r="I161" s="272"/>
      <c r="J161" s="94"/>
      <c r="K161" s="94"/>
      <c r="L161" s="94"/>
      <c r="M161" s="94"/>
      <c r="N161" s="94"/>
      <c r="O161" s="94"/>
      <c r="P161" s="94"/>
      <c r="Q161" s="33">
        <f>Q160+U155</f>
        <v>-718335.25999999978</v>
      </c>
      <c r="R161" s="94"/>
      <c r="S161" s="94"/>
      <c r="T161" s="33"/>
      <c r="U161" s="69"/>
      <c r="V161" s="33"/>
      <c r="W161" s="69"/>
      <c r="X161" s="69"/>
    </row>
    <row r="162" spans="1:24" x14ac:dyDescent="0.25">
      <c r="A162" s="22"/>
      <c r="B162" s="22"/>
      <c r="C162" s="69"/>
      <c r="D162" s="69"/>
      <c r="E162" s="105"/>
      <c r="F162" s="105"/>
      <c r="G162" s="105"/>
      <c r="H162" s="105"/>
      <c r="I162" s="69"/>
      <c r="J162" s="94"/>
      <c r="K162" s="94"/>
      <c r="L162" s="94"/>
      <c r="M162" s="94"/>
      <c r="N162" s="94"/>
      <c r="O162" s="94"/>
      <c r="P162" s="94"/>
      <c r="Q162" s="69"/>
      <c r="R162" s="94"/>
      <c r="S162" s="94"/>
      <c r="T162" s="69"/>
      <c r="U162" s="108">
        <v>3011511</v>
      </c>
      <c r="V162" s="33"/>
      <c r="W162" s="69"/>
      <c r="X162" s="69"/>
    </row>
    <row r="163" spans="1:24" x14ac:dyDescent="0.25">
      <c r="A163" s="22"/>
      <c r="B163" s="22"/>
      <c r="C163" s="69"/>
      <c r="D163" s="69"/>
      <c r="E163" s="105"/>
      <c r="F163" s="69"/>
      <c r="G163" s="197">
        <f>396.26</f>
        <v>396.26</v>
      </c>
      <c r="H163" s="69"/>
      <c r="I163" s="69"/>
      <c r="J163" s="94"/>
      <c r="K163" s="94"/>
      <c r="L163" s="94"/>
      <c r="M163" s="94"/>
      <c r="N163" s="94"/>
      <c r="O163" s="94"/>
      <c r="P163" s="94"/>
      <c r="Q163" s="69"/>
      <c r="R163" s="94"/>
      <c r="S163" s="94"/>
      <c r="T163" s="69"/>
      <c r="U163" s="109">
        <f>U155+U162</f>
        <v>774396.74000000022</v>
      </c>
      <c r="V163" s="33"/>
      <c r="W163" s="69"/>
      <c r="X163" s="69"/>
    </row>
    <row r="164" spans="1:24" x14ac:dyDescent="0.25">
      <c r="A164" s="22"/>
      <c r="B164" s="22"/>
      <c r="C164" s="69"/>
      <c r="D164" s="69"/>
      <c r="E164" s="105"/>
      <c r="F164" s="69"/>
      <c r="G164" s="69"/>
      <c r="H164" s="69"/>
      <c r="I164" s="69"/>
      <c r="J164" s="94"/>
      <c r="K164" s="94"/>
      <c r="L164" s="94"/>
      <c r="M164" s="94"/>
      <c r="N164" s="94"/>
      <c r="O164" s="94"/>
      <c r="P164" s="94"/>
      <c r="Q164" s="69"/>
      <c r="R164" s="94"/>
      <c r="S164" s="94"/>
      <c r="T164" s="69"/>
      <c r="U164" s="69">
        <f>U163/2</f>
        <v>387198.37000000011</v>
      </c>
      <c r="V164" s="33"/>
      <c r="W164" s="69"/>
      <c r="X164" s="69"/>
    </row>
    <row r="165" spans="1:24" x14ac:dyDescent="0.25">
      <c r="A165" s="22"/>
      <c r="B165" s="22"/>
      <c r="C165" s="69"/>
      <c r="D165" s="69"/>
      <c r="E165" s="105"/>
      <c r="F165" s="69"/>
      <c r="G165" s="69"/>
      <c r="H165" s="69"/>
      <c r="I165" s="69"/>
      <c r="J165" s="94"/>
      <c r="K165" s="94"/>
      <c r="L165" s="94"/>
      <c r="M165" s="94"/>
      <c r="N165" s="94"/>
      <c r="O165" s="94"/>
      <c r="P165" s="94"/>
      <c r="Q165" s="69"/>
      <c r="R165" s="94"/>
      <c r="S165" s="94"/>
      <c r="T165" s="69"/>
      <c r="U165" s="69"/>
      <c r="V165" s="33"/>
      <c r="W165" s="69"/>
      <c r="X165" s="69"/>
    </row>
    <row r="166" spans="1:24" x14ac:dyDescent="0.25">
      <c r="A166" s="22"/>
      <c r="B166" s="22"/>
      <c r="C166" s="69"/>
      <c r="D166" s="69"/>
      <c r="E166" s="105"/>
      <c r="F166" s="69"/>
      <c r="G166" s="69"/>
      <c r="H166" s="69"/>
      <c r="I166" s="69"/>
      <c r="J166" s="94"/>
      <c r="K166" s="94"/>
      <c r="L166" s="94"/>
      <c r="M166" s="94"/>
      <c r="N166" s="94"/>
      <c r="O166" s="94"/>
      <c r="P166" s="94"/>
      <c r="Q166" s="69"/>
      <c r="R166" s="94"/>
      <c r="S166" s="94"/>
      <c r="T166" s="69"/>
      <c r="U166" s="69"/>
      <c r="V166" s="33"/>
      <c r="W166" s="69"/>
      <c r="X166" s="69"/>
    </row>
    <row r="167" spans="1:24" x14ac:dyDescent="0.25">
      <c r="A167" s="22"/>
      <c r="B167" s="22"/>
      <c r="C167" s="69"/>
      <c r="D167" s="69"/>
      <c r="E167" s="105"/>
      <c r="F167" s="69"/>
      <c r="G167" s="69"/>
      <c r="H167" s="33"/>
      <c r="I167" s="33"/>
      <c r="J167" s="94"/>
      <c r="K167" s="94"/>
      <c r="L167" s="94"/>
      <c r="M167" s="94"/>
      <c r="N167" s="94"/>
      <c r="O167" s="94"/>
      <c r="P167" s="94"/>
      <c r="Q167" s="108"/>
      <c r="R167" s="94"/>
      <c r="S167" s="94"/>
      <c r="T167" s="69"/>
      <c r="U167" s="69"/>
      <c r="V167" s="33"/>
      <c r="W167" s="69"/>
      <c r="X167" s="69"/>
    </row>
    <row r="168" spans="1:24" x14ac:dyDescent="0.25">
      <c r="A168" s="22"/>
      <c r="B168" s="22"/>
      <c r="C168" s="69"/>
      <c r="D168" s="69"/>
      <c r="E168" s="69"/>
      <c r="F168" s="69"/>
      <c r="G168" s="69"/>
      <c r="H168" s="33"/>
      <c r="I168" s="33"/>
      <c r="J168" s="94"/>
      <c r="K168" s="94"/>
      <c r="L168" s="94"/>
      <c r="M168" s="94"/>
      <c r="N168" s="94"/>
      <c r="O168" s="94"/>
      <c r="P168" s="94"/>
      <c r="Q168" s="108"/>
      <c r="R168" s="94"/>
      <c r="S168" s="94"/>
      <c r="T168" s="69"/>
      <c r="U168" s="69"/>
      <c r="V168" s="33"/>
      <c r="W168" s="69"/>
      <c r="X168" s="69"/>
    </row>
    <row r="169" spans="1:24" x14ac:dyDescent="0.25">
      <c r="A169" s="22"/>
      <c r="B169" s="22"/>
      <c r="C169" s="69"/>
      <c r="D169" s="69"/>
      <c r="E169" s="69"/>
      <c r="F169" s="69"/>
      <c r="G169" s="69"/>
      <c r="H169" s="33"/>
      <c r="I169" s="69"/>
      <c r="J169" s="94"/>
      <c r="K169" s="94"/>
      <c r="L169" s="94"/>
      <c r="M169" s="94"/>
      <c r="N169" s="94"/>
      <c r="O169" s="94"/>
      <c r="P169" s="94"/>
      <c r="Q169" s="108"/>
      <c r="R169" s="94"/>
      <c r="S169" s="94"/>
      <c r="T169" s="69"/>
      <c r="U169" s="69"/>
      <c r="V169" s="33"/>
      <c r="W169" s="69"/>
      <c r="X169" s="69"/>
    </row>
    <row r="170" spans="1:24" x14ac:dyDescent="0.25">
      <c r="A170" s="22"/>
      <c r="B170" s="22"/>
      <c r="C170" s="69"/>
      <c r="D170" s="69"/>
      <c r="E170" s="69"/>
      <c r="F170" s="69"/>
      <c r="G170" s="69"/>
      <c r="H170" s="109"/>
      <c r="I170" s="69"/>
      <c r="J170" s="94"/>
      <c r="K170" s="94"/>
      <c r="L170" s="94"/>
      <c r="M170" s="94"/>
      <c r="N170" s="94"/>
      <c r="O170" s="94"/>
      <c r="P170" s="94"/>
      <c r="Q170" s="69"/>
      <c r="R170" s="94"/>
      <c r="S170" s="94"/>
      <c r="T170" s="69"/>
      <c r="U170" s="69"/>
      <c r="V170" s="33"/>
      <c r="W170" s="69"/>
      <c r="X170" s="69"/>
    </row>
    <row r="171" spans="1:24" x14ac:dyDescent="0.25">
      <c r="A171" s="22"/>
      <c r="B171" s="22"/>
      <c r="C171" s="69"/>
      <c r="D171" s="69"/>
      <c r="E171" s="69"/>
      <c r="F171" s="69"/>
      <c r="G171" s="69"/>
      <c r="H171" s="69"/>
      <c r="I171" s="69"/>
      <c r="J171" s="94"/>
      <c r="K171" s="94"/>
      <c r="L171" s="94"/>
      <c r="M171" s="94"/>
      <c r="N171" s="94"/>
      <c r="O171" s="94"/>
      <c r="P171" s="94"/>
      <c r="Q171" s="69"/>
      <c r="R171" s="94"/>
      <c r="S171" s="94"/>
      <c r="T171" s="69"/>
      <c r="U171" s="69"/>
      <c r="V171" s="33"/>
      <c r="W171" s="69"/>
      <c r="X171" s="69"/>
    </row>
    <row r="172" spans="1:24" x14ac:dyDescent="0.25">
      <c r="A172" s="22"/>
      <c r="B172" s="22"/>
      <c r="C172" s="69"/>
      <c r="D172" s="69"/>
      <c r="E172" s="69"/>
      <c r="F172" s="69"/>
      <c r="G172" s="69"/>
      <c r="H172" s="69"/>
      <c r="I172" s="69"/>
      <c r="J172" s="94"/>
      <c r="K172" s="94"/>
      <c r="L172" s="94"/>
      <c r="M172" s="94"/>
      <c r="N172" s="94"/>
      <c r="O172" s="94"/>
      <c r="P172" s="94"/>
      <c r="Q172" s="69"/>
      <c r="R172" s="94"/>
      <c r="S172" s="94"/>
      <c r="T172" s="69"/>
      <c r="U172" s="69"/>
      <c r="V172" s="33"/>
      <c r="W172" s="69"/>
      <c r="X172" s="69"/>
    </row>
    <row r="173" spans="1:24" x14ac:dyDescent="0.25">
      <c r="A173" s="22"/>
      <c r="B173" s="22"/>
      <c r="C173" s="69"/>
      <c r="D173" s="69"/>
      <c r="E173" s="69"/>
      <c r="F173" s="69"/>
      <c r="G173" s="69"/>
      <c r="H173" s="69"/>
      <c r="I173" s="69"/>
      <c r="J173" s="94"/>
      <c r="K173" s="94"/>
      <c r="L173" s="94"/>
      <c r="M173" s="94"/>
      <c r="N173" s="94"/>
      <c r="O173" s="94"/>
      <c r="P173" s="94"/>
      <c r="Q173" s="69"/>
      <c r="R173" s="94"/>
      <c r="S173" s="94"/>
      <c r="T173" s="69"/>
      <c r="U173" s="69"/>
      <c r="V173" s="33"/>
      <c r="W173" s="69"/>
      <c r="X173" s="69"/>
    </row>
    <row r="174" spans="1:24" x14ac:dyDescent="0.25">
      <c r="A174" s="22"/>
      <c r="B174" s="22"/>
      <c r="C174" s="69"/>
      <c r="D174" s="69"/>
      <c r="E174" s="69"/>
      <c r="F174" s="69"/>
      <c r="G174" s="69"/>
      <c r="H174" s="69"/>
      <c r="I174" s="69"/>
      <c r="J174" s="94"/>
      <c r="K174" s="94"/>
      <c r="L174" s="94"/>
      <c r="M174" s="94"/>
      <c r="N174" s="94"/>
      <c r="O174" s="94"/>
      <c r="P174" s="94"/>
      <c r="Q174" s="69"/>
      <c r="R174" s="94"/>
      <c r="S174" s="94"/>
      <c r="T174" s="69"/>
      <c r="U174" s="69"/>
      <c r="V174" s="33"/>
      <c r="W174" s="69"/>
      <c r="X174" s="69"/>
    </row>
    <row r="175" spans="1:24" x14ac:dyDescent="0.25">
      <c r="A175" s="22"/>
      <c r="B175" s="22"/>
      <c r="C175" s="69"/>
      <c r="D175" s="69"/>
      <c r="E175" s="69"/>
      <c r="F175" s="69"/>
      <c r="G175" s="69"/>
      <c r="H175" s="69"/>
      <c r="I175" s="69"/>
      <c r="J175" s="94"/>
      <c r="K175" s="94"/>
      <c r="L175" s="94"/>
      <c r="M175" s="94"/>
      <c r="N175" s="94"/>
      <c r="O175" s="94"/>
      <c r="P175" s="94"/>
      <c r="Q175" s="69"/>
      <c r="R175" s="94"/>
      <c r="S175" s="94"/>
      <c r="T175" s="69"/>
      <c r="U175" s="69"/>
      <c r="V175" s="33"/>
      <c r="W175" s="69"/>
      <c r="X175" s="69"/>
    </row>
    <row r="176" spans="1:24" x14ac:dyDescent="0.25">
      <c r="A176" s="22"/>
      <c r="B176" s="22"/>
      <c r="C176" s="69"/>
      <c r="D176" s="69"/>
      <c r="E176" s="69"/>
      <c r="F176" s="69"/>
      <c r="G176" s="69"/>
      <c r="H176" s="69"/>
      <c r="I176" s="69"/>
      <c r="J176" s="94"/>
      <c r="K176" s="94"/>
      <c r="L176" s="94"/>
      <c r="M176" s="94"/>
      <c r="N176" s="94"/>
      <c r="O176" s="94"/>
      <c r="P176" s="94"/>
      <c r="Q176" s="69"/>
      <c r="R176" s="94"/>
      <c r="S176" s="94"/>
      <c r="T176" s="69"/>
      <c r="U176" s="69"/>
      <c r="V176" s="33"/>
      <c r="W176" s="69"/>
      <c r="X176" s="69"/>
    </row>
    <row r="177" spans="1:24" x14ac:dyDescent="0.25">
      <c r="A177" s="22"/>
      <c r="B177" s="22"/>
      <c r="C177" s="69"/>
      <c r="D177" s="69"/>
      <c r="E177" s="69"/>
      <c r="F177" s="69"/>
      <c r="G177" s="69"/>
      <c r="H177" s="69"/>
      <c r="I177" s="69"/>
      <c r="J177" s="94"/>
      <c r="K177" s="94"/>
      <c r="L177" s="94"/>
      <c r="M177" s="94"/>
      <c r="N177" s="94"/>
      <c r="O177" s="94"/>
      <c r="P177" s="94"/>
      <c r="Q177" s="69"/>
      <c r="R177" s="94"/>
      <c r="S177" s="94"/>
      <c r="T177" s="69"/>
      <c r="U177" s="69"/>
      <c r="V177" s="33"/>
      <c r="W177" s="69"/>
      <c r="X177" s="69"/>
    </row>
    <row r="178" spans="1:24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92"/>
      <c r="K178" s="92"/>
      <c r="L178" s="92"/>
      <c r="M178" s="92"/>
      <c r="N178" s="92"/>
      <c r="O178" s="92"/>
      <c r="P178" s="92"/>
      <c r="Q178" s="22"/>
      <c r="R178" s="92"/>
      <c r="S178" s="92"/>
      <c r="V178" s="25"/>
    </row>
    <row r="179" spans="1:24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92"/>
      <c r="K179" s="92"/>
      <c r="L179" s="92"/>
      <c r="M179" s="92"/>
      <c r="N179" s="92"/>
      <c r="O179" s="92"/>
      <c r="P179" s="92"/>
      <c r="Q179" s="22"/>
      <c r="R179" s="92"/>
      <c r="S179" s="92"/>
      <c r="V179" s="25"/>
    </row>
    <row r="180" spans="1:24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92"/>
      <c r="K180" s="92"/>
      <c r="L180" s="92"/>
      <c r="M180" s="92"/>
      <c r="N180" s="92"/>
      <c r="O180" s="92"/>
      <c r="P180" s="92"/>
      <c r="Q180" s="22"/>
      <c r="R180" s="92"/>
      <c r="S180" s="92"/>
      <c r="V180" s="25"/>
    </row>
    <row r="181" spans="1:24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92"/>
      <c r="K181" s="92"/>
      <c r="L181" s="92"/>
      <c r="M181" s="92"/>
      <c r="N181" s="92"/>
      <c r="O181" s="92"/>
      <c r="P181" s="92"/>
      <c r="Q181" s="22"/>
      <c r="R181" s="92"/>
      <c r="S181" s="92"/>
      <c r="V181" s="25"/>
    </row>
    <row r="182" spans="1:24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92"/>
      <c r="K182" s="92"/>
      <c r="L182" s="92"/>
      <c r="M182" s="92"/>
      <c r="N182" s="92"/>
      <c r="O182" s="92"/>
      <c r="P182" s="92"/>
      <c r="Q182" s="22"/>
      <c r="R182" s="92"/>
      <c r="S182" s="92"/>
      <c r="V182" s="25"/>
    </row>
    <row r="183" spans="1:24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92"/>
      <c r="K183" s="92"/>
      <c r="L183" s="92"/>
      <c r="M183" s="92"/>
      <c r="N183" s="92"/>
      <c r="O183" s="92"/>
      <c r="P183" s="92"/>
      <c r="Q183" s="22"/>
      <c r="R183" s="92"/>
      <c r="S183" s="92"/>
      <c r="V183" s="25"/>
    </row>
    <row r="184" spans="1:24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92"/>
      <c r="K184" s="92"/>
      <c r="L184" s="92"/>
      <c r="M184" s="92"/>
      <c r="N184" s="92"/>
      <c r="O184" s="92"/>
      <c r="P184" s="92"/>
      <c r="Q184" s="22"/>
      <c r="R184" s="92"/>
      <c r="S184" s="92"/>
      <c r="V184" s="25"/>
    </row>
    <row r="185" spans="1:24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92"/>
      <c r="K185" s="92"/>
      <c r="L185" s="92"/>
      <c r="M185" s="92"/>
      <c r="N185" s="92"/>
      <c r="O185" s="92"/>
      <c r="P185" s="92"/>
      <c r="Q185" s="22"/>
      <c r="R185" s="92"/>
      <c r="S185" s="92"/>
      <c r="V185" s="25"/>
    </row>
    <row r="186" spans="1:24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92"/>
      <c r="K186" s="92"/>
      <c r="L186" s="92"/>
      <c r="M186" s="92"/>
      <c r="N186" s="92"/>
      <c r="O186" s="92"/>
      <c r="P186" s="92"/>
      <c r="Q186" s="22"/>
      <c r="R186" s="92"/>
      <c r="S186" s="92"/>
      <c r="V186" s="25"/>
    </row>
    <row r="187" spans="1:24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92"/>
      <c r="K187" s="92"/>
      <c r="L187" s="92"/>
      <c r="M187" s="92"/>
      <c r="N187" s="92"/>
      <c r="O187" s="92"/>
      <c r="P187" s="92"/>
      <c r="Q187" s="22"/>
      <c r="R187" s="92"/>
      <c r="S187" s="92"/>
      <c r="V187" s="25"/>
    </row>
    <row r="188" spans="1:24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92"/>
      <c r="K188" s="92"/>
      <c r="L188" s="92"/>
      <c r="M188" s="92"/>
      <c r="N188" s="92"/>
      <c r="O188" s="92"/>
      <c r="P188" s="92"/>
      <c r="Q188" s="22"/>
      <c r="R188" s="92"/>
      <c r="S188" s="92"/>
      <c r="V188" s="25"/>
    </row>
    <row r="189" spans="1:24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92"/>
      <c r="K189" s="92"/>
      <c r="L189" s="92"/>
      <c r="M189" s="92"/>
      <c r="N189" s="92"/>
      <c r="O189" s="92"/>
      <c r="P189" s="92"/>
      <c r="Q189" s="22"/>
      <c r="R189" s="92"/>
      <c r="S189" s="92"/>
      <c r="V189" s="25"/>
    </row>
    <row r="190" spans="1:24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92"/>
      <c r="K190" s="92"/>
      <c r="L190" s="92"/>
      <c r="M190" s="92"/>
      <c r="N190" s="92"/>
      <c r="O190" s="92"/>
      <c r="P190" s="92"/>
      <c r="Q190" s="22"/>
      <c r="R190" s="92"/>
      <c r="S190" s="92"/>
      <c r="V190" s="25"/>
    </row>
    <row r="191" spans="1:24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92"/>
      <c r="K191" s="92"/>
      <c r="L191" s="92"/>
      <c r="M191" s="92"/>
      <c r="N191" s="92"/>
      <c r="O191" s="92"/>
      <c r="P191" s="92"/>
      <c r="Q191" s="22"/>
      <c r="R191" s="92"/>
      <c r="S191" s="92"/>
      <c r="V191" s="25"/>
    </row>
    <row r="192" spans="1:24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92"/>
      <c r="K192" s="92"/>
      <c r="L192" s="92"/>
      <c r="M192" s="92"/>
      <c r="N192" s="92"/>
      <c r="O192" s="92"/>
      <c r="P192" s="92"/>
      <c r="Q192" s="22"/>
      <c r="R192" s="92"/>
      <c r="S192" s="92"/>
      <c r="V192" s="25"/>
    </row>
    <row r="193" spans="1:22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92"/>
      <c r="K193" s="92"/>
      <c r="L193" s="92"/>
      <c r="M193" s="92"/>
      <c r="N193" s="92"/>
      <c r="O193" s="92"/>
      <c r="P193" s="92"/>
      <c r="Q193" s="22"/>
      <c r="R193" s="92"/>
      <c r="S193" s="92"/>
      <c r="V193" s="25"/>
    </row>
    <row r="194" spans="1:22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92"/>
      <c r="K194" s="92"/>
      <c r="L194" s="92"/>
      <c r="M194" s="92"/>
      <c r="N194" s="92"/>
      <c r="O194" s="92"/>
      <c r="P194" s="92"/>
      <c r="Q194" s="22"/>
      <c r="R194" s="92"/>
      <c r="S194" s="92"/>
      <c r="V194" s="25"/>
    </row>
    <row r="195" spans="1:22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92"/>
      <c r="K195" s="92"/>
      <c r="L195" s="92"/>
      <c r="M195" s="92"/>
      <c r="N195" s="92"/>
      <c r="O195" s="92"/>
      <c r="P195" s="92"/>
      <c r="Q195" s="22"/>
      <c r="R195" s="92"/>
      <c r="S195" s="92"/>
      <c r="V195" s="25"/>
    </row>
    <row r="196" spans="1:22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92"/>
      <c r="K196" s="92"/>
      <c r="L196" s="92"/>
      <c r="M196" s="92"/>
      <c r="N196" s="92"/>
      <c r="O196" s="92"/>
      <c r="P196" s="92"/>
      <c r="Q196" s="22"/>
      <c r="R196" s="92"/>
      <c r="S196" s="92"/>
      <c r="V196" s="25"/>
    </row>
    <row r="197" spans="1:22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92"/>
      <c r="K197" s="92"/>
      <c r="L197" s="92"/>
      <c r="M197" s="92"/>
      <c r="N197" s="92"/>
      <c r="O197" s="92"/>
      <c r="P197" s="92"/>
      <c r="Q197" s="22"/>
      <c r="R197" s="92"/>
      <c r="S197" s="92"/>
      <c r="V197" s="25"/>
    </row>
    <row r="198" spans="1:22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92"/>
      <c r="K198" s="92"/>
      <c r="L198" s="92"/>
      <c r="M198" s="92"/>
      <c r="N198" s="92"/>
      <c r="O198" s="92"/>
      <c r="P198" s="92"/>
      <c r="Q198" s="22"/>
      <c r="R198" s="92"/>
      <c r="S198" s="92"/>
      <c r="V198" s="25"/>
    </row>
    <row r="199" spans="1:22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92"/>
      <c r="K199" s="92"/>
      <c r="L199" s="92"/>
      <c r="M199" s="92"/>
      <c r="N199" s="92"/>
      <c r="O199" s="92"/>
      <c r="P199" s="92"/>
      <c r="Q199" s="22"/>
      <c r="R199" s="92"/>
      <c r="S199" s="92"/>
      <c r="V199" s="25"/>
    </row>
    <row r="200" spans="1:22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92"/>
      <c r="K200" s="92"/>
      <c r="L200" s="92"/>
      <c r="M200" s="92"/>
      <c r="N200" s="92"/>
      <c r="O200" s="92"/>
      <c r="P200" s="92"/>
      <c r="Q200" s="22"/>
      <c r="R200" s="92"/>
      <c r="S200" s="92"/>
      <c r="V200" s="25"/>
    </row>
    <row r="201" spans="1:22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92"/>
      <c r="K201" s="92"/>
      <c r="L201" s="92"/>
      <c r="M201" s="92"/>
      <c r="N201" s="92"/>
      <c r="O201" s="92"/>
      <c r="P201" s="92"/>
      <c r="Q201" s="22"/>
      <c r="R201" s="92"/>
      <c r="S201" s="92"/>
      <c r="V201" s="25"/>
    </row>
    <row r="202" spans="1:22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92"/>
      <c r="K202" s="92"/>
      <c r="L202" s="92"/>
      <c r="M202" s="92"/>
      <c r="N202" s="92"/>
      <c r="O202" s="92"/>
      <c r="P202" s="92"/>
      <c r="Q202" s="22"/>
      <c r="R202" s="92"/>
      <c r="S202" s="92"/>
      <c r="V202" s="25"/>
    </row>
    <row r="203" spans="1:22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92"/>
      <c r="K203" s="92"/>
      <c r="L203" s="92"/>
      <c r="M203" s="92"/>
      <c r="N203" s="92"/>
      <c r="O203" s="92"/>
      <c r="P203" s="92"/>
      <c r="Q203" s="22"/>
      <c r="R203" s="92"/>
      <c r="S203" s="92"/>
      <c r="V203" s="25"/>
    </row>
    <row r="204" spans="1:22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92"/>
      <c r="K204" s="92"/>
      <c r="L204" s="92"/>
      <c r="M204" s="92"/>
      <c r="N204" s="92"/>
      <c r="O204" s="92"/>
      <c r="P204" s="92"/>
      <c r="Q204" s="22"/>
      <c r="R204" s="92"/>
      <c r="S204" s="92"/>
      <c r="V204" s="25"/>
    </row>
    <row r="205" spans="1:22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92"/>
      <c r="K205" s="92"/>
      <c r="L205" s="92"/>
      <c r="M205" s="92"/>
      <c r="N205" s="92"/>
      <c r="O205" s="92"/>
      <c r="P205" s="92"/>
      <c r="Q205" s="22"/>
      <c r="R205" s="92"/>
      <c r="S205" s="92"/>
      <c r="V205" s="25"/>
    </row>
    <row r="206" spans="1:22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92"/>
      <c r="K206" s="92"/>
      <c r="L206" s="92"/>
      <c r="M206" s="92"/>
      <c r="N206" s="92"/>
      <c r="O206" s="92"/>
      <c r="P206" s="92"/>
      <c r="Q206" s="22"/>
      <c r="R206" s="92"/>
      <c r="S206" s="92"/>
      <c r="V206" s="25"/>
    </row>
    <row r="207" spans="1:22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92"/>
      <c r="K207" s="92"/>
      <c r="L207" s="92"/>
      <c r="M207" s="92"/>
      <c r="N207" s="92"/>
      <c r="O207" s="92"/>
      <c r="P207" s="92"/>
      <c r="Q207" s="22"/>
      <c r="R207" s="92"/>
      <c r="S207" s="92"/>
      <c r="V207" s="25"/>
    </row>
    <row r="208" spans="1:22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92"/>
      <c r="K208" s="92"/>
      <c r="L208" s="92"/>
      <c r="M208" s="92"/>
      <c r="N208" s="92"/>
      <c r="O208" s="92"/>
      <c r="P208" s="92"/>
      <c r="Q208" s="22"/>
      <c r="R208" s="92"/>
      <c r="S208" s="92"/>
      <c r="V208" s="25"/>
    </row>
    <row r="209" spans="1:22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92"/>
      <c r="K209" s="92"/>
      <c r="L209" s="92"/>
      <c r="M209" s="92"/>
      <c r="N209" s="92"/>
      <c r="O209" s="92"/>
      <c r="P209" s="92"/>
      <c r="Q209" s="22"/>
      <c r="R209" s="92"/>
      <c r="S209" s="92"/>
      <c r="V209" s="25"/>
    </row>
    <row r="210" spans="1:22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92"/>
      <c r="K210" s="92"/>
      <c r="L210" s="92"/>
      <c r="M210" s="92"/>
      <c r="N210" s="92"/>
      <c r="O210" s="92"/>
      <c r="P210" s="92"/>
      <c r="Q210" s="22"/>
      <c r="R210" s="92"/>
      <c r="S210" s="92"/>
      <c r="V210" s="25"/>
    </row>
    <row r="211" spans="1:22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92"/>
      <c r="K211" s="92"/>
      <c r="L211" s="92"/>
      <c r="M211" s="92"/>
      <c r="N211" s="92"/>
      <c r="O211" s="92"/>
      <c r="P211" s="92"/>
      <c r="Q211" s="22"/>
      <c r="R211" s="92"/>
      <c r="S211" s="92"/>
      <c r="V211" s="25"/>
    </row>
    <row r="212" spans="1:22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92"/>
      <c r="K212" s="92"/>
      <c r="L212" s="92"/>
      <c r="M212" s="92"/>
      <c r="N212" s="92"/>
      <c r="O212" s="92"/>
      <c r="P212" s="92"/>
      <c r="Q212" s="22"/>
      <c r="R212" s="92"/>
      <c r="S212" s="92"/>
      <c r="V212" s="25"/>
    </row>
    <row r="213" spans="1:22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92"/>
      <c r="K213" s="92"/>
      <c r="L213" s="92"/>
      <c r="M213" s="92"/>
      <c r="N213" s="92"/>
      <c r="O213" s="92"/>
      <c r="P213" s="92"/>
      <c r="Q213" s="22"/>
      <c r="R213" s="92"/>
      <c r="S213" s="92"/>
      <c r="V213" s="25"/>
    </row>
    <row r="214" spans="1:22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92"/>
      <c r="K214" s="92"/>
      <c r="L214" s="92"/>
      <c r="M214" s="92"/>
      <c r="N214" s="92"/>
      <c r="O214" s="92"/>
      <c r="P214" s="92"/>
      <c r="Q214" s="22"/>
      <c r="R214" s="92"/>
      <c r="S214" s="92"/>
      <c r="V214" s="25"/>
    </row>
    <row r="215" spans="1:22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92"/>
      <c r="K215" s="92"/>
      <c r="L215" s="92"/>
      <c r="M215" s="92"/>
      <c r="N215" s="92"/>
      <c r="O215" s="92"/>
      <c r="P215" s="92"/>
      <c r="Q215" s="22"/>
      <c r="R215" s="92"/>
      <c r="S215" s="92"/>
      <c r="V215" s="25"/>
    </row>
    <row r="216" spans="1:22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92"/>
      <c r="K216" s="92"/>
      <c r="L216" s="92"/>
      <c r="M216" s="92"/>
      <c r="N216" s="92"/>
      <c r="O216" s="92"/>
      <c r="P216" s="92"/>
      <c r="Q216" s="22"/>
      <c r="R216" s="92"/>
      <c r="S216" s="92"/>
      <c r="V216" s="25"/>
    </row>
    <row r="217" spans="1:22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92"/>
      <c r="K217" s="92"/>
      <c r="L217" s="92"/>
      <c r="M217" s="92"/>
      <c r="N217" s="92"/>
      <c r="O217" s="92"/>
      <c r="P217" s="92"/>
      <c r="Q217" s="22"/>
      <c r="R217" s="92"/>
      <c r="S217" s="92"/>
      <c r="V217" s="25"/>
    </row>
    <row r="218" spans="1:22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92"/>
      <c r="K218" s="92"/>
      <c r="L218" s="92"/>
      <c r="M218" s="92"/>
      <c r="N218" s="92"/>
      <c r="O218" s="92"/>
      <c r="P218" s="92"/>
      <c r="Q218" s="22"/>
      <c r="R218" s="92"/>
      <c r="S218" s="92"/>
      <c r="V218" s="25"/>
    </row>
    <row r="219" spans="1:22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92"/>
      <c r="K219" s="92"/>
      <c r="L219" s="92"/>
      <c r="M219" s="92"/>
      <c r="N219" s="92"/>
      <c r="O219" s="92"/>
      <c r="P219" s="92"/>
      <c r="Q219" s="22"/>
      <c r="R219" s="92"/>
      <c r="S219" s="92"/>
      <c r="V219" s="25"/>
    </row>
    <row r="220" spans="1:22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92"/>
      <c r="K220" s="92"/>
      <c r="L220" s="92"/>
      <c r="M220" s="92"/>
      <c r="N220" s="92"/>
      <c r="O220" s="92"/>
      <c r="P220" s="92"/>
      <c r="Q220" s="22"/>
      <c r="R220" s="92"/>
      <c r="S220" s="92"/>
      <c r="V220" s="25"/>
    </row>
    <row r="221" spans="1:22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92"/>
      <c r="K221" s="92"/>
      <c r="L221" s="92"/>
      <c r="M221" s="92"/>
      <c r="N221" s="92"/>
      <c r="O221" s="92"/>
      <c r="P221" s="92"/>
      <c r="Q221" s="22"/>
      <c r="R221" s="92"/>
      <c r="S221" s="92"/>
      <c r="V221" s="25"/>
    </row>
    <row r="222" spans="1:22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92"/>
      <c r="K222" s="92"/>
      <c r="L222" s="92"/>
      <c r="M222" s="92"/>
      <c r="N222" s="92"/>
      <c r="O222" s="92"/>
      <c r="P222" s="92"/>
      <c r="Q222" s="22"/>
      <c r="R222" s="92"/>
      <c r="S222" s="92"/>
      <c r="V222" s="25"/>
    </row>
    <row r="223" spans="1:22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92"/>
      <c r="K223" s="92"/>
      <c r="L223" s="92"/>
      <c r="M223" s="92"/>
      <c r="N223" s="92"/>
      <c r="O223" s="92"/>
      <c r="P223" s="92"/>
      <c r="Q223" s="22"/>
      <c r="R223" s="92"/>
      <c r="S223" s="92"/>
      <c r="V223" s="25"/>
    </row>
    <row r="224" spans="1:22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92"/>
      <c r="K224" s="92"/>
      <c r="L224" s="92"/>
      <c r="M224" s="92"/>
      <c r="N224" s="92"/>
      <c r="O224" s="92"/>
      <c r="P224" s="92"/>
      <c r="Q224" s="22"/>
      <c r="R224" s="92"/>
      <c r="S224" s="92"/>
      <c r="V224" s="25"/>
    </row>
    <row r="225" spans="1:22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92"/>
      <c r="K225" s="92"/>
      <c r="L225" s="92"/>
      <c r="M225" s="92"/>
      <c r="N225" s="92"/>
      <c r="O225" s="92"/>
      <c r="P225" s="92"/>
      <c r="Q225" s="22"/>
      <c r="R225" s="92"/>
      <c r="S225" s="92"/>
      <c r="V225" s="25"/>
    </row>
    <row r="226" spans="1:22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92"/>
      <c r="K226" s="92"/>
      <c r="L226" s="92"/>
      <c r="M226" s="92"/>
      <c r="N226" s="92"/>
      <c r="O226" s="92"/>
      <c r="P226" s="92"/>
      <c r="Q226" s="22"/>
      <c r="R226" s="92"/>
      <c r="S226" s="92"/>
      <c r="V226" s="25"/>
    </row>
    <row r="227" spans="1:22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92"/>
      <c r="K227" s="92"/>
      <c r="L227" s="92"/>
      <c r="M227" s="92"/>
      <c r="N227" s="92"/>
      <c r="O227" s="92"/>
      <c r="P227" s="92"/>
      <c r="Q227" s="22"/>
      <c r="R227" s="92"/>
      <c r="S227" s="92"/>
      <c r="V227" s="25"/>
    </row>
    <row r="228" spans="1:22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92"/>
      <c r="K228" s="92"/>
      <c r="L228" s="92"/>
      <c r="M228" s="92"/>
      <c r="N228" s="92"/>
      <c r="O228" s="92"/>
      <c r="P228" s="92"/>
      <c r="Q228" s="22"/>
      <c r="R228" s="92"/>
      <c r="S228" s="92"/>
      <c r="V228" s="25"/>
    </row>
    <row r="229" spans="1:22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92"/>
      <c r="K229" s="92"/>
      <c r="L229" s="92"/>
      <c r="M229" s="92"/>
      <c r="N229" s="92"/>
      <c r="O229" s="92"/>
      <c r="P229" s="92"/>
      <c r="Q229" s="22"/>
      <c r="R229" s="92"/>
      <c r="S229" s="92"/>
      <c r="V229" s="25"/>
    </row>
    <row r="230" spans="1:22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92"/>
      <c r="K230" s="92"/>
      <c r="L230" s="92"/>
      <c r="M230" s="92"/>
      <c r="N230" s="92"/>
      <c r="O230" s="92"/>
      <c r="P230" s="92"/>
      <c r="Q230" s="22"/>
      <c r="R230" s="92"/>
      <c r="S230" s="92"/>
      <c r="V230" s="25"/>
    </row>
    <row r="231" spans="1:22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92"/>
      <c r="K231" s="92"/>
      <c r="L231" s="92"/>
      <c r="M231" s="92"/>
      <c r="N231" s="92"/>
      <c r="O231" s="92"/>
      <c r="P231" s="92"/>
      <c r="Q231" s="22"/>
      <c r="R231" s="92"/>
      <c r="S231" s="92"/>
    </row>
    <row r="232" spans="1:22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92"/>
      <c r="K232" s="92"/>
      <c r="L232" s="92"/>
      <c r="M232" s="92"/>
      <c r="N232" s="92"/>
      <c r="O232" s="92"/>
      <c r="P232" s="92"/>
      <c r="Q232" s="22"/>
      <c r="R232" s="92"/>
      <c r="S232" s="92"/>
    </row>
    <row r="233" spans="1:22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92"/>
      <c r="K233" s="92"/>
      <c r="L233" s="92"/>
      <c r="M233" s="92"/>
      <c r="N233" s="92"/>
      <c r="O233" s="92"/>
      <c r="P233" s="92"/>
      <c r="Q233" s="22"/>
      <c r="R233" s="92"/>
      <c r="S233" s="92"/>
    </row>
    <row r="234" spans="1:22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92"/>
      <c r="K234" s="92"/>
      <c r="L234" s="92"/>
      <c r="M234" s="92"/>
      <c r="N234" s="92"/>
      <c r="O234" s="92"/>
      <c r="P234" s="92"/>
      <c r="Q234" s="22"/>
      <c r="R234" s="92"/>
      <c r="S234" s="92"/>
    </row>
    <row r="235" spans="1:22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92"/>
      <c r="K235" s="92"/>
      <c r="L235" s="92"/>
      <c r="M235" s="92"/>
      <c r="N235" s="92"/>
      <c r="O235" s="92"/>
      <c r="P235" s="92"/>
      <c r="Q235" s="22"/>
      <c r="R235" s="92"/>
      <c r="S235" s="92"/>
    </row>
    <row r="236" spans="1:22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92"/>
      <c r="K236" s="92"/>
      <c r="L236" s="92"/>
      <c r="M236" s="92"/>
      <c r="N236" s="92"/>
      <c r="O236" s="92"/>
      <c r="P236" s="92"/>
      <c r="Q236" s="22"/>
      <c r="R236" s="92"/>
      <c r="S236" s="92"/>
    </row>
    <row r="237" spans="1:22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92"/>
      <c r="K237" s="92"/>
      <c r="L237" s="92"/>
      <c r="M237" s="92"/>
      <c r="N237" s="92"/>
      <c r="O237" s="92"/>
      <c r="P237" s="92"/>
      <c r="Q237" s="22"/>
      <c r="R237" s="92"/>
      <c r="S237" s="92"/>
    </row>
    <row r="238" spans="1:22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92"/>
      <c r="K238" s="92"/>
      <c r="L238" s="92"/>
      <c r="M238" s="92"/>
      <c r="N238" s="92"/>
      <c r="O238" s="92"/>
      <c r="P238" s="92"/>
      <c r="Q238" s="22"/>
      <c r="R238" s="92"/>
      <c r="S238" s="92"/>
    </row>
    <row r="239" spans="1:22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92"/>
      <c r="K239" s="92"/>
      <c r="L239" s="92"/>
      <c r="M239" s="92"/>
      <c r="N239" s="92"/>
      <c r="O239" s="92"/>
      <c r="P239" s="92"/>
      <c r="Q239" s="22"/>
      <c r="R239" s="92"/>
      <c r="S239" s="92"/>
    </row>
    <row r="240" spans="1:22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92"/>
      <c r="K240" s="92"/>
      <c r="L240" s="92"/>
      <c r="M240" s="92"/>
      <c r="N240" s="92"/>
      <c r="O240" s="92"/>
      <c r="P240" s="92"/>
      <c r="Q240" s="22"/>
      <c r="R240" s="92"/>
      <c r="S240" s="92"/>
    </row>
    <row r="241" spans="1:19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92"/>
      <c r="K241" s="92"/>
      <c r="L241" s="92"/>
      <c r="M241" s="92"/>
      <c r="N241" s="92"/>
      <c r="O241" s="92"/>
      <c r="P241" s="92"/>
      <c r="Q241" s="22"/>
      <c r="R241" s="92"/>
      <c r="S241" s="92"/>
    </row>
    <row r="242" spans="1:19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92"/>
      <c r="K242" s="92"/>
      <c r="L242" s="92"/>
      <c r="M242" s="92"/>
      <c r="N242" s="92"/>
      <c r="O242" s="92"/>
      <c r="P242" s="92"/>
      <c r="Q242" s="22"/>
      <c r="R242" s="92"/>
      <c r="S242" s="92"/>
    </row>
    <row r="243" spans="1:19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92"/>
      <c r="K243" s="92"/>
      <c r="L243" s="92"/>
      <c r="M243" s="92"/>
      <c r="N243" s="92"/>
      <c r="O243" s="92"/>
      <c r="P243" s="92"/>
      <c r="Q243" s="22"/>
      <c r="R243" s="92"/>
      <c r="S243" s="92"/>
    </row>
    <row r="244" spans="1:19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92"/>
      <c r="K244" s="92"/>
      <c r="L244" s="92"/>
      <c r="M244" s="92"/>
      <c r="N244" s="92"/>
      <c r="O244" s="92"/>
      <c r="P244" s="92"/>
      <c r="Q244" s="22"/>
      <c r="R244" s="92"/>
      <c r="S244" s="92"/>
    </row>
    <row r="245" spans="1:19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92"/>
      <c r="K245" s="92"/>
      <c r="L245" s="92"/>
      <c r="M245" s="92"/>
      <c r="N245" s="92"/>
      <c r="O245" s="92"/>
      <c r="P245" s="92"/>
      <c r="Q245" s="22"/>
      <c r="R245" s="92"/>
      <c r="S245" s="92"/>
    </row>
    <row r="246" spans="1:19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92"/>
      <c r="K246" s="92"/>
      <c r="L246" s="92"/>
      <c r="M246" s="92"/>
      <c r="N246" s="92"/>
      <c r="O246" s="92"/>
      <c r="P246" s="92"/>
      <c r="Q246" s="22"/>
      <c r="R246" s="92"/>
      <c r="S246" s="92"/>
    </row>
    <row r="247" spans="1:19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92"/>
      <c r="K247" s="92"/>
      <c r="L247" s="92"/>
      <c r="M247" s="92"/>
      <c r="N247" s="92"/>
      <c r="O247" s="92"/>
      <c r="P247" s="92"/>
      <c r="Q247" s="22"/>
      <c r="R247" s="92"/>
      <c r="S247" s="92"/>
    </row>
    <row r="248" spans="1:19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92"/>
      <c r="K248" s="92"/>
      <c r="L248" s="92"/>
      <c r="M248" s="92"/>
      <c r="N248" s="92"/>
      <c r="O248" s="92"/>
      <c r="P248" s="92"/>
      <c r="Q248" s="22"/>
      <c r="R248" s="92"/>
      <c r="S248" s="92"/>
    </row>
    <row r="249" spans="1:19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92"/>
      <c r="K249" s="92"/>
      <c r="L249" s="92"/>
      <c r="M249" s="92"/>
      <c r="N249" s="92"/>
      <c r="O249" s="92"/>
      <c r="P249" s="92"/>
      <c r="Q249" s="22"/>
      <c r="R249" s="92"/>
      <c r="S249" s="92"/>
    </row>
    <row r="250" spans="1:19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92"/>
      <c r="K250" s="92"/>
      <c r="L250" s="92"/>
      <c r="M250" s="92"/>
      <c r="N250" s="92"/>
      <c r="O250" s="92"/>
      <c r="P250" s="92"/>
      <c r="Q250" s="22"/>
      <c r="R250" s="92"/>
      <c r="S250" s="92"/>
    </row>
    <row r="251" spans="1:19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92"/>
      <c r="K251" s="92"/>
      <c r="L251" s="92"/>
      <c r="M251" s="92"/>
      <c r="N251" s="92"/>
      <c r="O251" s="92"/>
      <c r="P251" s="92"/>
      <c r="Q251" s="22"/>
      <c r="R251" s="92"/>
      <c r="S251" s="92"/>
    </row>
    <row r="252" spans="1:19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92"/>
      <c r="K252" s="92"/>
      <c r="L252" s="92"/>
      <c r="M252" s="92"/>
      <c r="N252" s="92"/>
      <c r="O252" s="92"/>
      <c r="P252" s="92"/>
      <c r="Q252" s="22"/>
      <c r="R252" s="92"/>
      <c r="S252" s="92"/>
    </row>
    <row r="253" spans="1:19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92"/>
      <c r="K253" s="92"/>
      <c r="L253" s="92"/>
      <c r="M253" s="92"/>
      <c r="N253" s="92"/>
      <c r="O253" s="92"/>
      <c r="P253" s="92"/>
      <c r="Q253" s="22"/>
      <c r="R253" s="92"/>
      <c r="S253" s="92"/>
    </row>
    <row r="254" spans="1:19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92"/>
      <c r="K254" s="92"/>
      <c r="L254" s="92"/>
      <c r="M254" s="92"/>
      <c r="N254" s="92"/>
      <c r="O254" s="92"/>
      <c r="P254" s="92"/>
      <c r="Q254" s="22"/>
      <c r="R254" s="92"/>
      <c r="S254" s="92"/>
    </row>
    <row r="255" spans="1:19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92"/>
      <c r="K255" s="92"/>
      <c r="L255" s="92"/>
      <c r="M255" s="92"/>
      <c r="N255" s="92"/>
      <c r="O255" s="92"/>
      <c r="P255" s="92"/>
      <c r="Q255" s="22"/>
      <c r="R255" s="92"/>
      <c r="S255" s="92"/>
    </row>
    <row r="256" spans="1:19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92"/>
      <c r="K256" s="92"/>
      <c r="L256" s="92"/>
      <c r="M256" s="92"/>
      <c r="N256" s="92"/>
      <c r="O256" s="92"/>
      <c r="P256" s="92"/>
      <c r="Q256" s="22"/>
      <c r="R256" s="92"/>
      <c r="S256" s="92"/>
    </row>
    <row r="257" spans="1:19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92"/>
      <c r="K257" s="92"/>
      <c r="L257" s="92"/>
      <c r="M257" s="92"/>
      <c r="N257" s="92"/>
      <c r="O257" s="92"/>
      <c r="P257" s="92"/>
      <c r="Q257" s="22"/>
      <c r="R257" s="92"/>
      <c r="S257" s="92"/>
    </row>
    <row r="258" spans="1:19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92"/>
      <c r="K258" s="92"/>
      <c r="L258" s="92"/>
      <c r="M258" s="92"/>
      <c r="N258" s="92"/>
      <c r="O258" s="92"/>
      <c r="P258" s="92"/>
      <c r="Q258" s="22"/>
      <c r="R258" s="92"/>
      <c r="S258" s="92"/>
    </row>
    <row r="259" spans="1:19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92"/>
      <c r="K259" s="92"/>
      <c r="L259" s="92"/>
      <c r="M259" s="92"/>
      <c r="N259" s="92"/>
      <c r="O259" s="92"/>
      <c r="P259" s="92"/>
      <c r="Q259" s="22"/>
      <c r="R259" s="92"/>
      <c r="S259" s="92"/>
    </row>
    <row r="260" spans="1:19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92"/>
      <c r="K260" s="92"/>
      <c r="L260" s="92"/>
      <c r="M260" s="92"/>
      <c r="N260" s="92"/>
      <c r="O260" s="92"/>
      <c r="P260" s="92"/>
      <c r="Q260" s="22"/>
      <c r="R260" s="92"/>
      <c r="S260" s="92"/>
    </row>
    <row r="261" spans="1:19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92"/>
      <c r="K261" s="92"/>
      <c r="L261" s="92"/>
      <c r="M261" s="92"/>
      <c r="N261" s="92"/>
      <c r="O261" s="92"/>
      <c r="P261" s="92"/>
      <c r="Q261" s="22"/>
      <c r="R261" s="92"/>
      <c r="S261" s="92"/>
    </row>
    <row r="262" spans="1:19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92"/>
      <c r="K262" s="92"/>
      <c r="L262" s="92"/>
      <c r="M262" s="92"/>
      <c r="N262" s="92"/>
      <c r="O262" s="92"/>
      <c r="P262" s="92"/>
      <c r="Q262" s="22"/>
      <c r="R262" s="92"/>
      <c r="S262" s="92"/>
    </row>
    <row r="263" spans="1:19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92"/>
      <c r="K263" s="92"/>
      <c r="L263" s="92"/>
      <c r="M263" s="92"/>
      <c r="N263" s="92"/>
      <c r="O263" s="92"/>
      <c r="P263" s="92"/>
      <c r="Q263" s="22"/>
      <c r="R263" s="92"/>
      <c r="S263" s="92"/>
    </row>
    <row r="264" spans="1:19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92"/>
      <c r="K264" s="92"/>
      <c r="L264" s="92"/>
      <c r="M264" s="92"/>
      <c r="N264" s="92"/>
      <c r="O264" s="92"/>
      <c r="P264" s="92"/>
      <c r="Q264" s="22"/>
      <c r="R264" s="92"/>
      <c r="S264" s="92"/>
    </row>
    <row r="265" spans="1:19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92"/>
      <c r="K265" s="92"/>
      <c r="L265" s="92"/>
      <c r="M265" s="92"/>
      <c r="N265" s="92"/>
      <c r="O265" s="92"/>
      <c r="P265" s="92"/>
      <c r="Q265" s="22"/>
      <c r="R265" s="92"/>
      <c r="S265" s="92"/>
    </row>
    <row r="266" spans="1:19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92"/>
      <c r="K266" s="92"/>
      <c r="L266" s="92"/>
      <c r="M266" s="92"/>
      <c r="N266" s="92"/>
      <c r="O266" s="92"/>
      <c r="P266" s="92"/>
      <c r="Q266" s="22"/>
      <c r="R266" s="92"/>
      <c r="S266" s="92"/>
    </row>
    <row r="267" spans="1:19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92"/>
      <c r="K267" s="92"/>
      <c r="L267" s="92"/>
      <c r="M267" s="92"/>
      <c r="N267" s="92"/>
      <c r="O267" s="92"/>
      <c r="P267" s="92"/>
      <c r="Q267" s="22"/>
      <c r="R267" s="92"/>
      <c r="S267" s="92"/>
    </row>
    <row r="268" spans="1:19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92"/>
      <c r="K268" s="92"/>
      <c r="L268" s="92"/>
      <c r="M268" s="92"/>
      <c r="N268" s="92"/>
      <c r="O268" s="92"/>
      <c r="P268" s="92"/>
      <c r="Q268" s="22"/>
      <c r="R268" s="92"/>
      <c r="S268" s="92"/>
    </row>
    <row r="269" spans="1:19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92"/>
      <c r="K269" s="92"/>
      <c r="L269" s="92"/>
      <c r="M269" s="92"/>
      <c r="N269" s="92"/>
      <c r="O269" s="92"/>
      <c r="P269" s="92"/>
      <c r="Q269" s="22"/>
      <c r="R269" s="92"/>
      <c r="S269" s="92"/>
    </row>
    <row r="270" spans="1:19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92"/>
      <c r="K270" s="92"/>
      <c r="L270" s="92"/>
      <c r="M270" s="92"/>
      <c r="N270" s="92"/>
      <c r="O270" s="92"/>
      <c r="P270" s="92"/>
      <c r="Q270" s="22"/>
      <c r="R270" s="92"/>
      <c r="S270" s="92"/>
    </row>
    <row r="271" spans="1:19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92"/>
      <c r="K271" s="92"/>
      <c r="L271" s="92"/>
      <c r="M271" s="92"/>
      <c r="N271" s="92"/>
      <c r="O271" s="92"/>
      <c r="P271" s="92"/>
      <c r="Q271" s="22"/>
      <c r="R271" s="92"/>
      <c r="S271" s="92"/>
    </row>
    <row r="272" spans="1:19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92"/>
      <c r="K272" s="92"/>
      <c r="L272" s="92"/>
      <c r="M272" s="92"/>
      <c r="N272" s="92"/>
      <c r="O272" s="92"/>
      <c r="P272" s="92"/>
      <c r="Q272" s="22"/>
      <c r="R272" s="92"/>
      <c r="S272" s="92"/>
    </row>
    <row r="273" spans="1:19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92"/>
      <c r="K273" s="92"/>
      <c r="L273" s="92"/>
      <c r="M273" s="92"/>
      <c r="N273" s="92"/>
      <c r="O273" s="92"/>
      <c r="P273" s="92"/>
      <c r="Q273" s="22"/>
      <c r="R273" s="92"/>
      <c r="S273" s="92"/>
    </row>
    <row r="274" spans="1:19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92"/>
      <c r="K274" s="92"/>
      <c r="L274" s="92"/>
      <c r="M274" s="92"/>
      <c r="N274" s="92"/>
      <c r="O274" s="92"/>
      <c r="P274" s="92"/>
      <c r="Q274" s="22"/>
      <c r="R274" s="92"/>
      <c r="S274" s="92"/>
    </row>
    <row r="275" spans="1:19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92"/>
      <c r="K275" s="92"/>
      <c r="L275" s="92"/>
      <c r="M275" s="92"/>
      <c r="N275" s="92"/>
      <c r="O275" s="92"/>
      <c r="P275" s="92"/>
      <c r="Q275" s="22"/>
      <c r="R275" s="92"/>
      <c r="S275" s="92"/>
    </row>
    <row r="276" spans="1:19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92"/>
      <c r="K276" s="92"/>
      <c r="L276" s="92"/>
      <c r="M276" s="92"/>
      <c r="N276" s="92"/>
      <c r="O276" s="92"/>
      <c r="P276" s="92"/>
      <c r="Q276" s="22"/>
      <c r="R276" s="92"/>
      <c r="S276" s="92"/>
    </row>
    <row r="277" spans="1:19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92"/>
      <c r="K277" s="92"/>
      <c r="L277" s="92"/>
      <c r="M277" s="92"/>
      <c r="N277" s="92"/>
      <c r="O277" s="92"/>
      <c r="P277" s="92"/>
      <c r="Q277" s="22"/>
      <c r="R277" s="92"/>
      <c r="S277" s="92"/>
    </row>
    <row r="278" spans="1:19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92"/>
      <c r="K278" s="92"/>
      <c r="L278" s="92"/>
      <c r="M278" s="92"/>
      <c r="N278" s="92"/>
      <c r="O278" s="92"/>
      <c r="P278" s="92"/>
      <c r="Q278" s="22"/>
      <c r="R278" s="92"/>
      <c r="S278" s="92"/>
    </row>
    <row r="279" spans="1:19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92"/>
      <c r="K279" s="92"/>
      <c r="L279" s="92"/>
      <c r="M279" s="92"/>
      <c r="N279" s="92"/>
      <c r="O279" s="92"/>
      <c r="P279" s="92"/>
      <c r="Q279" s="22"/>
      <c r="R279" s="92"/>
      <c r="S279" s="92"/>
    </row>
    <row r="280" spans="1:19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92"/>
      <c r="K280" s="92"/>
      <c r="L280" s="92"/>
      <c r="M280" s="92"/>
      <c r="N280" s="92"/>
      <c r="O280" s="92"/>
      <c r="P280" s="92"/>
      <c r="Q280" s="22"/>
      <c r="R280" s="92"/>
      <c r="S280" s="92"/>
    </row>
    <row r="281" spans="1:19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92"/>
      <c r="K281" s="92"/>
      <c r="L281" s="92"/>
      <c r="M281" s="92"/>
      <c r="N281" s="92"/>
      <c r="O281" s="92"/>
      <c r="P281" s="92"/>
      <c r="Q281" s="22"/>
      <c r="R281" s="92"/>
      <c r="S281" s="92"/>
    </row>
    <row r="282" spans="1:19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92"/>
      <c r="K282" s="92"/>
      <c r="L282" s="92"/>
      <c r="M282" s="92"/>
      <c r="N282" s="92"/>
      <c r="O282" s="92"/>
      <c r="P282" s="92"/>
      <c r="Q282" s="22"/>
      <c r="R282" s="92"/>
      <c r="S282" s="92"/>
    </row>
    <row r="283" spans="1:19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92"/>
      <c r="K283" s="92"/>
      <c r="L283" s="92"/>
      <c r="M283" s="92"/>
      <c r="N283" s="92"/>
      <c r="O283" s="92"/>
      <c r="P283" s="92"/>
      <c r="Q283" s="22"/>
      <c r="R283" s="92"/>
      <c r="S283" s="92"/>
    </row>
    <row r="284" spans="1:19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92"/>
      <c r="K284" s="92"/>
      <c r="L284" s="92"/>
      <c r="M284" s="92"/>
      <c r="N284" s="92"/>
      <c r="O284" s="92"/>
      <c r="P284" s="92"/>
      <c r="Q284" s="22"/>
      <c r="R284" s="92"/>
      <c r="S284" s="92"/>
    </row>
    <row r="285" spans="1:19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92"/>
      <c r="K285" s="92"/>
      <c r="L285" s="92"/>
      <c r="M285" s="92"/>
      <c r="N285" s="92"/>
      <c r="O285" s="92"/>
      <c r="P285" s="92"/>
      <c r="Q285" s="22"/>
      <c r="R285" s="92"/>
      <c r="S285" s="92"/>
    </row>
    <row r="286" spans="1:19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92"/>
      <c r="K286" s="92"/>
      <c r="L286" s="92"/>
      <c r="M286" s="92"/>
      <c r="N286" s="92"/>
      <c r="O286" s="92"/>
      <c r="P286" s="92"/>
      <c r="Q286" s="22"/>
      <c r="R286" s="92"/>
      <c r="S286" s="92"/>
    </row>
    <row r="287" spans="1:19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92"/>
      <c r="K287" s="92"/>
      <c r="L287" s="92"/>
      <c r="M287" s="92"/>
      <c r="N287" s="92"/>
      <c r="O287" s="92"/>
      <c r="P287" s="92"/>
      <c r="Q287" s="22"/>
      <c r="R287" s="92"/>
      <c r="S287" s="92"/>
    </row>
    <row r="288" spans="1:19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92"/>
      <c r="K288" s="92"/>
      <c r="L288" s="92"/>
      <c r="M288" s="92"/>
      <c r="N288" s="92"/>
      <c r="O288" s="92"/>
      <c r="P288" s="92"/>
      <c r="Q288" s="22"/>
      <c r="R288" s="92"/>
      <c r="S288" s="92"/>
    </row>
    <row r="289" spans="1:19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92"/>
      <c r="K289" s="92"/>
      <c r="L289" s="92"/>
      <c r="M289" s="92"/>
      <c r="N289" s="92"/>
      <c r="O289" s="92"/>
      <c r="P289" s="92"/>
      <c r="Q289" s="22"/>
      <c r="R289" s="92"/>
      <c r="S289" s="92"/>
    </row>
    <row r="290" spans="1:19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92"/>
      <c r="K290" s="92"/>
      <c r="L290" s="92"/>
      <c r="M290" s="92"/>
      <c r="N290" s="92"/>
      <c r="O290" s="92"/>
      <c r="P290" s="92"/>
      <c r="Q290" s="22"/>
      <c r="R290" s="92"/>
      <c r="S290" s="92"/>
    </row>
    <row r="291" spans="1:19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92"/>
      <c r="K291" s="92"/>
      <c r="L291" s="92"/>
      <c r="M291" s="92"/>
      <c r="N291" s="92"/>
      <c r="O291" s="92"/>
      <c r="P291" s="92"/>
      <c r="Q291" s="22"/>
      <c r="R291" s="92"/>
      <c r="S291" s="92"/>
    </row>
    <row r="292" spans="1:19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92"/>
      <c r="K292" s="92"/>
      <c r="L292" s="92"/>
      <c r="M292" s="92"/>
      <c r="N292" s="92"/>
      <c r="O292" s="92"/>
      <c r="P292" s="92"/>
      <c r="Q292" s="22"/>
      <c r="R292" s="92"/>
      <c r="S292" s="92"/>
    </row>
    <row r="293" spans="1:19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92"/>
      <c r="K293" s="92"/>
      <c r="L293" s="92"/>
      <c r="M293" s="92"/>
      <c r="N293" s="92"/>
      <c r="O293" s="92"/>
      <c r="P293" s="92"/>
      <c r="Q293" s="22"/>
      <c r="R293" s="92"/>
      <c r="S293" s="92"/>
    </row>
    <row r="294" spans="1:19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92"/>
      <c r="K294" s="92"/>
      <c r="L294" s="92"/>
      <c r="M294" s="92"/>
      <c r="N294" s="92"/>
      <c r="O294" s="92"/>
      <c r="P294" s="92"/>
      <c r="Q294" s="22"/>
      <c r="R294" s="92"/>
      <c r="S294" s="92"/>
    </row>
    <row r="295" spans="1:19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92"/>
      <c r="K295" s="92"/>
      <c r="L295" s="92"/>
      <c r="M295" s="92"/>
      <c r="N295" s="92"/>
      <c r="O295" s="92"/>
      <c r="P295" s="92"/>
      <c r="Q295" s="22"/>
      <c r="R295" s="92"/>
      <c r="S295" s="92"/>
    </row>
    <row r="296" spans="1:19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92"/>
      <c r="K296" s="92"/>
      <c r="L296" s="92"/>
      <c r="M296" s="92"/>
      <c r="N296" s="92"/>
      <c r="O296" s="92"/>
      <c r="P296" s="92"/>
      <c r="Q296" s="22"/>
      <c r="R296" s="92"/>
      <c r="S296" s="92"/>
    </row>
    <row r="297" spans="1:19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92"/>
      <c r="K297" s="92"/>
      <c r="L297" s="92"/>
      <c r="M297" s="92"/>
      <c r="N297" s="92"/>
      <c r="O297" s="92"/>
      <c r="P297" s="92"/>
      <c r="Q297" s="22"/>
      <c r="R297" s="92"/>
      <c r="S297" s="92"/>
    </row>
    <row r="298" spans="1:19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92"/>
      <c r="K298" s="92"/>
      <c r="L298" s="92"/>
      <c r="M298" s="92"/>
      <c r="N298" s="92"/>
      <c r="O298" s="92"/>
      <c r="P298" s="92"/>
      <c r="Q298" s="22"/>
      <c r="R298" s="92"/>
      <c r="S298" s="92"/>
    </row>
    <row r="299" spans="1:19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92"/>
      <c r="K299" s="92"/>
      <c r="L299" s="92"/>
      <c r="M299" s="92"/>
      <c r="N299" s="92"/>
      <c r="O299" s="92"/>
      <c r="P299" s="92"/>
      <c r="Q299" s="22"/>
      <c r="R299" s="92"/>
      <c r="S299" s="92"/>
    </row>
    <row r="300" spans="1:19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92"/>
      <c r="K300" s="92"/>
      <c r="L300" s="92"/>
      <c r="M300" s="92"/>
      <c r="N300" s="92"/>
      <c r="O300" s="92"/>
      <c r="P300" s="92"/>
      <c r="Q300" s="22"/>
      <c r="R300" s="92"/>
      <c r="S300" s="92"/>
    </row>
    <row r="301" spans="1:19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92"/>
      <c r="K301" s="92"/>
      <c r="L301" s="92"/>
      <c r="M301" s="92"/>
      <c r="N301" s="92"/>
      <c r="O301" s="92"/>
      <c r="P301" s="92"/>
      <c r="Q301" s="22"/>
      <c r="R301" s="92"/>
      <c r="S301" s="92"/>
    </row>
    <row r="302" spans="1:19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92"/>
      <c r="K302" s="92"/>
      <c r="L302" s="92"/>
      <c r="M302" s="92"/>
      <c r="N302" s="92"/>
      <c r="O302" s="92"/>
      <c r="P302" s="92"/>
      <c r="Q302" s="22"/>
      <c r="R302" s="92"/>
      <c r="S302" s="92"/>
    </row>
    <row r="303" spans="1:19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92"/>
      <c r="K303" s="92"/>
      <c r="L303" s="92"/>
      <c r="M303" s="92"/>
      <c r="N303" s="92"/>
      <c r="O303" s="92"/>
      <c r="P303" s="92"/>
      <c r="Q303" s="22"/>
      <c r="R303" s="92"/>
      <c r="S303" s="92"/>
    </row>
    <row r="304" spans="1:19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92"/>
      <c r="K304" s="92"/>
      <c r="L304" s="92"/>
      <c r="M304" s="92"/>
      <c r="N304" s="92"/>
      <c r="O304" s="92"/>
      <c r="P304" s="92"/>
      <c r="Q304" s="22"/>
      <c r="R304" s="92"/>
      <c r="S304" s="92"/>
    </row>
    <row r="305" spans="1:19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92"/>
      <c r="K305" s="92"/>
      <c r="L305" s="92"/>
      <c r="M305" s="92"/>
      <c r="N305" s="92"/>
      <c r="O305" s="92"/>
      <c r="P305" s="92"/>
      <c r="Q305" s="22"/>
      <c r="R305" s="92"/>
      <c r="S305" s="92"/>
    </row>
    <row r="306" spans="1:19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92"/>
      <c r="K306" s="92"/>
      <c r="L306" s="92"/>
      <c r="M306" s="92"/>
      <c r="N306" s="92"/>
      <c r="O306" s="92"/>
      <c r="P306" s="92"/>
      <c r="Q306" s="22"/>
      <c r="R306" s="92"/>
      <c r="S306" s="92"/>
    </row>
    <row r="307" spans="1:19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92"/>
      <c r="K307" s="92"/>
      <c r="L307" s="92"/>
      <c r="M307" s="92"/>
      <c r="N307" s="92"/>
      <c r="O307" s="92"/>
      <c r="P307" s="92"/>
      <c r="Q307" s="22"/>
      <c r="R307" s="92"/>
      <c r="S307" s="92"/>
    </row>
    <row r="308" spans="1:19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92"/>
      <c r="K308" s="92"/>
      <c r="L308" s="92"/>
      <c r="M308" s="92"/>
      <c r="N308" s="92"/>
      <c r="O308" s="92"/>
      <c r="P308" s="92"/>
      <c r="Q308" s="22"/>
      <c r="R308" s="92"/>
      <c r="S308" s="92"/>
    </row>
    <row r="309" spans="1:19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92"/>
      <c r="K309" s="92"/>
      <c r="L309" s="92"/>
      <c r="M309" s="92"/>
      <c r="N309" s="92"/>
      <c r="O309" s="92"/>
      <c r="P309" s="92"/>
      <c r="Q309" s="22"/>
      <c r="R309" s="92"/>
      <c r="S309" s="92"/>
    </row>
    <row r="310" spans="1:19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92"/>
      <c r="K310" s="92"/>
      <c r="L310" s="92"/>
      <c r="M310" s="92"/>
      <c r="N310" s="92"/>
      <c r="O310" s="92"/>
      <c r="P310" s="92"/>
      <c r="Q310" s="22"/>
      <c r="R310" s="92"/>
      <c r="S310" s="92"/>
    </row>
    <row r="311" spans="1:19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92"/>
      <c r="K311" s="92"/>
      <c r="L311" s="92"/>
      <c r="M311" s="92"/>
      <c r="N311" s="92"/>
      <c r="O311" s="92"/>
      <c r="P311" s="92"/>
      <c r="Q311" s="22"/>
      <c r="R311" s="92"/>
      <c r="S311" s="92"/>
    </row>
    <row r="312" spans="1:19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92"/>
      <c r="K312" s="92"/>
      <c r="L312" s="92"/>
      <c r="M312" s="92"/>
      <c r="N312" s="92"/>
      <c r="O312" s="92"/>
      <c r="P312" s="92"/>
      <c r="Q312" s="22"/>
      <c r="R312" s="92"/>
      <c r="S312" s="92"/>
    </row>
    <row r="313" spans="1:19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92"/>
      <c r="K313" s="92"/>
      <c r="L313" s="92"/>
      <c r="M313" s="92"/>
      <c r="N313" s="92"/>
      <c r="O313" s="92"/>
      <c r="P313" s="92"/>
      <c r="Q313" s="22"/>
      <c r="R313" s="92"/>
      <c r="S313" s="92"/>
    </row>
    <row r="314" spans="1:19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92"/>
      <c r="K314" s="92"/>
      <c r="L314" s="92"/>
      <c r="M314" s="92"/>
      <c r="N314" s="92"/>
      <c r="O314" s="92"/>
      <c r="P314" s="92"/>
      <c r="Q314" s="22"/>
      <c r="R314" s="92"/>
      <c r="S314" s="92"/>
    </row>
  </sheetData>
  <mergeCells count="5">
    <mergeCell ref="Q8:T8"/>
    <mergeCell ref="C5:I5"/>
    <mergeCell ref="C6:I6"/>
    <mergeCell ref="C7:I7"/>
    <mergeCell ref="K8:N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45" orientation="landscape" r:id="rId1"/>
  <rowBreaks count="1" manualBreakCount="1">
    <brk id="104" max="16383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6"/>
  <sheetViews>
    <sheetView topLeftCell="A111" zoomScale="130" zoomScaleNormal="130" workbookViewId="0">
      <selection activeCell="I131" sqref="I131"/>
    </sheetView>
  </sheetViews>
  <sheetFormatPr baseColWidth="10" defaultColWidth="11.42578125" defaultRowHeight="12.75" x14ac:dyDescent="0.2"/>
  <cols>
    <col min="1" max="1" width="2.85546875" style="185" customWidth="1"/>
    <col min="2" max="2" width="9.85546875" style="185" customWidth="1"/>
    <col min="3" max="3" width="3.140625" style="185" customWidth="1"/>
    <col min="4" max="4" width="45" style="185" customWidth="1"/>
    <col min="5" max="5" width="2.7109375" style="185" customWidth="1"/>
    <col min="6" max="6" width="12.42578125" style="163" customWidth="1"/>
    <col min="7" max="7" width="1.5703125" style="185" customWidth="1"/>
    <col min="8" max="8" width="2.5703125" style="185" customWidth="1"/>
    <col min="9" max="9" width="10.7109375" style="163" customWidth="1"/>
    <col min="10" max="10" width="10.5703125" style="161" bestFit="1" customWidth="1"/>
    <col min="11" max="13" width="11.42578125" style="161"/>
    <col min="14" max="14" width="37.85546875" style="161" customWidth="1"/>
    <col min="15" max="16384" width="11.42578125" style="161"/>
  </cols>
  <sheetData>
    <row r="1" spans="1:14" ht="9.9499999999999993" customHeight="1" x14ac:dyDescent="0.2">
      <c r="A1" s="161"/>
      <c r="B1" s="185" t="s">
        <v>141</v>
      </c>
    </row>
    <row r="2" spans="1:14" ht="9.9499999999999993" customHeight="1" x14ac:dyDescent="0.2">
      <c r="A2" s="161"/>
      <c r="B2" s="185" t="s">
        <v>142</v>
      </c>
    </row>
    <row r="3" spans="1:14" ht="9.9499999999999993" customHeight="1" x14ac:dyDescent="0.2">
      <c r="A3" s="161"/>
      <c r="B3" s="185" t="s">
        <v>143</v>
      </c>
    </row>
    <row r="4" spans="1:14" ht="9.9499999999999993" customHeight="1" x14ac:dyDescent="0.2">
      <c r="A4" s="161"/>
      <c r="B4" s="185" t="str">
        <f>'CONSOLIDADO MARZO 2018'!A4</f>
        <v>Año actual : 2018</v>
      </c>
      <c r="I4" s="163" t="str">
        <f>'CONSOLIDADO MARZO 2018'!J4</f>
        <v>Pagina     : 01</v>
      </c>
    </row>
    <row r="5" spans="1:14" ht="9.9499999999999993" customHeight="1" x14ac:dyDescent="0.2">
      <c r="A5" s="161"/>
      <c r="B5" s="185" t="str">
        <f>'CONSOLIDADO MARZO 2018'!A5</f>
        <v>Mes actual : 03 - ABRIL</v>
      </c>
      <c r="F5" s="41"/>
      <c r="G5" s="161"/>
      <c r="H5" s="161"/>
      <c r="I5" s="163" t="str">
        <f>'CONSOLIDADO MARZO 2018'!J5</f>
        <v>Fecha      : 03.04.2018</v>
      </c>
    </row>
    <row r="6" spans="1:14" ht="9.9499999999999993" customHeight="1" x14ac:dyDescent="0.2">
      <c r="A6" s="161"/>
      <c r="B6" s="185" t="str">
        <f>'CONSOLIDADO MARZO 2018'!A6</f>
        <v>T. C. CTAS BALANCE     :      7.39919</v>
      </c>
      <c r="C6" s="43"/>
      <c r="F6" s="41"/>
      <c r="G6" s="161"/>
      <c r="H6" s="161"/>
      <c r="I6" s="163" t="str">
        <f>'CONSOLIDADO MARZO 2018'!J6</f>
        <v>Hora        : 21:12:25</v>
      </c>
    </row>
    <row r="7" spans="1:14" x14ac:dyDescent="0.2">
      <c r="A7" s="161"/>
      <c r="B7" s="185" t="str">
        <f>'CONSOLIDADO MARZO 2018'!A7</f>
        <v>T. C. CTAS RESULTADO :    7.39635</v>
      </c>
      <c r="C7" s="43"/>
      <c r="F7" s="41"/>
      <c r="G7" s="161"/>
      <c r="H7" s="161"/>
      <c r="I7" s="163" t="str">
        <f>'CONSOLIDADO MARZO 2018'!J7</f>
        <v>Programa : AMCONP06</v>
      </c>
    </row>
    <row r="8" spans="1:14" ht="14.25" customHeight="1" x14ac:dyDescent="0.2">
      <c r="A8" s="161"/>
      <c r="B8" s="238"/>
      <c r="C8" s="238"/>
      <c r="D8" s="371"/>
      <c r="E8" s="371"/>
      <c r="F8" s="371" t="s">
        <v>136</v>
      </c>
      <c r="G8" s="371"/>
      <c r="H8" s="371"/>
      <c r="I8" s="371"/>
    </row>
    <row r="9" spans="1:14" ht="11.1" customHeight="1" x14ac:dyDescent="0.2">
      <c r="A9" s="161"/>
      <c r="B9" s="239" t="s">
        <v>161</v>
      </c>
      <c r="C9" s="239"/>
      <c r="D9" s="372" t="s">
        <v>162</v>
      </c>
      <c r="E9" s="372"/>
      <c r="F9" s="241" t="s">
        <v>137</v>
      </c>
      <c r="G9" s="239"/>
      <c r="H9" s="239"/>
      <c r="I9" s="241" t="s">
        <v>138</v>
      </c>
    </row>
    <row r="10" spans="1:14" ht="15" customHeight="1" x14ac:dyDescent="0.25">
      <c r="A10" s="161"/>
      <c r="B10" s="45" t="s">
        <v>163</v>
      </c>
      <c r="C10" s="164"/>
      <c r="D10" s="47"/>
      <c r="E10" s="164"/>
      <c r="F10" s="186"/>
      <c r="G10" s="164"/>
      <c r="H10" s="164"/>
      <c r="I10" s="186"/>
    </row>
    <row r="11" spans="1:14" s="185" customFormat="1" ht="16.5" customHeight="1" x14ac:dyDescent="0.25">
      <c r="B11" s="45" t="s">
        <v>164</v>
      </c>
      <c r="E11" s="49"/>
      <c r="F11" s="186"/>
      <c r="G11" s="164"/>
      <c r="H11" s="164"/>
      <c r="I11" s="187"/>
    </row>
    <row r="12" spans="1:14" s="185" customFormat="1" ht="16.5" customHeight="1" x14ac:dyDescent="0.25">
      <c r="B12" s="45" t="s">
        <v>242</v>
      </c>
      <c r="D12" s="185" t="s">
        <v>436</v>
      </c>
      <c r="E12" s="49"/>
      <c r="F12" s="186"/>
      <c r="G12" s="164"/>
      <c r="H12" s="164"/>
      <c r="I12" s="187"/>
    </row>
    <row r="13" spans="1:14" s="185" customFormat="1" ht="10.5" customHeight="1" x14ac:dyDescent="0.2">
      <c r="B13" s="51">
        <v>11414</v>
      </c>
      <c r="D13" s="163" t="s">
        <v>165</v>
      </c>
      <c r="E13" s="188"/>
      <c r="F13" s="196">
        <v>364305.03</v>
      </c>
      <c r="G13" s="53"/>
      <c r="H13" s="54"/>
      <c r="I13" s="186"/>
      <c r="K13" s="185" t="s">
        <v>166</v>
      </c>
    </row>
    <row r="14" spans="1:14" s="185" customFormat="1" ht="10.5" customHeight="1" x14ac:dyDescent="0.2">
      <c r="B14" s="51">
        <v>8182</v>
      </c>
      <c r="D14" s="163" t="s">
        <v>165</v>
      </c>
      <c r="E14" s="188"/>
      <c r="F14" s="196">
        <v>2096470.06</v>
      </c>
      <c r="G14" s="53"/>
      <c r="H14" s="54"/>
      <c r="I14" s="186"/>
      <c r="J14" s="186"/>
      <c r="K14" s="185" t="s">
        <v>168</v>
      </c>
    </row>
    <row r="15" spans="1:14" s="185" customFormat="1" ht="11.1" customHeight="1" x14ac:dyDescent="0.2">
      <c r="B15" s="51">
        <v>6349</v>
      </c>
      <c r="D15" s="163" t="s">
        <v>165</v>
      </c>
      <c r="E15" s="188"/>
      <c r="F15" s="196">
        <v>263245.27</v>
      </c>
      <c r="G15" s="53"/>
      <c r="H15" s="54"/>
      <c r="I15" s="186"/>
      <c r="J15" s="186"/>
      <c r="K15" s="185" t="s">
        <v>170</v>
      </c>
      <c r="N15" s="185" t="s">
        <v>167</v>
      </c>
    </row>
    <row r="16" spans="1:14" s="185" customFormat="1" ht="11.1" customHeight="1" x14ac:dyDescent="0.2">
      <c r="B16" s="51">
        <v>10490</v>
      </c>
      <c r="D16" s="163" t="s">
        <v>172</v>
      </c>
      <c r="E16" s="188"/>
      <c r="F16" s="234">
        <f>I26</f>
        <v>773007.92</v>
      </c>
      <c r="G16" s="53"/>
      <c r="H16" s="54"/>
      <c r="I16" s="186"/>
      <c r="J16" s="186"/>
      <c r="K16" s="185" t="s">
        <v>173</v>
      </c>
      <c r="N16" s="185" t="s">
        <v>169</v>
      </c>
    </row>
    <row r="17" spans="2:16" s="185" customFormat="1" ht="11.1" customHeight="1" x14ac:dyDescent="0.2">
      <c r="B17" s="51">
        <v>11414</v>
      </c>
      <c r="D17" s="163" t="s">
        <v>172</v>
      </c>
      <c r="E17" s="188"/>
      <c r="F17" s="234">
        <f>I27</f>
        <v>855607.08</v>
      </c>
      <c r="G17" s="53"/>
      <c r="H17" s="54"/>
      <c r="I17" s="186"/>
      <c r="J17" s="186"/>
      <c r="K17" s="185" t="s">
        <v>175</v>
      </c>
      <c r="N17" s="185" t="s">
        <v>171</v>
      </c>
      <c r="O17" s="55"/>
    </row>
    <row r="18" spans="2:16" s="185" customFormat="1" ht="11.1" customHeight="1" x14ac:dyDescent="0.2">
      <c r="B18" s="51">
        <v>8182</v>
      </c>
      <c r="D18" s="163" t="s">
        <v>172</v>
      </c>
      <c r="E18" s="188"/>
      <c r="F18" s="234"/>
      <c r="G18" s="53"/>
      <c r="H18" s="54"/>
      <c r="I18" s="186"/>
      <c r="J18" s="186"/>
      <c r="K18" s="185" t="s">
        <v>176</v>
      </c>
      <c r="N18" s="185" t="s">
        <v>174</v>
      </c>
    </row>
    <row r="19" spans="2:16" s="185" customFormat="1" ht="11.1" customHeight="1" x14ac:dyDescent="0.2">
      <c r="B19" s="51">
        <v>8182</v>
      </c>
      <c r="D19" s="163" t="s">
        <v>172</v>
      </c>
      <c r="E19" s="188"/>
      <c r="F19" s="234"/>
      <c r="G19" s="53"/>
      <c r="H19" s="54"/>
      <c r="I19" s="186"/>
      <c r="J19" s="186"/>
    </row>
    <row r="20" spans="2:16" s="185" customFormat="1" ht="11.1" customHeight="1" x14ac:dyDescent="0.2">
      <c r="B20" s="51">
        <v>11414</v>
      </c>
      <c r="D20" s="163" t="s">
        <v>165</v>
      </c>
      <c r="E20" s="188"/>
      <c r="F20" s="196">
        <f>--40860.02</f>
        <v>40860.019999999997</v>
      </c>
      <c r="G20" s="53"/>
      <c r="H20" s="54"/>
      <c r="I20" s="186"/>
      <c r="J20" s="186"/>
      <c r="K20" s="185" t="s">
        <v>518</v>
      </c>
    </row>
    <row r="21" spans="2:16" s="185" customFormat="1" ht="11.1" customHeight="1" x14ac:dyDescent="0.2">
      <c r="B21" s="51">
        <v>3671</v>
      </c>
      <c r="C21" s="51"/>
      <c r="D21" s="163" t="s">
        <v>521</v>
      </c>
      <c r="E21" s="188"/>
      <c r="F21" s="234"/>
      <c r="G21" s="189"/>
      <c r="H21" s="188"/>
      <c r="I21" s="186"/>
      <c r="J21" s="186"/>
      <c r="K21" s="185" t="s">
        <v>517</v>
      </c>
    </row>
    <row r="22" spans="2:16" s="185" customFormat="1" ht="11.1" customHeight="1" x14ac:dyDescent="0.2">
      <c r="B22" s="51">
        <v>8182</v>
      </c>
      <c r="C22" s="51"/>
      <c r="D22" s="163" t="s">
        <v>165</v>
      </c>
      <c r="E22" s="188"/>
      <c r="F22" s="196">
        <v>5555.86</v>
      </c>
      <c r="G22" s="189"/>
      <c r="H22" s="188"/>
      <c r="I22" s="186"/>
      <c r="J22" s="186"/>
      <c r="K22" s="185" t="s">
        <v>177</v>
      </c>
    </row>
    <row r="23" spans="2:16" s="185" customFormat="1" ht="11.1" customHeight="1" x14ac:dyDescent="0.2">
      <c r="B23" s="51">
        <v>11414</v>
      </c>
      <c r="C23" s="51"/>
      <c r="D23" s="185" t="s">
        <v>178</v>
      </c>
      <c r="E23" s="188"/>
      <c r="F23" s="186"/>
      <c r="G23" s="189"/>
      <c r="H23" s="188"/>
      <c r="I23" s="196">
        <f t="shared" ref="I23:I28" si="0">F13</f>
        <v>364305.03</v>
      </c>
      <c r="J23" s="186"/>
      <c r="K23" s="185" t="s">
        <v>166</v>
      </c>
    </row>
    <row r="24" spans="2:16" s="185" customFormat="1" ht="11.1" customHeight="1" x14ac:dyDescent="0.2">
      <c r="B24" s="51">
        <v>4069</v>
      </c>
      <c r="C24" s="51"/>
      <c r="D24" s="185" t="s">
        <v>178</v>
      </c>
      <c r="E24" s="188"/>
      <c r="F24" s="186"/>
      <c r="G24" s="189"/>
      <c r="H24" s="188"/>
      <c r="I24" s="196">
        <f t="shared" si="0"/>
        <v>2096470.06</v>
      </c>
      <c r="J24" s="186"/>
      <c r="K24" s="185" t="s">
        <v>168</v>
      </c>
    </row>
    <row r="25" spans="2:16" s="185" customFormat="1" ht="11.1" customHeight="1" x14ac:dyDescent="0.2">
      <c r="B25" s="51">
        <v>4069</v>
      </c>
      <c r="C25" s="51"/>
      <c r="D25" s="185" t="s">
        <v>178</v>
      </c>
      <c r="E25" s="188"/>
      <c r="F25" s="186"/>
      <c r="G25" s="189"/>
      <c r="H25" s="188"/>
      <c r="I25" s="196">
        <f t="shared" si="0"/>
        <v>263245.27</v>
      </c>
      <c r="J25" s="186"/>
      <c r="K25" s="185" t="s">
        <v>170</v>
      </c>
    </row>
    <row r="26" spans="2:16" s="185" customFormat="1" ht="11.1" customHeight="1" x14ac:dyDescent="0.2">
      <c r="B26" s="51">
        <v>4069</v>
      </c>
      <c r="C26" s="51"/>
      <c r="D26" s="185" t="s">
        <v>179</v>
      </c>
      <c r="E26" s="188"/>
      <c r="F26" s="186"/>
      <c r="G26" s="189"/>
      <c r="H26" s="188"/>
      <c r="I26" s="234">
        <f>773007.92</f>
        <v>773007.92</v>
      </c>
      <c r="J26" s="186"/>
      <c r="K26" s="185" t="s">
        <v>173</v>
      </c>
      <c r="P26" s="57"/>
    </row>
    <row r="27" spans="2:16" s="185" customFormat="1" ht="11.1" customHeight="1" x14ac:dyDescent="0.2">
      <c r="B27" s="51">
        <v>5389</v>
      </c>
      <c r="C27" s="51"/>
      <c r="D27" s="185" t="s">
        <v>179</v>
      </c>
      <c r="E27" s="188"/>
      <c r="F27" s="186"/>
      <c r="G27" s="189"/>
      <c r="H27" s="188"/>
      <c r="I27" s="234">
        <v>855607.08</v>
      </c>
      <c r="J27" s="186"/>
      <c r="K27" s="185" t="s">
        <v>175</v>
      </c>
    </row>
    <row r="28" spans="2:16" s="185" customFormat="1" ht="11.1" customHeight="1" x14ac:dyDescent="0.2">
      <c r="B28" s="51">
        <v>5389</v>
      </c>
      <c r="C28" s="51"/>
      <c r="D28" s="185" t="s">
        <v>179</v>
      </c>
      <c r="E28" s="188"/>
      <c r="F28" s="186"/>
      <c r="G28" s="189"/>
      <c r="H28" s="188"/>
      <c r="I28" s="234">
        <f t="shared" si="0"/>
        <v>0</v>
      </c>
      <c r="J28" s="186"/>
      <c r="K28" s="185" t="s">
        <v>176</v>
      </c>
      <c r="P28" s="57"/>
    </row>
    <row r="29" spans="2:16" s="185" customFormat="1" ht="11.1" customHeight="1" x14ac:dyDescent="0.2">
      <c r="B29" s="51">
        <v>3681</v>
      </c>
      <c r="C29" s="51"/>
      <c r="D29" s="185" t="s">
        <v>178</v>
      </c>
      <c r="E29" s="188"/>
      <c r="F29" s="186"/>
      <c r="G29" s="189"/>
      <c r="H29" s="188"/>
      <c r="I29" s="196">
        <f>F20</f>
        <v>40860.019999999997</v>
      </c>
      <c r="J29" s="186"/>
      <c r="K29" s="185" t="s">
        <v>177</v>
      </c>
    </row>
    <row r="30" spans="2:16" s="185" customFormat="1" ht="11.1" customHeight="1" x14ac:dyDescent="0.2">
      <c r="B30" s="51">
        <v>11414</v>
      </c>
      <c r="C30" s="51"/>
      <c r="D30" s="185" t="s">
        <v>178</v>
      </c>
      <c r="E30" s="188"/>
      <c r="F30" s="186"/>
      <c r="G30" s="189"/>
      <c r="H30" s="188"/>
      <c r="I30" s="234"/>
      <c r="J30" s="186"/>
      <c r="K30" s="185" t="s">
        <v>166</v>
      </c>
    </row>
    <row r="31" spans="2:16" s="185" customFormat="1" ht="11.1" customHeight="1" x14ac:dyDescent="0.2">
      <c r="B31" s="51"/>
      <c r="C31" s="51"/>
      <c r="D31" s="185" t="s">
        <v>178</v>
      </c>
      <c r="E31" s="188"/>
      <c r="F31" s="186"/>
      <c r="G31" s="189"/>
      <c r="H31" s="188"/>
      <c r="I31" s="196">
        <f>+F22</f>
        <v>5555.86</v>
      </c>
      <c r="J31" s="186"/>
    </row>
    <row r="32" spans="2:16" s="185" customFormat="1" ht="11.1" customHeight="1" thickBot="1" x14ac:dyDescent="0.25">
      <c r="B32" s="240" t="s">
        <v>180</v>
      </c>
      <c r="C32" s="51"/>
      <c r="E32" s="190"/>
      <c r="F32" s="242">
        <f>SUM(F13:F30)</f>
        <v>4399051.2399999993</v>
      </c>
      <c r="G32" s="244"/>
      <c r="H32" s="243"/>
      <c r="I32" s="242">
        <f>SUM(I13:I31)</f>
        <v>4399051.2399999993</v>
      </c>
      <c r="J32" s="47">
        <f>+F32-I32</f>
        <v>0</v>
      </c>
    </row>
    <row r="33" spans="2:15" s="185" customFormat="1" ht="11.1" customHeight="1" thickTop="1" x14ac:dyDescent="0.2">
      <c r="B33" s="51"/>
      <c r="C33" s="51"/>
      <c r="E33" s="188"/>
      <c r="F33" s="186">
        <f>F32-I32</f>
        <v>0</v>
      </c>
      <c r="G33" s="189"/>
      <c r="H33" s="188"/>
      <c r="I33" s="186"/>
    </row>
    <row r="34" spans="2:15" s="55" customFormat="1" ht="12" customHeight="1" x14ac:dyDescent="0.25">
      <c r="B34" s="45" t="s">
        <v>244</v>
      </c>
      <c r="C34" s="185"/>
      <c r="D34" s="185" t="s">
        <v>436</v>
      </c>
      <c r="E34" s="49"/>
      <c r="F34" s="187"/>
      <c r="G34" s="54"/>
      <c r="H34" s="193"/>
      <c r="I34" s="187"/>
      <c r="N34" s="185"/>
      <c r="O34" s="185"/>
    </row>
    <row r="35" spans="2:15" s="185" customFormat="1" ht="11.1" customHeight="1" x14ac:dyDescent="0.2">
      <c r="B35" s="51"/>
      <c r="C35" s="51"/>
      <c r="D35" s="63" t="s">
        <v>181</v>
      </c>
      <c r="E35" s="188"/>
      <c r="F35" s="186">
        <v>1006176.94</v>
      </c>
      <c r="G35" s="53"/>
      <c r="H35" s="188"/>
      <c r="I35" s="186"/>
      <c r="K35" s="185" t="s">
        <v>173</v>
      </c>
    </row>
    <row r="36" spans="2:15" s="185" customFormat="1" ht="11.1" customHeight="1" x14ac:dyDescent="0.2">
      <c r="B36" s="51"/>
      <c r="C36" s="51"/>
      <c r="D36" s="63" t="s">
        <v>181</v>
      </c>
      <c r="E36" s="188"/>
      <c r="F36" s="186">
        <v>0</v>
      </c>
      <c r="G36" s="53"/>
      <c r="H36" s="188"/>
      <c r="I36" s="186"/>
      <c r="K36" s="185" t="s">
        <v>176</v>
      </c>
    </row>
    <row r="37" spans="2:15" s="185" customFormat="1" ht="9.75" customHeight="1" x14ac:dyDescent="0.2">
      <c r="B37" s="51"/>
      <c r="C37" s="51"/>
      <c r="D37" s="185" t="s">
        <v>182</v>
      </c>
      <c r="E37" s="188"/>
      <c r="F37" s="186"/>
      <c r="G37" s="189"/>
      <c r="H37" s="188"/>
      <c r="I37" s="186">
        <v>0</v>
      </c>
      <c r="J37" s="47"/>
      <c r="K37" s="185" t="s">
        <v>176</v>
      </c>
    </row>
    <row r="38" spans="2:15" s="185" customFormat="1" ht="9.75" customHeight="1" x14ac:dyDescent="0.2">
      <c r="B38" s="51"/>
      <c r="C38" s="51"/>
      <c r="D38" s="185" t="s">
        <v>182</v>
      </c>
      <c r="E38" s="188"/>
      <c r="F38" s="186"/>
      <c r="G38" s="189"/>
      <c r="H38" s="188"/>
      <c r="I38" s="186">
        <f>F35</f>
        <v>1006176.94</v>
      </c>
      <c r="J38" s="47"/>
      <c r="K38" s="185" t="s">
        <v>173</v>
      </c>
    </row>
    <row r="39" spans="2:15" s="185" customFormat="1" ht="9.75" customHeight="1" x14ac:dyDescent="0.2">
      <c r="B39" s="51"/>
      <c r="C39" s="51"/>
      <c r="D39" s="185" t="s">
        <v>183</v>
      </c>
      <c r="E39" s="188"/>
      <c r="F39" s="186"/>
      <c r="G39" s="189"/>
      <c r="H39" s="188"/>
      <c r="I39" s="186"/>
      <c r="J39" s="47"/>
      <c r="K39" s="185" t="s">
        <v>46</v>
      </c>
    </row>
    <row r="40" spans="2:15" s="185" customFormat="1" ht="11.1" customHeight="1" x14ac:dyDescent="0.2">
      <c r="B40" s="51"/>
      <c r="D40" s="185" t="s">
        <v>184</v>
      </c>
      <c r="E40" s="188"/>
      <c r="F40" s="186"/>
      <c r="G40" s="53"/>
      <c r="H40" s="188"/>
      <c r="I40" s="186"/>
      <c r="K40" s="185" t="s">
        <v>46</v>
      </c>
    </row>
    <row r="41" spans="2:15" s="185" customFormat="1" ht="11.1" customHeight="1" x14ac:dyDescent="0.2">
      <c r="B41" s="51"/>
      <c r="D41" s="185" t="s">
        <v>183</v>
      </c>
      <c r="E41" s="188"/>
      <c r="F41" s="186"/>
      <c r="G41" s="53"/>
      <c r="H41" s="188"/>
      <c r="I41" s="186"/>
      <c r="K41" s="185" t="s">
        <v>46</v>
      </c>
    </row>
    <row r="42" spans="2:15" s="185" customFormat="1" ht="11.1" customHeight="1" x14ac:dyDescent="0.2">
      <c r="B42" s="51"/>
      <c r="C42" s="51"/>
      <c r="D42" s="185" t="s">
        <v>183</v>
      </c>
      <c r="E42" s="189"/>
      <c r="F42" s="186"/>
      <c r="G42" s="189"/>
      <c r="H42" s="188"/>
      <c r="K42" s="185" t="s">
        <v>46</v>
      </c>
    </row>
    <row r="43" spans="2:15" s="185" customFormat="1" ht="11.1" customHeight="1" thickBot="1" x14ac:dyDescent="0.25">
      <c r="B43" s="240" t="s">
        <v>185</v>
      </c>
      <c r="E43" s="190"/>
      <c r="F43" s="191">
        <f>SUM(F35:F42)</f>
        <v>1006176.94</v>
      </c>
      <c r="G43" s="192"/>
      <c r="H43" s="190"/>
      <c r="I43" s="191">
        <f>SUM(I35:I42)</f>
        <v>1006176.94</v>
      </c>
      <c r="J43" s="235">
        <f>F43-I43</f>
        <v>0</v>
      </c>
    </row>
    <row r="44" spans="2:15" s="185" customFormat="1" ht="11.1" customHeight="1" thickTop="1" x14ac:dyDescent="0.2">
      <c r="B44" s="240"/>
      <c r="E44" s="193"/>
      <c r="F44" s="78"/>
      <c r="G44" s="79"/>
      <c r="H44" s="193"/>
      <c r="I44" s="78"/>
      <c r="J44" s="235"/>
    </row>
    <row r="45" spans="2:15" s="185" customFormat="1" ht="13.5" customHeight="1" x14ac:dyDescent="0.25">
      <c r="B45" s="45" t="s">
        <v>245</v>
      </c>
      <c r="D45" s="185" t="s">
        <v>436</v>
      </c>
      <c r="E45" s="49"/>
      <c r="F45" s="187"/>
      <c r="G45" s="54"/>
      <c r="H45" s="188"/>
      <c r="I45" s="187"/>
    </row>
    <row r="46" spans="2:15" s="185" customFormat="1" ht="11.1" customHeight="1" x14ac:dyDescent="0.2">
      <c r="B46" s="51"/>
      <c r="D46" s="185" t="s">
        <v>186</v>
      </c>
      <c r="E46" s="193"/>
      <c r="F46" s="187">
        <f>13102-7105.67</f>
        <v>5996.33</v>
      </c>
      <c r="G46" s="53"/>
      <c r="H46" s="189"/>
      <c r="I46" s="186"/>
      <c r="K46" s="63" t="s">
        <v>187</v>
      </c>
    </row>
    <row r="47" spans="2:15" s="185" customFormat="1" ht="11.1" customHeight="1" x14ac:dyDescent="0.2">
      <c r="B47" s="51"/>
      <c r="D47" s="185" t="s">
        <v>186</v>
      </c>
      <c r="E47" s="193"/>
      <c r="F47" s="187">
        <v>131020</v>
      </c>
      <c r="G47" s="53"/>
      <c r="H47" s="189"/>
      <c r="I47" s="186"/>
      <c r="K47" s="63" t="s">
        <v>188</v>
      </c>
    </row>
    <row r="48" spans="2:15" s="185" customFormat="1" ht="11.1" customHeight="1" x14ac:dyDescent="0.2">
      <c r="B48" s="51"/>
      <c r="D48" s="185" t="s">
        <v>186</v>
      </c>
      <c r="E48" s="193"/>
      <c r="F48" s="187">
        <v>13102</v>
      </c>
      <c r="G48" s="53"/>
      <c r="H48" s="193"/>
      <c r="I48" s="187"/>
      <c r="K48" s="63" t="s">
        <v>189</v>
      </c>
    </row>
    <row r="49" spans="2:14" s="185" customFormat="1" ht="11.1" customHeight="1" x14ac:dyDescent="0.2">
      <c r="B49" s="51"/>
      <c r="D49" s="185" t="s">
        <v>186</v>
      </c>
      <c r="E49" s="193"/>
      <c r="F49" s="187"/>
      <c r="G49" s="53"/>
      <c r="H49" s="193"/>
      <c r="I49" s="187"/>
      <c r="K49" s="63" t="s">
        <v>188</v>
      </c>
    </row>
    <row r="50" spans="2:14" s="185" customFormat="1" ht="11.1" customHeight="1" x14ac:dyDescent="0.2">
      <c r="B50" s="51"/>
      <c r="D50" s="185" t="s">
        <v>186</v>
      </c>
      <c r="E50" s="193"/>
      <c r="F50" s="187"/>
      <c r="G50" s="53"/>
      <c r="H50" s="193"/>
      <c r="I50" s="187"/>
      <c r="K50" s="63"/>
    </row>
    <row r="51" spans="2:14" s="185" customFormat="1" ht="11.1" customHeight="1" x14ac:dyDescent="0.2">
      <c r="B51" s="51"/>
      <c r="C51" s="51"/>
      <c r="D51" s="63" t="s">
        <v>187</v>
      </c>
      <c r="E51" s="54"/>
      <c r="F51" s="187"/>
      <c r="G51" s="54"/>
      <c r="H51" s="193"/>
      <c r="I51" s="187">
        <v>12375</v>
      </c>
      <c r="K51" s="63" t="s">
        <v>491</v>
      </c>
    </row>
    <row r="52" spans="2:14" s="185" customFormat="1" ht="11.1" customHeight="1" x14ac:dyDescent="0.2">
      <c r="B52" s="51"/>
      <c r="C52" s="51"/>
      <c r="D52" s="63" t="s">
        <v>188</v>
      </c>
      <c r="E52" s="54"/>
      <c r="F52" s="187"/>
      <c r="G52" s="54"/>
      <c r="H52" s="193"/>
      <c r="I52" s="187">
        <f>142519.17-12375</f>
        <v>130144.17000000001</v>
      </c>
      <c r="K52" s="63" t="s">
        <v>489</v>
      </c>
    </row>
    <row r="53" spans="2:14" s="185" customFormat="1" ht="11.1" customHeight="1" x14ac:dyDescent="0.2">
      <c r="B53" s="51"/>
      <c r="C53" s="51"/>
      <c r="D53" s="63" t="s">
        <v>189</v>
      </c>
      <c r="E53" s="54"/>
      <c r="F53" s="187"/>
      <c r="G53" s="54"/>
      <c r="H53" s="193"/>
      <c r="I53" s="187">
        <v>6682.02</v>
      </c>
      <c r="K53" s="63" t="s">
        <v>490</v>
      </c>
      <c r="M53" s="187"/>
    </row>
    <row r="54" spans="2:14" s="185" customFormat="1" ht="11.1" customHeight="1" x14ac:dyDescent="0.2">
      <c r="B54" s="51"/>
      <c r="C54" s="51"/>
      <c r="D54" s="63" t="s">
        <v>188</v>
      </c>
      <c r="E54" s="54"/>
      <c r="F54" s="187"/>
      <c r="G54" s="54"/>
      <c r="H54" s="193"/>
      <c r="I54" s="187">
        <v>917.14</v>
      </c>
      <c r="K54" s="63" t="s">
        <v>488</v>
      </c>
      <c r="M54" s="187"/>
    </row>
    <row r="55" spans="2:14" s="185" customFormat="1" ht="11.1" customHeight="1" x14ac:dyDescent="0.2">
      <c r="B55" s="51"/>
      <c r="C55" s="51"/>
      <c r="D55" s="63" t="s">
        <v>522</v>
      </c>
      <c r="E55" s="54"/>
      <c r="F55" s="187"/>
      <c r="G55" s="54"/>
      <c r="H55" s="193"/>
      <c r="I55" s="187"/>
      <c r="K55" s="63" t="s">
        <v>488</v>
      </c>
      <c r="M55" s="187"/>
    </row>
    <row r="56" spans="2:14" s="185" customFormat="1" ht="11.1" customHeight="1" thickBot="1" x14ac:dyDescent="0.25">
      <c r="B56" s="240" t="s">
        <v>190</v>
      </c>
      <c r="E56" s="190"/>
      <c r="F56" s="191">
        <f>SUM(F46:F55)</f>
        <v>150118.32999999999</v>
      </c>
      <c r="G56" s="192"/>
      <c r="H56" s="190"/>
      <c r="I56" s="191">
        <f>SUM(I46:I55)</f>
        <v>150118.33000000002</v>
      </c>
      <c r="J56" s="235">
        <f>F56-I56</f>
        <v>0</v>
      </c>
    </row>
    <row r="57" spans="2:14" s="185" customFormat="1" ht="11.1" customHeight="1" thickTop="1" x14ac:dyDescent="0.2">
      <c r="B57" s="240"/>
      <c r="E57" s="193"/>
      <c r="F57" s="78"/>
      <c r="G57" s="79"/>
      <c r="H57" s="193"/>
      <c r="I57" s="78"/>
      <c r="J57" s="163"/>
      <c r="K57" s="163"/>
      <c r="L57" s="163"/>
      <c r="M57" s="163"/>
      <c r="N57" s="163"/>
    </row>
    <row r="58" spans="2:14" s="185" customFormat="1" ht="11.1" customHeight="1" x14ac:dyDescent="0.2">
      <c r="B58" s="240"/>
      <c r="E58" s="193"/>
      <c r="F58" s="78"/>
      <c r="G58" s="79"/>
      <c r="H58" s="193"/>
      <c r="I58" s="78"/>
      <c r="J58" s="163"/>
      <c r="K58" s="163"/>
      <c r="L58" s="163"/>
      <c r="M58" s="163"/>
      <c r="N58" s="163"/>
    </row>
    <row r="59" spans="2:14" s="185" customFormat="1" ht="11.1" customHeight="1" x14ac:dyDescent="0.2">
      <c r="B59" s="185">
        <v>4900000</v>
      </c>
      <c r="D59" s="185" t="s">
        <v>29</v>
      </c>
      <c r="E59" s="193"/>
      <c r="F59" s="187">
        <v>159953.32</v>
      </c>
      <c r="G59" s="54"/>
      <c r="H59" s="314"/>
      <c r="I59" s="187"/>
      <c r="J59" s="163"/>
      <c r="K59" s="163"/>
      <c r="L59" s="163"/>
      <c r="M59" s="163"/>
      <c r="N59" s="163"/>
    </row>
    <row r="60" spans="2:14" s="185" customFormat="1" ht="11.1" customHeight="1" x14ac:dyDescent="0.2">
      <c r="B60" s="185">
        <v>6940000</v>
      </c>
      <c r="D60" s="185" t="s">
        <v>511</v>
      </c>
      <c r="E60" s="193"/>
      <c r="F60" s="78"/>
      <c r="G60" s="79"/>
      <c r="H60" s="193"/>
      <c r="I60" s="187">
        <f>F59</f>
        <v>159953.32</v>
      </c>
      <c r="J60" s="163"/>
      <c r="K60" s="163"/>
      <c r="L60" s="163"/>
      <c r="M60" s="163"/>
      <c r="N60" s="163"/>
    </row>
    <row r="61" spans="2:14" s="185" customFormat="1" ht="11.1" customHeight="1" thickBot="1" x14ac:dyDescent="0.25">
      <c r="B61" s="240" t="s">
        <v>516</v>
      </c>
      <c r="E61" s="190"/>
      <c r="F61" s="191">
        <f>SUM(F59:F60)</f>
        <v>159953.32</v>
      </c>
      <c r="G61" s="192"/>
      <c r="H61" s="190"/>
      <c r="I61" s="191">
        <f>SUM(I59:I60)</f>
        <v>159953.32</v>
      </c>
      <c r="J61" s="163"/>
      <c r="K61" s="163"/>
      <c r="L61" s="163"/>
      <c r="M61" s="163"/>
      <c r="N61" s="163"/>
    </row>
    <row r="62" spans="2:14" s="185" customFormat="1" ht="11.1" customHeight="1" thickTop="1" x14ac:dyDescent="0.2">
      <c r="B62" s="240"/>
      <c r="E62" s="193"/>
      <c r="F62" s="78"/>
      <c r="G62" s="79"/>
      <c r="H62" s="193"/>
      <c r="I62" s="78"/>
      <c r="J62" s="163"/>
      <c r="K62" s="163"/>
      <c r="L62" s="163"/>
      <c r="M62" s="163"/>
      <c r="N62" s="163"/>
    </row>
    <row r="63" spans="2:14" s="185" customFormat="1" ht="11.1" customHeight="1" x14ac:dyDescent="0.2">
      <c r="B63" s="240"/>
      <c r="E63" s="193"/>
      <c r="F63" s="78"/>
      <c r="G63" s="79"/>
      <c r="H63" s="193"/>
      <c r="I63" s="78"/>
      <c r="J63" s="163"/>
      <c r="K63" s="163"/>
      <c r="L63" s="163"/>
      <c r="M63" s="163"/>
      <c r="N63" s="163"/>
    </row>
    <row r="64" spans="2:14" s="163" customFormat="1" ht="16.5" customHeight="1" x14ac:dyDescent="0.25">
      <c r="B64" s="129" t="s">
        <v>246</v>
      </c>
      <c r="D64" s="163" t="s">
        <v>436</v>
      </c>
      <c r="E64" s="189"/>
      <c r="F64" s="186"/>
      <c r="G64" s="189"/>
      <c r="H64" s="189"/>
      <c r="I64" s="186"/>
    </row>
    <row r="65" spans="2:14" s="163" customFormat="1" ht="11.1" customHeight="1" x14ac:dyDescent="0.25">
      <c r="B65" s="131"/>
      <c r="C65" s="131"/>
      <c r="D65" s="65" t="s">
        <v>390</v>
      </c>
      <c r="E65" s="263"/>
      <c r="F65" s="236">
        <v>5289.52</v>
      </c>
      <c r="G65" s="53"/>
      <c r="H65" s="189"/>
      <c r="I65" s="186"/>
      <c r="J65" s="170" t="s">
        <v>445</v>
      </c>
      <c r="K65" s="131" t="s">
        <v>500</v>
      </c>
    </row>
    <row r="66" spans="2:14" s="163" customFormat="1" ht="11.1" customHeight="1" x14ac:dyDescent="0.2">
      <c r="B66" s="131"/>
      <c r="D66" s="163" t="s">
        <v>398</v>
      </c>
      <c r="E66" s="193"/>
      <c r="F66" s="186"/>
      <c r="G66" s="189"/>
      <c r="H66" s="188"/>
      <c r="I66" s="236">
        <v>5289.52</v>
      </c>
      <c r="K66" s="131" t="s">
        <v>500</v>
      </c>
    </row>
    <row r="67" spans="2:14" s="163" customFormat="1" ht="11.1" customHeight="1" thickBot="1" x14ac:dyDescent="0.25">
      <c r="B67" s="281" t="s">
        <v>501</v>
      </c>
      <c r="E67" s="190"/>
      <c r="F67" s="191">
        <f>SUM(F65:F66)</f>
        <v>5289.52</v>
      </c>
      <c r="G67" s="192"/>
      <c r="H67" s="190"/>
      <c r="I67" s="191">
        <f>SUM(I65:I66)</f>
        <v>5289.52</v>
      </c>
    </row>
    <row r="68" spans="2:14" s="185" customFormat="1" ht="11.1" customHeight="1" thickTop="1" x14ac:dyDescent="0.2">
      <c r="B68" s="257"/>
      <c r="C68" s="163"/>
      <c r="D68" s="163"/>
      <c r="E68" s="193"/>
      <c r="F68" s="78"/>
      <c r="G68" s="79"/>
      <c r="H68" s="193"/>
      <c r="I68" s="78"/>
      <c r="J68" s="163"/>
      <c r="K68" s="163"/>
      <c r="L68" s="163"/>
      <c r="M68" s="163"/>
      <c r="N68" s="163"/>
    </row>
    <row r="69" spans="2:14" s="185" customFormat="1" ht="11.1" customHeight="1" x14ac:dyDescent="0.2">
      <c r="B69" s="163"/>
      <c r="C69" s="163"/>
      <c r="D69" s="163" t="s">
        <v>61</v>
      </c>
      <c r="E69" s="163"/>
      <c r="F69" s="186">
        <v>5395</v>
      </c>
      <c r="G69" s="163"/>
      <c r="H69" s="163"/>
      <c r="I69" s="163"/>
      <c r="J69" s="163"/>
      <c r="K69" s="163"/>
      <c r="L69" s="163"/>
      <c r="M69" s="163"/>
      <c r="N69" s="163"/>
    </row>
    <row r="70" spans="2:14" s="185" customFormat="1" ht="11.1" customHeight="1" x14ac:dyDescent="0.2">
      <c r="B70" s="163"/>
      <c r="C70" s="163"/>
      <c r="D70" s="163" t="s">
        <v>398</v>
      </c>
      <c r="E70" s="163"/>
      <c r="F70" s="163"/>
      <c r="G70" s="163"/>
      <c r="H70" s="163"/>
      <c r="I70" s="186">
        <f>F69</f>
        <v>5395</v>
      </c>
      <c r="J70" s="163"/>
      <c r="K70" s="163"/>
      <c r="L70" s="163"/>
      <c r="M70" s="163"/>
      <c r="N70" s="163"/>
    </row>
    <row r="71" spans="2:14" s="185" customFormat="1" ht="11.1" customHeight="1" thickBot="1" x14ac:dyDescent="0.25">
      <c r="B71" s="170" t="s">
        <v>530</v>
      </c>
      <c r="C71" s="163"/>
      <c r="D71" s="163"/>
      <c r="E71" s="190"/>
      <c r="F71" s="191">
        <f>SUM(F69:F70)</f>
        <v>5395</v>
      </c>
      <c r="G71" s="192"/>
      <c r="H71" s="190"/>
      <c r="I71" s="191">
        <f>SUM(I69:I70)</f>
        <v>5395</v>
      </c>
      <c r="J71" s="163"/>
      <c r="K71" s="163"/>
      <c r="L71" s="163"/>
      <c r="M71" s="163"/>
      <c r="N71" s="163"/>
    </row>
    <row r="72" spans="2:14" s="185" customFormat="1" ht="11.1" customHeight="1" thickTop="1" x14ac:dyDescent="0.2">
      <c r="B72" s="257"/>
      <c r="C72" s="163"/>
      <c r="D72" s="163"/>
      <c r="E72" s="264"/>
      <c r="F72" s="78"/>
      <c r="G72" s="79"/>
      <c r="H72" s="193"/>
      <c r="I72" s="78"/>
      <c r="J72" s="163"/>
      <c r="K72" s="163"/>
      <c r="L72" s="163"/>
      <c r="M72" s="163"/>
      <c r="N72" s="163"/>
    </row>
    <row r="73" spans="2:14" s="185" customFormat="1" ht="11.1" customHeight="1" x14ac:dyDescent="0.2">
      <c r="E73" s="193"/>
      <c r="F73" s="186"/>
      <c r="G73" s="54"/>
      <c r="H73" s="193"/>
      <c r="I73" s="187"/>
      <c r="J73" s="163"/>
      <c r="K73" s="163"/>
      <c r="L73" s="163"/>
      <c r="M73" s="163"/>
      <c r="N73" s="163"/>
    </row>
    <row r="74" spans="2:14" s="185" customFormat="1" ht="16.5" customHeight="1" x14ac:dyDescent="0.25">
      <c r="B74" s="129" t="s">
        <v>247</v>
      </c>
      <c r="C74" s="163"/>
      <c r="D74" s="163" t="s">
        <v>436</v>
      </c>
      <c r="E74" s="188"/>
      <c r="F74" s="186"/>
      <c r="G74" s="54"/>
      <c r="H74" s="193"/>
      <c r="I74" s="187"/>
      <c r="J74" s="163"/>
      <c r="K74" s="163"/>
    </row>
    <row r="75" spans="2:14" s="185" customFormat="1" ht="11.1" customHeight="1" x14ac:dyDescent="0.25">
      <c r="B75" s="163"/>
      <c r="C75" s="163"/>
      <c r="D75" s="163" t="s">
        <v>427</v>
      </c>
      <c r="E75" s="263"/>
      <c r="F75" s="187">
        <v>53743.16</v>
      </c>
      <c r="G75" s="187"/>
      <c r="H75" s="187"/>
      <c r="I75" s="187"/>
      <c r="J75" s="163" t="s">
        <v>456</v>
      </c>
      <c r="K75" s="163"/>
    </row>
    <row r="76" spans="2:14" s="185" customFormat="1" ht="11.1" customHeight="1" x14ac:dyDescent="0.25">
      <c r="B76" s="163"/>
      <c r="C76" s="163"/>
      <c r="D76" s="163" t="s">
        <v>390</v>
      </c>
      <c r="E76" s="263"/>
      <c r="F76" s="187"/>
      <c r="G76" s="187"/>
      <c r="H76" s="187"/>
      <c r="I76" s="187">
        <v>53743.16</v>
      </c>
      <c r="J76" s="163"/>
      <c r="K76" s="163">
        <v>2017</v>
      </c>
    </row>
    <row r="77" spans="2:14" s="185" customFormat="1" ht="11.1" customHeight="1" thickBot="1" x14ac:dyDescent="0.25">
      <c r="B77" s="170" t="s">
        <v>428</v>
      </c>
      <c r="C77" s="163"/>
      <c r="D77" s="163"/>
      <c r="E77" s="188"/>
      <c r="F77" s="191">
        <f>SUM(F75:F76)</f>
        <v>53743.16</v>
      </c>
      <c r="G77" s="191"/>
      <c r="H77" s="191"/>
      <c r="I77" s="191">
        <f>SUM(I75:I76)</f>
        <v>53743.16</v>
      </c>
      <c r="J77" s="163"/>
      <c r="K77" s="163"/>
    </row>
    <row r="78" spans="2:14" s="185" customFormat="1" ht="11.1" customHeight="1" thickTop="1" x14ac:dyDescent="0.2">
      <c r="B78" s="170"/>
      <c r="C78" s="163"/>
      <c r="D78" s="163"/>
      <c r="E78" s="188"/>
      <c r="F78" s="78"/>
      <c r="G78" s="78"/>
      <c r="H78" s="78"/>
      <c r="I78" s="78"/>
      <c r="J78" s="163"/>
      <c r="K78" s="163"/>
    </row>
    <row r="79" spans="2:14" s="185" customFormat="1" ht="14.25" customHeight="1" x14ac:dyDescent="0.25">
      <c r="B79" s="129" t="s">
        <v>248</v>
      </c>
      <c r="C79" s="163"/>
      <c r="D79" s="163" t="s">
        <v>436</v>
      </c>
      <c r="E79" s="188"/>
      <c r="F79" s="186"/>
      <c r="G79" s="54"/>
      <c r="H79" s="193"/>
      <c r="I79" s="187"/>
      <c r="J79" s="163"/>
      <c r="K79" s="163"/>
    </row>
    <row r="80" spans="2:14" s="185" customFormat="1" ht="11.1" customHeight="1" x14ac:dyDescent="0.25">
      <c r="B80" s="163"/>
      <c r="C80" s="163"/>
      <c r="D80" s="163" t="s">
        <v>395</v>
      </c>
      <c r="E80" s="263"/>
      <c r="F80" s="187">
        <f>141130.45</f>
        <v>141130.45000000001</v>
      </c>
      <c r="G80" s="187"/>
      <c r="H80" s="187"/>
      <c r="I80" s="187"/>
      <c r="J80" s="163"/>
      <c r="K80" s="163" t="s">
        <v>399</v>
      </c>
    </row>
    <row r="81" spans="2:14" s="185" customFormat="1" ht="11.1" customHeight="1" x14ac:dyDescent="0.25">
      <c r="B81" s="163"/>
      <c r="C81" s="163"/>
      <c r="D81" s="163" t="s">
        <v>389</v>
      </c>
      <c r="E81" s="263"/>
      <c r="F81" s="187">
        <v>17468</v>
      </c>
      <c r="G81" s="187"/>
      <c r="H81" s="187"/>
      <c r="I81" s="187"/>
      <c r="J81" s="163"/>
      <c r="K81" s="163" t="s">
        <v>400</v>
      </c>
    </row>
    <row r="82" spans="2:14" s="185" customFormat="1" ht="11.1" customHeight="1" x14ac:dyDescent="0.2">
      <c r="B82" s="163"/>
      <c r="C82" s="163"/>
      <c r="D82" s="163" t="s">
        <v>391</v>
      </c>
      <c r="E82" s="188"/>
      <c r="F82" s="187"/>
      <c r="G82" s="187"/>
      <c r="H82" s="187"/>
      <c r="I82" s="187">
        <f>F83</f>
        <v>158598.45000000001</v>
      </c>
      <c r="J82" s="168"/>
      <c r="K82" s="163" t="s">
        <v>401</v>
      </c>
    </row>
    <row r="83" spans="2:14" s="185" customFormat="1" ht="11.1" customHeight="1" thickBot="1" x14ac:dyDescent="0.25">
      <c r="B83" s="170" t="s">
        <v>401</v>
      </c>
      <c r="C83" s="163"/>
      <c r="D83" s="163"/>
      <c r="E83" s="188"/>
      <c r="F83" s="191">
        <f>SUM(F80:F82)</f>
        <v>158598.45000000001</v>
      </c>
      <c r="G83" s="191"/>
      <c r="H83" s="191"/>
      <c r="I83" s="191">
        <f>SUM(I80:I82)</f>
        <v>158598.45000000001</v>
      </c>
      <c r="J83" s="78">
        <f>F83-I83</f>
        <v>0</v>
      </c>
      <c r="K83" s="163"/>
    </row>
    <row r="84" spans="2:14" s="185" customFormat="1" ht="11.1" customHeight="1" thickTop="1" x14ac:dyDescent="0.2">
      <c r="E84" s="188"/>
      <c r="F84" s="186"/>
      <c r="G84" s="54"/>
      <c r="H84" s="193"/>
      <c r="I84" s="187"/>
      <c r="J84" s="168"/>
    </row>
    <row r="85" spans="2:14" s="185" customFormat="1" ht="18" customHeight="1" x14ac:dyDescent="0.25">
      <c r="B85" s="129" t="s">
        <v>249</v>
      </c>
      <c r="C85" s="163"/>
      <c r="D85" s="163" t="s">
        <v>436</v>
      </c>
      <c r="E85" s="188"/>
      <c r="F85" s="186"/>
      <c r="G85" s="54"/>
      <c r="H85" s="193"/>
      <c r="I85" s="187"/>
      <c r="J85" s="168"/>
    </row>
    <row r="86" spans="2:14" s="185" customFormat="1" ht="11.1" customHeight="1" x14ac:dyDescent="0.2">
      <c r="B86" s="163"/>
      <c r="C86" s="163"/>
      <c r="D86" s="163" t="s">
        <v>512</v>
      </c>
      <c r="E86" s="188"/>
      <c r="F86" s="187">
        <v>8000</v>
      </c>
      <c r="G86" s="54"/>
      <c r="H86" s="193"/>
      <c r="I86" s="187"/>
      <c r="J86" s="163"/>
    </row>
    <row r="87" spans="2:14" s="185" customFormat="1" ht="11.1" customHeight="1" x14ac:dyDescent="0.2">
      <c r="B87" s="163"/>
      <c r="C87" s="163"/>
      <c r="D87" s="163" t="s">
        <v>513</v>
      </c>
      <c r="E87" s="188"/>
      <c r="F87" s="187">
        <v>12000</v>
      </c>
      <c r="G87" s="54"/>
      <c r="H87" s="193"/>
      <c r="I87" s="187"/>
      <c r="J87" s="163"/>
    </row>
    <row r="88" spans="2:14" s="185" customFormat="1" ht="11.1" customHeight="1" x14ac:dyDescent="0.2">
      <c r="B88" s="163"/>
      <c r="C88" s="163"/>
      <c r="D88" s="163" t="s">
        <v>87</v>
      </c>
      <c r="E88" s="188"/>
      <c r="F88" s="186"/>
      <c r="G88" s="54"/>
      <c r="H88" s="193"/>
      <c r="I88" s="187">
        <v>20000</v>
      </c>
      <c r="J88" s="163"/>
      <c r="L88" s="55"/>
      <c r="M88" s="187"/>
      <c r="N88" s="55"/>
    </row>
    <row r="89" spans="2:14" s="185" customFormat="1" ht="11.1" customHeight="1" thickBot="1" x14ac:dyDescent="0.25">
      <c r="B89" s="170" t="s">
        <v>514</v>
      </c>
      <c r="C89" s="163"/>
      <c r="D89" s="163"/>
      <c r="E89" s="188"/>
      <c r="F89" s="191">
        <f>SUM(F86:F88)</f>
        <v>20000</v>
      </c>
      <c r="G89" s="191"/>
      <c r="H89" s="191"/>
      <c r="I89" s="191">
        <f>SUM(I86:I88)</f>
        <v>20000</v>
      </c>
      <c r="J89" s="134">
        <f>F89-I89</f>
        <v>0</v>
      </c>
      <c r="L89" s="55"/>
      <c r="M89" s="187"/>
      <c r="N89" s="55"/>
    </row>
    <row r="90" spans="2:14" s="185" customFormat="1" ht="11.1" customHeight="1" thickTop="1" x14ac:dyDescent="0.2">
      <c r="B90" s="163"/>
      <c r="C90" s="163"/>
      <c r="D90" s="163"/>
      <c r="E90" s="188"/>
      <c r="F90" s="186"/>
      <c r="G90" s="54"/>
      <c r="H90" s="193"/>
      <c r="I90" s="187"/>
      <c r="J90" s="163"/>
      <c r="L90" s="55"/>
      <c r="M90" s="187"/>
      <c r="N90" s="55"/>
    </row>
    <row r="91" spans="2:14" s="185" customFormat="1" ht="11.1" customHeight="1" x14ac:dyDescent="0.2">
      <c r="E91" s="188"/>
      <c r="F91" s="186"/>
      <c r="G91" s="54"/>
      <c r="H91" s="193"/>
      <c r="I91" s="187"/>
      <c r="J91" s="163"/>
      <c r="L91" s="237"/>
      <c r="M91" s="187"/>
      <c r="N91" s="55"/>
    </row>
    <row r="92" spans="2:14" s="185" customFormat="1" ht="15.75" customHeight="1" x14ac:dyDescent="0.25">
      <c r="B92" s="288" t="s">
        <v>250</v>
      </c>
      <c r="C92" s="289"/>
      <c r="D92" s="289" t="s">
        <v>436</v>
      </c>
      <c r="E92" s="290"/>
      <c r="F92" s="291"/>
      <c r="G92" s="307"/>
      <c r="H92" s="296"/>
      <c r="I92" s="308"/>
      <c r="J92" s="289"/>
      <c r="L92" s="237"/>
      <c r="M92" s="187"/>
      <c r="N92" s="55"/>
    </row>
    <row r="93" spans="2:14" s="185" customFormat="1" ht="11.1" customHeight="1" x14ac:dyDescent="0.2">
      <c r="B93" s="289"/>
      <c r="C93" s="289"/>
      <c r="D93" s="289" t="s">
        <v>416</v>
      </c>
      <c r="E93" s="290"/>
      <c r="F93" s="291">
        <v>33613.730000000003</v>
      </c>
      <c r="G93" s="307"/>
      <c r="H93" s="296"/>
      <c r="I93" s="308"/>
      <c r="J93" s="294" t="s">
        <v>444</v>
      </c>
      <c r="L93" s="237"/>
      <c r="M93" s="187"/>
      <c r="N93" s="55"/>
    </row>
    <row r="94" spans="2:14" s="185" customFormat="1" ht="11.1" customHeight="1" x14ac:dyDescent="0.2">
      <c r="B94" s="289"/>
      <c r="C94" s="289"/>
      <c r="D94" s="289" t="s">
        <v>410</v>
      </c>
      <c r="E94" s="290"/>
      <c r="F94" s="308">
        <f>13000</f>
        <v>13000</v>
      </c>
      <c r="G94" s="307"/>
      <c r="H94" s="296"/>
      <c r="I94" s="308"/>
      <c r="J94" s="289"/>
      <c r="L94" s="237"/>
      <c r="M94" s="187"/>
      <c r="N94" s="55"/>
    </row>
    <row r="95" spans="2:14" s="185" customFormat="1" ht="11.1" customHeight="1" x14ac:dyDescent="0.2">
      <c r="B95" s="289"/>
      <c r="C95" s="289"/>
      <c r="D95" s="289" t="s">
        <v>411</v>
      </c>
      <c r="E95" s="290"/>
      <c r="F95" s="308">
        <f>31700</f>
        <v>31700</v>
      </c>
      <c r="G95" s="307"/>
      <c r="H95" s="296"/>
      <c r="I95" s="308"/>
      <c r="J95" s="289"/>
      <c r="L95" s="237"/>
      <c r="M95" s="187"/>
      <c r="N95" s="55"/>
    </row>
    <row r="96" spans="2:14" s="185" customFormat="1" ht="11.1" customHeight="1" x14ac:dyDescent="0.2">
      <c r="B96" s="289"/>
      <c r="C96" s="289"/>
      <c r="D96" s="289" t="s">
        <v>412</v>
      </c>
      <c r="E96" s="290"/>
      <c r="F96" s="308">
        <f>25665</f>
        <v>25665</v>
      </c>
      <c r="G96" s="307"/>
      <c r="H96" s="296"/>
      <c r="I96" s="308"/>
      <c r="J96" s="289"/>
      <c r="L96" s="237"/>
      <c r="M96" s="187"/>
      <c r="N96" s="55"/>
    </row>
    <row r="97" spans="2:14" s="185" customFormat="1" ht="11.1" customHeight="1" x14ac:dyDescent="0.2">
      <c r="B97" s="289"/>
      <c r="C97" s="289"/>
      <c r="D97" s="289" t="s">
        <v>413</v>
      </c>
      <c r="E97" s="290"/>
      <c r="F97" s="308">
        <v>8000</v>
      </c>
      <c r="G97" s="307"/>
      <c r="H97" s="296"/>
      <c r="I97" s="308"/>
      <c r="J97" s="289"/>
      <c r="L97" s="237"/>
      <c r="M97" s="187"/>
      <c r="N97" s="55"/>
    </row>
    <row r="98" spans="2:14" s="185" customFormat="1" ht="11.1" customHeight="1" x14ac:dyDescent="0.2">
      <c r="B98" s="289"/>
      <c r="C98" s="289"/>
      <c r="D98" s="289" t="s">
        <v>414</v>
      </c>
      <c r="E98" s="290"/>
      <c r="F98" s="308">
        <v>115000</v>
      </c>
      <c r="G98" s="307"/>
      <c r="H98" s="296"/>
      <c r="I98" s="308"/>
      <c r="J98" s="289"/>
      <c r="L98" s="237"/>
      <c r="M98" s="187"/>
      <c r="N98" s="55"/>
    </row>
    <row r="99" spans="2:14" s="185" customFormat="1" ht="11.1" customHeight="1" x14ac:dyDescent="0.2">
      <c r="B99" s="289"/>
      <c r="C99" s="289"/>
      <c r="D99" s="289" t="s">
        <v>415</v>
      </c>
      <c r="E99" s="290"/>
      <c r="F99" s="308">
        <v>25000</v>
      </c>
      <c r="G99" s="307"/>
      <c r="H99" s="296"/>
      <c r="I99" s="308"/>
      <c r="J99" s="289"/>
      <c r="L99" s="237"/>
      <c r="M99" s="187"/>
      <c r="N99" s="55"/>
    </row>
    <row r="100" spans="2:14" s="185" customFormat="1" ht="11.1" customHeight="1" x14ac:dyDescent="0.2">
      <c r="B100" s="289"/>
      <c r="C100" s="289"/>
      <c r="D100" s="289" t="s">
        <v>359</v>
      </c>
      <c r="E100" s="290"/>
      <c r="F100" s="291"/>
      <c r="G100" s="307"/>
      <c r="H100" s="296"/>
      <c r="I100" s="308">
        <v>251978.73</v>
      </c>
      <c r="J100" s="289"/>
      <c r="L100" s="237"/>
      <c r="M100" s="187"/>
      <c r="N100" s="55"/>
    </row>
    <row r="101" spans="2:14" s="185" customFormat="1" ht="11.1" customHeight="1" thickBot="1" x14ac:dyDescent="0.25">
      <c r="B101" s="294" t="s">
        <v>417</v>
      </c>
      <c r="C101" s="289"/>
      <c r="D101" s="289"/>
      <c r="E101" s="290"/>
      <c r="F101" s="299">
        <f>SUM(F93:F100)</f>
        <v>251978.73</v>
      </c>
      <c r="G101" s="299"/>
      <c r="H101" s="299"/>
      <c r="I101" s="299">
        <f>SUM(I93:I100)</f>
        <v>251978.73</v>
      </c>
      <c r="J101" s="289"/>
      <c r="L101" s="237"/>
      <c r="M101" s="187"/>
      <c r="N101" s="55"/>
    </row>
    <row r="102" spans="2:14" s="185" customFormat="1" ht="11.1" customHeight="1" thickTop="1" x14ac:dyDescent="0.2">
      <c r="B102" s="289"/>
      <c r="C102" s="289"/>
      <c r="D102" s="289"/>
      <c r="E102" s="290"/>
      <c r="F102" s="301"/>
      <c r="G102" s="301"/>
      <c r="H102" s="301"/>
      <c r="I102" s="301"/>
      <c r="J102" s="289"/>
      <c r="L102" s="237"/>
      <c r="M102" s="187"/>
      <c r="N102" s="55"/>
    </row>
    <row r="103" spans="2:14" s="185" customFormat="1" ht="11.1" customHeight="1" x14ac:dyDescent="0.2">
      <c r="E103" s="188"/>
      <c r="F103" s="78"/>
      <c r="G103" s="78"/>
      <c r="H103" s="78"/>
      <c r="I103" s="78"/>
      <c r="L103" s="237"/>
      <c r="M103" s="187"/>
      <c r="N103" s="55"/>
    </row>
    <row r="104" spans="2:14" s="185" customFormat="1" ht="14.25" customHeight="1" x14ac:dyDescent="0.25">
      <c r="B104" s="129" t="s">
        <v>251</v>
      </c>
      <c r="C104" s="163"/>
      <c r="D104" s="163" t="s">
        <v>436</v>
      </c>
      <c r="E104" s="188"/>
      <c r="F104" s="78"/>
      <c r="G104" s="78"/>
      <c r="H104" s="78"/>
      <c r="I104" s="78"/>
      <c r="L104" s="237"/>
      <c r="M104" s="187"/>
      <c r="N104" s="55"/>
    </row>
    <row r="105" spans="2:14" s="185" customFormat="1" ht="11.1" customHeight="1" x14ac:dyDescent="0.2">
      <c r="B105" s="163"/>
      <c r="C105" s="163"/>
      <c r="D105" s="163" t="s">
        <v>394</v>
      </c>
      <c r="E105" s="188"/>
      <c r="F105" s="276">
        <f>17630.61</f>
        <v>17630.61</v>
      </c>
      <c r="G105" s="187"/>
      <c r="H105" s="187"/>
      <c r="I105" s="187"/>
      <c r="J105" s="68" t="s">
        <v>442</v>
      </c>
      <c r="K105" s="185" t="s">
        <v>523</v>
      </c>
      <c r="L105" s="237"/>
      <c r="M105" s="187"/>
      <c r="N105" s="55"/>
    </row>
    <row r="106" spans="2:14" s="185" customFormat="1" ht="11.1" customHeight="1" x14ac:dyDescent="0.2">
      <c r="B106" s="163"/>
      <c r="C106" s="163"/>
      <c r="D106" s="163" t="s">
        <v>404</v>
      </c>
      <c r="E106" s="188"/>
      <c r="F106" s="187"/>
      <c r="G106" s="187"/>
      <c r="H106" s="187"/>
      <c r="I106" s="187">
        <v>17630.61</v>
      </c>
      <c r="L106" s="237"/>
      <c r="M106" s="187"/>
      <c r="N106" s="55"/>
    </row>
    <row r="107" spans="2:14" s="185" customFormat="1" ht="11.1" customHeight="1" thickBot="1" x14ac:dyDescent="0.25">
      <c r="B107" s="170" t="s">
        <v>406</v>
      </c>
      <c r="C107" s="163"/>
      <c r="D107" s="163"/>
      <c r="E107" s="188"/>
      <c r="F107" s="191">
        <f>SUM(F105:F106)</f>
        <v>17630.61</v>
      </c>
      <c r="G107" s="191"/>
      <c r="H107" s="191"/>
      <c r="I107" s="191">
        <f>SUM(I105:I106)</f>
        <v>17630.61</v>
      </c>
      <c r="L107" s="237"/>
      <c r="M107" s="187"/>
      <c r="N107" s="55"/>
    </row>
    <row r="108" spans="2:14" s="185" customFormat="1" ht="11.1" customHeight="1" thickTop="1" x14ac:dyDescent="0.2">
      <c r="B108" s="163"/>
      <c r="C108" s="163"/>
      <c r="D108" s="163"/>
      <c r="E108" s="188"/>
      <c r="F108" s="78"/>
      <c r="G108" s="78"/>
      <c r="H108" s="78"/>
      <c r="I108" s="78"/>
      <c r="L108" s="237"/>
      <c r="M108" s="187"/>
      <c r="N108" s="55"/>
    </row>
    <row r="109" spans="2:14" s="185" customFormat="1" ht="15" customHeight="1" x14ac:dyDescent="0.25">
      <c r="B109" s="129" t="s">
        <v>252</v>
      </c>
      <c r="C109" s="163"/>
      <c r="D109" s="163" t="s">
        <v>436</v>
      </c>
      <c r="E109" s="188"/>
      <c r="F109" s="78"/>
      <c r="G109" s="78"/>
      <c r="H109" s="78"/>
      <c r="I109" s="78"/>
      <c r="L109" s="237"/>
      <c r="M109" s="187"/>
      <c r="N109" s="55"/>
    </row>
    <row r="110" spans="2:14" s="185" customFormat="1" ht="11.1" customHeight="1" x14ac:dyDescent="0.2">
      <c r="B110" s="163"/>
      <c r="C110" s="163"/>
      <c r="D110" s="163" t="s">
        <v>394</v>
      </c>
      <c r="E110" s="188"/>
      <c r="F110" s="276">
        <f>11753.74</f>
        <v>11753.74</v>
      </c>
      <c r="G110" s="187"/>
      <c r="H110" s="187"/>
      <c r="I110" s="187"/>
      <c r="J110" s="68" t="s">
        <v>442</v>
      </c>
      <c r="K110" s="185" t="s">
        <v>523</v>
      </c>
      <c r="L110" s="237"/>
      <c r="M110" s="187"/>
      <c r="N110" s="55"/>
    </row>
    <row r="111" spans="2:14" s="185" customFormat="1" ht="11.1" customHeight="1" x14ac:dyDescent="0.2">
      <c r="B111" s="163"/>
      <c r="C111" s="163"/>
      <c r="D111" s="163" t="s">
        <v>405</v>
      </c>
      <c r="E111" s="188"/>
      <c r="F111" s="187"/>
      <c r="G111" s="187"/>
      <c r="H111" s="187"/>
      <c r="I111" s="187">
        <f>11753.74</f>
        <v>11753.74</v>
      </c>
      <c r="L111" s="237"/>
      <c r="M111" s="187"/>
      <c r="N111" s="55"/>
    </row>
    <row r="112" spans="2:14" s="185" customFormat="1" ht="11.1" customHeight="1" thickBot="1" x14ac:dyDescent="0.25">
      <c r="B112" s="170" t="s">
        <v>406</v>
      </c>
      <c r="C112" s="163"/>
      <c r="D112" s="163"/>
      <c r="E112" s="188"/>
      <c r="F112" s="191">
        <f>SUM(F110:F111)</f>
        <v>11753.74</v>
      </c>
      <c r="G112" s="191"/>
      <c r="H112" s="191"/>
      <c r="I112" s="191">
        <f>SUM(I110:I111)</f>
        <v>11753.74</v>
      </c>
      <c r="L112" s="237"/>
      <c r="M112" s="187"/>
      <c r="N112" s="55"/>
    </row>
    <row r="113" spans="2:14" s="185" customFormat="1" ht="11.1" customHeight="1" thickTop="1" x14ac:dyDescent="0.2">
      <c r="B113" s="163"/>
      <c r="C113" s="163"/>
      <c r="D113" s="163"/>
      <c r="E113" s="188"/>
      <c r="F113" s="78"/>
      <c r="G113" s="78"/>
      <c r="H113" s="78"/>
      <c r="I113" s="78"/>
      <c r="L113" s="237"/>
      <c r="M113" s="187"/>
      <c r="N113" s="55"/>
    </row>
    <row r="114" spans="2:14" s="185" customFormat="1" ht="11.1" customHeight="1" x14ac:dyDescent="0.2">
      <c r="E114" s="188"/>
      <c r="F114" s="78"/>
      <c r="G114" s="78"/>
      <c r="H114" s="78"/>
      <c r="I114" s="78"/>
      <c r="L114" s="237"/>
      <c r="M114" s="187"/>
      <c r="N114" s="55"/>
    </row>
    <row r="115" spans="2:14" s="185" customFormat="1" ht="12.75" customHeight="1" x14ac:dyDescent="0.25">
      <c r="B115" s="129" t="s">
        <v>253</v>
      </c>
      <c r="C115" s="163"/>
      <c r="D115" s="163" t="s">
        <v>436</v>
      </c>
      <c r="E115" s="188"/>
      <c r="F115" s="78"/>
      <c r="G115" s="78"/>
      <c r="H115" s="78"/>
      <c r="I115" s="78"/>
    </row>
    <row r="116" spans="2:14" s="185" customFormat="1" ht="11.1" customHeight="1" x14ac:dyDescent="0.25">
      <c r="B116" s="163"/>
      <c r="C116" s="163"/>
      <c r="D116" s="163" t="s">
        <v>178</v>
      </c>
      <c r="E116" s="261"/>
      <c r="F116" s="276"/>
      <c r="G116" s="187"/>
      <c r="H116" s="187"/>
      <c r="I116" s="187"/>
    </row>
    <row r="117" spans="2:14" s="185" customFormat="1" ht="11.1" customHeight="1" x14ac:dyDescent="0.25">
      <c r="B117" s="163"/>
      <c r="C117" s="163"/>
      <c r="D117" s="163" t="s">
        <v>402</v>
      </c>
      <c r="E117" s="261"/>
      <c r="F117" s="187"/>
      <c r="G117" s="187"/>
      <c r="H117" s="187"/>
      <c r="I117" s="187">
        <f>F116</f>
        <v>0</v>
      </c>
    </row>
    <row r="118" spans="2:14" s="185" customFormat="1" ht="11.1" customHeight="1" thickBot="1" x14ac:dyDescent="0.25">
      <c r="B118" s="170" t="s">
        <v>403</v>
      </c>
      <c r="C118" s="163"/>
      <c r="D118" s="163"/>
      <c r="E118" s="188"/>
      <c r="F118" s="262">
        <f>SUM(F115:F116)</f>
        <v>0</v>
      </c>
      <c r="G118" s="262"/>
      <c r="H118" s="262"/>
      <c r="I118" s="262">
        <f>SUM(I115:I117)</f>
        <v>0</v>
      </c>
    </row>
    <row r="119" spans="2:14" s="185" customFormat="1" ht="11.1" customHeight="1" thickTop="1" x14ac:dyDescent="0.2">
      <c r="E119" s="188"/>
      <c r="F119" s="186"/>
      <c r="G119" s="54"/>
      <c r="H119" s="193"/>
      <c r="I119" s="187"/>
    </row>
    <row r="120" spans="2:14" s="185" customFormat="1" ht="15" customHeight="1" x14ac:dyDescent="0.25">
      <c r="B120" s="288" t="s">
        <v>254</v>
      </c>
      <c r="C120" s="289"/>
      <c r="D120" s="289" t="s">
        <v>436</v>
      </c>
      <c r="E120" s="290"/>
      <c r="F120" s="291"/>
      <c r="G120" s="307"/>
      <c r="H120" s="296"/>
      <c r="I120" s="308"/>
      <c r="J120" s="289"/>
      <c r="K120" s="289"/>
      <c r="L120" s="289"/>
    </row>
    <row r="121" spans="2:14" s="185" customFormat="1" ht="11.1" customHeight="1" x14ac:dyDescent="0.2">
      <c r="B121" s="303"/>
      <c r="C121" s="289"/>
      <c r="D121" s="289" t="s">
        <v>408</v>
      </c>
      <c r="E121" s="290"/>
      <c r="F121" s="291">
        <v>123678.95999999999</v>
      </c>
      <c r="G121" s="305"/>
      <c r="H121" s="290"/>
      <c r="I121" s="291"/>
      <c r="J121" s="289" t="s">
        <v>457</v>
      </c>
      <c r="K121" s="289" t="s">
        <v>107</v>
      </c>
      <c r="L121" s="289"/>
    </row>
    <row r="122" spans="2:14" s="185" customFormat="1" ht="11.1" customHeight="1" x14ac:dyDescent="0.2">
      <c r="B122" s="303"/>
      <c r="C122" s="289"/>
      <c r="D122" s="289" t="s">
        <v>195</v>
      </c>
      <c r="E122" s="290"/>
      <c r="F122" s="291">
        <v>29743</v>
      </c>
      <c r="G122" s="305"/>
      <c r="H122" s="290"/>
      <c r="I122" s="291"/>
      <c r="J122" s="289"/>
      <c r="K122" s="289" t="s">
        <v>193</v>
      </c>
      <c r="L122" s="289"/>
    </row>
    <row r="123" spans="2:14" s="185" customFormat="1" ht="11.1" customHeight="1" x14ac:dyDescent="0.2">
      <c r="B123" s="303"/>
      <c r="C123" s="289"/>
      <c r="D123" s="289" t="s">
        <v>409</v>
      </c>
      <c r="E123" s="290"/>
      <c r="F123" s="291"/>
      <c r="G123" s="305"/>
      <c r="H123" s="290"/>
      <c r="I123" s="291">
        <v>29743</v>
      </c>
      <c r="J123" s="289"/>
      <c r="K123" s="289" t="s">
        <v>193</v>
      </c>
      <c r="L123" s="289"/>
      <c r="M123" s="185" t="s">
        <v>523</v>
      </c>
    </row>
    <row r="124" spans="2:14" s="185" customFormat="1" ht="10.5" customHeight="1" x14ac:dyDescent="0.2">
      <c r="B124" s="303"/>
      <c r="C124" s="289"/>
      <c r="D124" s="289" t="s">
        <v>195</v>
      </c>
      <c r="E124" s="290"/>
      <c r="F124" s="291"/>
      <c r="G124" s="293"/>
      <c r="H124" s="290"/>
      <c r="I124" s="291">
        <v>118970</v>
      </c>
      <c r="J124" s="289"/>
      <c r="K124" s="289" t="s">
        <v>107</v>
      </c>
      <c r="L124" s="289"/>
    </row>
    <row r="125" spans="2:14" s="185" customFormat="1" ht="11.1" customHeight="1" x14ac:dyDescent="0.2">
      <c r="B125" s="306"/>
      <c r="C125" s="289"/>
      <c r="D125" s="289" t="s">
        <v>407</v>
      </c>
      <c r="E125" s="296"/>
      <c r="F125" s="301"/>
      <c r="G125" s="302"/>
      <c r="H125" s="296"/>
      <c r="I125" s="308">
        <v>4708.96</v>
      </c>
      <c r="J125" s="309"/>
      <c r="K125" s="289"/>
      <c r="L125" s="289"/>
    </row>
    <row r="126" spans="2:14" s="185" customFormat="1" ht="11.1" customHeight="1" thickBot="1" x14ac:dyDescent="0.25">
      <c r="B126" s="289" t="s">
        <v>320</v>
      </c>
      <c r="C126" s="289"/>
      <c r="D126" s="289"/>
      <c r="E126" s="290"/>
      <c r="F126" s="310">
        <f>SUM(F121:F125)</f>
        <v>153421.96</v>
      </c>
      <c r="G126" s="311"/>
      <c r="H126" s="298"/>
      <c r="I126" s="310">
        <f>SUM(I121:I125)</f>
        <v>153421.96</v>
      </c>
      <c r="J126" s="289"/>
      <c r="K126" s="289"/>
      <c r="L126" s="289"/>
    </row>
    <row r="127" spans="2:14" s="185" customFormat="1" ht="11.1" customHeight="1" thickTop="1" x14ac:dyDescent="0.2">
      <c r="E127" s="188"/>
      <c r="F127" s="186"/>
      <c r="G127" s="54"/>
      <c r="H127" s="193"/>
      <c r="I127" s="187"/>
    </row>
    <row r="128" spans="2:14" s="185" customFormat="1" ht="11.1" customHeight="1" x14ac:dyDescent="0.2">
      <c r="B128" s="185">
        <v>1420000</v>
      </c>
      <c r="D128" s="185" t="s">
        <v>494</v>
      </c>
      <c r="E128" s="188"/>
      <c r="F128" s="217">
        <v>23227.599999999999</v>
      </c>
      <c r="G128" s="53"/>
      <c r="H128" s="188"/>
      <c r="I128" s="186"/>
      <c r="J128" s="185">
        <v>23568.04</v>
      </c>
    </row>
    <row r="129" spans="2:15" s="185" customFormat="1" ht="11.1" customHeight="1" x14ac:dyDescent="0.2">
      <c r="B129" s="51"/>
      <c r="D129" s="185" t="s">
        <v>184</v>
      </c>
      <c r="E129" s="188"/>
      <c r="F129" s="186">
        <v>0</v>
      </c>
      <c r="G129" s="53"/>
      <c r="H129" s="188"/>
      <c r="I129" s="186"/>
    </row>
    <row r="130" spans="2:15" s="185" customFormat="1" ht="11.1" customHeight="1" x14ac:dyDescent="0.2">
      <c r="B130" s="51"/>
      <c r="D130" s="185" t="s">
        <v>194</v>
      </c>
      <c r="E130" s="188"/>
      <c r="F130" s="186">
        <v>5806.9</v>
      </c>
      <c r="G130" s="53"/>
      <c r="H130" s="188"/>
      <c r="I130" s="186">
        <v>0</v>
      </c>
    </row>
    <row r="131" spans="2:15" s="185" customFormat="1" ht="11.1" customHeight="1" x14ac:dyDescent="0.2">
      <c r="B131" s="51" t="s">
        <v>525</v>
      </c>
      <c r="D131" s="185" t="s">
        <v>408</v>
      </c>
      <c r="E131" s="188"/>
      <c r="F131" s="186"/>
      <c r="G131" s="189"/>
      <c r="H131" s="188"/>
      <c r="I131" s="186">
        <f>F128</f>
        <v>23227.599999999999</v>
      </c>
    </row>
    <row r="132" spans="2:15" s="185" customFormat="1" ht="11.1" customHeight="1" x14ac:dyDescent="0.2">
      <c r="B132" s="51"/>
      <c r="D132" s="185" t="s">
        <v>498</v>
      </c>
      <c r="E132" s="188"/>
      <c r="F132" s="186"/>
      <c r="G132" s="189"/>
      <c r="H132" s="188"/>
      <c r="I132" s="186">
        <f>F128-I131</f>
        <v>0</v>
      </c>
    </row>
    <row r="133" spans="2:15" s="185" customFormat="1" ht="11.1" customHeight="1" x14ac:dyDescent="0.2">
      <c r="B133" s="240" t="s">
        <v>524</v>
      </c>
      <c r="D133" s="185" t="s">
        <v>515</v>
      </c>
      <c r="E133" s="193"/>
      <c r="F133" s="78"/>
      <c r="G133" s="79"/>
      <c r="H133" s="193"/>
      <c r="I133" s="187">
        <f>F130</f>
        <v>5806.9</v>
      </c>
    </row>
    <row r="134" spans="2:15" s="185" customFormat="1" ht="11.1" customHeight="1" thickBot="1" x14ac:dyDescent="0.25">
      <c r="B134" s="185" t="s">
        <v>493</v>
      </c>
      <c r="E134" s="188"/>
      <c r="F134" s="102">
        <f>SUM(F128:F133)</f>
        <v>29034.5</v>
      </c>
      <c r="G134" s="64"/>
      <c r="H134" s="190"/>
      <c r="I134" s="102">
        <f>SUM(I128:I133)</f>
        <v>29034.5</v>
      </c>
      <c r="J134" s="235">
        <f>F134-I134</f>
        <v>0</v>
      </c>
    </row>
    <row r="135" spans="2:15" s="185" customFormat="1" ht="11.1" customHeight="1" thickTop="1" x14ac:dyDescent="0.2">
      <c r="E135" s="188"/>
      <c r="F135" s="186"/>
      <c r="G135" s="54"/>
      <c r="H135" s="193"/>
      <c r="I135" s="187"/>
    </row>
    <row r="136" spans="2:15" s="185" customFormat="1" ht="11.1" customHeight="1" x14ac:dyDescent="0.2">
      <c r="E136" s="188"/>
      <c r="F136" s="186"/>
      <c r="G136" s="54"/>
      <c r="H136" s="193"/>
      <c r="I136" s="187"/>
    </row>
    <row r="137" spans="2:15" s="185" customFormat="1" ht="15" customHeight="1" x14ac:dyDescent="0.25">
      <c r="B137" s="129" t="s">
        <v>255</v>
      </c>
      <c r="D137" s="163" t="s">
        <v>436</v>
      </c>
      <c r="E137" s="188"/>
      <c r="F137" s="186"/>
      <c r="G137" s="54"/>
      <c r="H137" s="193"/>
      <c r="I137" s="187"/>
    </row>
    <row r="138" spans="2:15" s="185" customFormat="1" ht="11.1" customHeight="1" x14ac:dyDescent="0.2">
      <c r="B138" s="51"/>
      <c r="C138" s="51"/>
      <c r="D138" s="63" t="s">
        <v>461</v>
      </c>
      <c r="E138" s="188"/>
      <c r="F138" s="217">
        <v>853147.78</v>
      </c>
      <c r="G138" s="53"/>
      <c r="H138" s="188"/>
      <c r="I138" s="186"/>
      <c r="J138" s="68" t="s">
        <v>454</v>
      </c>
      <c r="K138" s="185" t="s">
        <v>197</v>
      </c>
      <c r="N138" s="185" t="s">
        <v>526</v>
      </c>
    </row>
    <row r="139" spans="2:15" s="185" customFormat="1" ht="11.1" customHeight="1" x14ac:dyDescent="0.2">
      <c r="B139" s="51"/>
      <c r="D139" s="185" t="s">
        <v>195</v>
      </c>
      <c r="E139" s="188"/>
      <c r="F139" s="217">
        <f>+I143</f>
        <v>211668.40999999997</v>
      </c>
      <c r="H139" s="188"/>
      <c r="I139" s="186"/>
      <c r="J139" s="186"/>
      <c r="K139" s="185" t="s">
        <v>193</v>
      </c>
      <c r="M139" s="185">
        <f>7292.77+20552.79+39675.28+40393.12+44219.44+45456.39-17396.39+33994.82</f>
        <v>214188.21999999997</v>
      </c>
    </row>
    <row r="140" spans="2:15" s="185" customFormat="1" ht="11.1" customHeight="1" x14ac:dyDescent="0.2">
      <c r="B140" s="51"/>
      <c r="D140" s="185" t="s">
        <v>184</v>
      </c>
      <c r="E140" s="188"/>
      <c r="F140" s="186"/>
      <c r="G140" s="53"/>
      <c r="H140" s="188"/>
      <c r="I140" s="186"/>
      <c r="K140" s="185" t="s">
        <v>193</v>
      </c>
      <c r="M140" s="185">
        <f>45456.92-17396.39</f>
        <v>28060.53</v>
      </c>
    </row>
    <row r="141" spans="2:15" s="185" customFormat="1" ht="11.1" customHeight="1" x14ac:dyDescent="0.2">
      <c r="B141" s="51"/>
      <c r="D141" s="185" t="s">
        <v>195</v>
      </c>
      <c r="E141" s="188"/>
      <c r="F141" s="186"/>
      <c r="G141" s="189"/>
      <c r="H141" s="188"/>
      <c r="I141" s="217">
        <f>O142</f>
        <v>846532.08</v>
      </c>
      <c r="K141" s="185" t="s">
        <v>197</v>
      </c>
      <c r="M141" s="185">
        <f>23525.08+66299.32+127984.79+144261.13+176877.75+181827.69+135979.26</f>
        <v>856755.02</v>
      </c>
      <c r="O141" s="47">
        <f>'CONSOLIDADO MARZO 2018'!Q82</f>
        <v>12528.449999999999</v>
      </c>
    </row>
    <row r="142" spans="2:15" s="185" customFormat="1" ht="11.1" customHeight="1" x14ac:dyDescent="0.2">
      <c r="B142" s="51"/>
      <c r="D142" s="185" t="s">
        <v>184</v>
      </c>
      <c r="E142" s="188"/>
      <c r="F142" s="186"/>
      <c r="G142" s="53"/>
      <c r="H142" s="188"/>
      <c r="I142" s="186">
        <f>O141</f>
        <v>12528.449999999999</v>
      </c>
      <c r="K142" s="185" t="s">
        <v>197</v>
      </c>
      <c r="O142" s="47">
        <f>'CONSOLIDADO MARZO 2018'!K82</f>
        <v>846532.08</v>
      </c>
    </row>
    <row r="143" spans="2:15" s="185" customFormat="1" ht="10.5" customHeight="1" x14ac:dyDescent="0.2">
      <c r="B143" s="51"/>
      <c r="D143" s="185" t="s">
        <v>462</v>
      </c>
      <c r="E143" s="188"/>
      <c r="F143" s="186"/>
      <c r="G143" s="189"/>
      <c r="H143" s="188"/>
      <c r="I143" s="186">
        <f>7292.77+20552.79+39675.28+40393.12+44219.44+45456.39-17396.39+33994.82+2879.27-2697.36+1472.02-4173.74</f>
        <v>211668.40999999997</v>
      </c>
      <c r="K143" s="185" t="s">
        <v>193</v>
      </c>
      <c r="M143" s="185">
        <v>2530.87</v>
      </c>
    </row>
    <row r="144" spans="2:15" s="185" customFormat="1" ht="11.1" customHeight="1" thickBot="1" x14ac:dyDescent="0.25">
      <c r="B144" s="240" t="s">
        <v>198</v>
      </c>
      <c r="E144" s="190"/>
      <c r="F144" s="191">
        <f>SUM(F138:F143)</f>
        <v>1064816.19</v>
      </c>
      <c r="G144" s="192"/>
      <c r="H144" s="190"/>
      <c r="I144" s="191">
        <f>SUM(I138:I143)</f>
        <v>1070728.94</v>
      </c>
      <c r="J144" s="47">
        <f>+F144-I144</f>
        <v>-5912.75</v>
      </c>
    </row>
    <row r="145" spans="2:13" s="185" customFormat="1" ht="11.1" customHeight="1" thickTop="1" x14ac:dyDescent="0.2">
      <c r="E145" s="188"/>
      <c r="F145" s="186"/>
      <c r="G145" s="54"/>
      <c r="H145" s="193"/>
      <c r="I145" s="187"/>
    </row>
    <row r="146" spans="2:13" s="185" customFormat="1" ht="16.5" customHeight="1" x14ac:dyDescent="0.25">
      <c r="B146" s="288" t="s">
        <v>256</v>
      </c>
      <c r="C146" s="289"/>
      <c r="D146" s="289" t="s">
        <v>436</v>
      </c>
      <c r="E146" s="290"/>
      <c r="F146" s="291"/>
      <c r="G146" s="307"/>
      <c r="H146" s="296"/>
      <c r="I146" s="308"/>
      <c r="J146" s="289"/>
    </row>
    <row r="147" spans="2:13" s="185" customFormat="1" ht="11.1" customHeight="1" x14ac:dyDescent="0.2">
      <c r="B147" s="289"/>
      <c r="C147" s="289"/>
      <c r="D147" s="289" t="s">
        <v>424</v>
      </c>
      <c r="E147" s="290"/>
      <c r="F147" s="308">
        <v>21953</v>
      </c>
      <c r="G147" s="307"/>
      <c r="H147" s="296"/>
      <c r="I147" s="308"/>
      <c r="J147" s="294" t="s">
        <v>452</v>
      </c>
    </row>
    <row r="148" spans="2:13" s="185" customFormat="1" ht="11.1" customHeight="1" x14ac:dyDescent="0.2">
      <c r="B148" s="289"/>
      <c r="C148" s="289"/>
      <c r="D148" s="289" t="s">
        <v>388</v>
      </c>
      <c r="E148" s="290"/>
      <c r="F148" s="291"/>
      <c r="G148" s="307"/>
      <c r="H148" s="296"/>
      <c r="I148" s="308">
        <v>21953</v>
      </c>
      <c r="J148" s="289"/>
    </row>
    <row r="149" spans="2:13" s="185" customFormat="1" ht="11.1" customHeight="1" thickBot="1" x14ac:dyDescent="0.25">
      <c r="B149" s="294" t="s">
        <v>425</v>
      </c>
      <c r="C149" s="289"/>
      <c r="D149" s="289"/>
      <c r="E149" s="298"/>
      <c r="F149" s="299">
        <f>SUM(F147:F148)</f>
        <v>21953</v>
      </c>
      <c r="G149" s="300"/>
      <c r="H149" s="298"/>
      <c r="I149" s="299">
        <f>SUM(I147:I148)</f>
        <v>21953</v>
      </c>
      <c r="J149" s="289"/>
    </row>
    <row r="150" spans="2:13" s="185" customFormat="1" ht="11.1" customHeight="1" thickTop="1" x14ac:dyDescent="0.2">
      <c r="B150" s="289"/>
      <c r="C150" s="289"/>
      <c r="D150" s="289"/>
      <c r="E150" s="290"/>
      <c r="F150" s="291"/>
      <c r="G150" s="307"/>
      <c r="H150" s="296"/>
      <c r="I150" s="308"/>
      <c r="J150" s="289"/>
    </row>
    <row r="151" spans="2:13" s="185" customFormat="1" ht="11.1" customHeight="1" x14ac:dyDescent="0.2">
      <c r="E151" s="188"/>
      <c r="F151" s="186"/>
      <c r="G151" s="54"/>
      <c r="H151" s="193"/>
      <c r="I151" s="187"/>
    </row>
    <row r="152" spans="2:13" s="185" customFormat="1" ht="15.75" customHeight="1" x14ac:dyDescent="0.25">
      <c r="B152" s="288" t="s">
        <v>257</v>
      </c>
      <c r="C152" s="289"/>
      <c r="D152" s="289" t="s">
        <v>436</v>
      </c>
      <c r="E152" s="290"/>
      <c r="F152" s="291"/>
      <c r="G152" s="307"/>
      <c r="H152" s="296"/>
      <c r="I152" s="308"/>
    </row>
    <row r="153" spans="2:13" s="185" customFormat="1" ht="12" customHeight="1" x14ac:dyDescent="0.2">
      <c r="B153" s="289"/>
      <c r="C153" s="289"/>
      <c r="D153" s="289" t="s">
        <v>429</v>
      </c>
      <c r="E153" s="290"/>
      <c r="F153" s="291">
        <v>150000</v>
      </c>
      <c r="G153" s="307"/>
      <c r="H153" s="296"/>
      <c r="I153" s="308"/>
      <c r="J153" s="68" t="s">
        <v>453</v>
      </c>
    </row>
    <row r="154" spans="2:13" s="185" customFormat="1" ht="12" customHeight="1" x14ac:dyDescent="0.2">
      <c r="B154" s="289"/>
      <c r="C154" s="289"/>
      <c r="D154" s="289" t="s">
        <v>429</v>
      </c>
      <c r="E154" s="290"/>
      <c r="F154" s="291">
        <v>18291</v>
      </c>
      <c r="G154" s="307"/>
      <c r="H154" s="296"/>
      <c r="I154" s="308"/>
      <c r="K154" s="33"/>
      <c r="M154" s="33"/>
    </row>
    <row r="155" spans="2:13" s="185" customFormat="1" ht="12" customHeight="1" x14ac:dyDescent="0.2">
      <c r="B155" s="289"/>
      <c r="C155" s="289"/>
      <c r="D155" s="289" t="s">
        <v>429</v>
      </c>
      <c r="E155" s="290"/>
      <c r="F155" s="291">
        <v>44759</v>
      </c>
      <c r="G155" s="307"/>
      <c r="H155" s="296"/>
      <c r="I155" s="308"/>
      <c r="K155" s="33"/>
      <c r="M155" s="33"/>
    </row>
    <row r="156" spans="2:13" s="185" customFormat="1" ht="12" customHeight="1" x14ac:dyDescent="0.2">
      <c r="B156" s="289"/>
      <c r="C156" s="289"/>
      <c r="D156" s="289" t="s">
        <v>430</v>
      </c>
      <c r="E156" s="290"/>
      <c r="F156" s="291">
        <v>105942.88</v>
      </c>
      <c r="G156" s="307"/>
      <c r="H156" s="296"/>
      <c r="I156" s="308"/>
      <c r="K156" s="33"/>
      <c r="M156" s="33"/>
    </row>
    <row r="157" spans="2:13" s="185" customFormat="1" ht="12" customHeight="1" x14ac:dyDescent="0.2">
      <c r="B157" s="289"/>
      <c r="C157" s="289"/>
      <c r="D157" s="289" t="s">
        <v>431</v>
      </c>
      <c r="E157" s="290"/>
      <c r="F157" s="291">
        <v>10375.57</v>
      </c>
      <c r="G157" s="307"/>
      <c r="H157" s="296"/>
      <c r="I157" s="308"/>
      <c r="K157" s="33"/>
      <c r="M157" s="33"/>
    </row>
    <row r="158" spans="2:13" s="185" customFormat="1" ht="12" customHeight="1" x14ac:dyDescent="0.25">
      <c r="B158" s="289"/>
      <c r="C158" s="289"/>
      <c r="D158" s="312" t="s">
        <v>203</v>
      </c>
      <c r="E158" s="290"/>
      <c r="F158" s="291">
        <v>739006.16</v>
      </c>
      <c r="G158" s="307"/>
      <c r="H158" s="296"/>
      <c r="I158" s="308"/>
      <c r="K158" s="33"/>
      <c r="M158" s="33"/>
    </row>
    <row r="159" spans="2:13" s="185" customFormat="1" ht="12" customHeight="1" x14ac:dyDescent="0.2">
      <c r="B159" s="289"/>
      <c r="C159" s="289"/>
      <c r="D159" s="289" t="s">
        <v>431</v>
      </c>
      <c r="E159" s="290"/>
      <c r="F159" s="291"/>
      <c r="G159" s="307"/>
      <c r="H159" s="296"/>
      <c r="I159" s="291">
        <v>105942.88</v>
      </c>
      <c r="K159" s="33"/>
      <c r="M159" s="33"/>
    </row>
    <row r="160" spans="2:13" s="185" customFormat="1" ht="12" customHeight="1" x14ac:dyDescent="0.2">
      <c r="B160" s="289"/>
      <c r="C160" s="289"/>
      <c r="D160" s="289" t="s">
        <v>432</v>
      </c>
      <c r="E160" s="290"/>
      <c r="F160" s="291"/>
      <c r="G160" s="307"/>
      <c r="H160" s="296"/>
      <c r="I160" s="291">
        <v>10375.57</v>
      </c>
      <c r="K160" s="168"/>
      <c r="M160" s="168"/>
    </row>
    <row r="161" spans="2:11" s="185" customFormat="1" ht="12" customHeight="1" x14ac:dyDescent="0.25">
      <c r="B161" s="289"/>
      <c r="C161" s="289"/>
      <c r="D161" s="312" t="s">
        <v>203</v>
      </c>
      <c r="E161" s="290"/>
      <c r="F161" s="291"/>
      <c r="G161" s="307"/>
      <c r="H161" s="296"/>
      <c r="I161" s="291">
        <v>18291</v>
      </c>
      <c r="K161" s="168"/>
    </row>
    <row r="162" spans="2:11" s="185" customFormat="1" ht="12" customHeight="1" x14ac:dyDescent="0.25">
      <c r="B162" s="289"/>
      <c r="C162" s="289"/>
      <c r="D162" s="312" t="s">
        <v>203</v>
      </c>
      <c r="E162" s="290"/>
      <c r="F162" s="291"/>
      <c r="G162" s="307"/>
      <c r="H162" s="296"/>
      <c r="I162" s="291">
        <v>150000</v>
      </c>
      <c r="K162" s="168">
        <v>994958</v>
      </c>
    </row>
    <row r="163" spans="2:11" s="185" customFormat="1" ht="12" customHeight="1" x14ac:dyDescent="0.25">
      <c r="B163" s="289"/>
      <c r="C163" s="289"/>
      <c r="D163" s="312" t="s">
        <v>203</v>
      </c>
      <c r="E163" s="290"/>
      <c r="F163" s="291"/>
      <c r="G163" s="307"/>
      <c r="H163" s="296"/>
      <c r="I163" s="291">
        <v>44759</v>
      </c>
      <c r="K163" s="168"/>
    </row>
    <row r="164" spans="2:11" s="185" customFormat="1" ht="12" customHeight="1" x14ac:dyDescent="0.2">
      <c r="B164" s="289"/>
      <c r="C164" s="289"/>
      <c r="D164" s="289" t="s">
        <v>429</v>
      </c>
      <c r="E164" s="290"/>
      <c r="F164" s="291"/>
      <c r="G164" s="307"/>
      <c r="H164" s="296"/>
      <c r="I164" s="291">
        <v>739006.16</v>
      </c>
      <c r="K164" s="168"/>
    </row>
    <row r="165" spans="2:11" s="185" customFormat="1" ht="12" customHeight="1" thickBot="1" x14ac:dyDescent="0.25">
      <c r="B165" s="294" t="s">
        <v>433</v>
      </c>
      <c r="C165" s="289"/>
      <c r="D165" s="289"/>
      <c r="E165" s="298"/>
      <c r="F165" s="299">
        <f>SUM(F153:F164)</f>
        <v>1068374.6100000001</v>
      </c>
      <c r="G165" s="300"/>
      <c r="H165" s="298"/>
      <c r="I165" s="299">
        <f>SUM(I159:I164)</f>
        <v>1068374.6100000001</v>
      </c>
    </row>
    <row r="166" spans="2:11" s="185" customFormat="1" ht="11.1" customHeight="1" thickTop="1" x14ac:dyDescent="0.2">
      <c r="E166" s="188"/>
      <c r="F166" s="186"/>
      <c r="G166" s="54"/>
      <c r="H166" s="193"/>
      <c r="I166" s="187"/>
    </row>
    <row r="167" spans="2:11" s="185" customFormat="1" ht="11.1" customHeight="1" x14ac:dyDescent="0.2">
      <c r="B167" s="289"/>
      <c r="C167" s="289"/>
      <c r="D167" s="289" t="s">
        <v>429</v>
      </c>
      <c r="E167" s="290"/>
      <c r="F167" s="291">
        <v>85000</v>
      </c>
      <c r="G167" s="307"/>
      <c r="H167" s="296"/>
      <c r="I167" s="308"/>
    </row>
    <row r="168" spans="2:11" s="185" customFormat="1" ht="11.1" customHeight="1" x14ac:dyDescent="0.2">
      <c r="B168" s="289"/>
      <c r="C168" s="289"/>
      <c r="D168" s="289" t="s">
        <v>429</v>
      </c>
      <c r="E168" s="290"/>
      <c r="F168" s="291">
        <v>0</v>
      </c>
      <c r="G168" s="307"/>
      <c r="H168" s="296"/>
      <c r="I168" s="308"/>
    </row>
    <row r="169" spans="2:11" s="185" customFormat="1" ht="11.1" customHeight="1" x14ac:dyDescent="0.2">
      <c r="B169" s="289"/>
      <c r="C169" s="289"/>
      <c r="D169" s="289" t="s">
        <v>429</v>
      </c>
      <c r="E169" s="290"/>
      <c r="F169" s="291">
        <v>0</v>
      </c>
      <c r="G169" s="307"/>
      <c r="H169" s="296"/>
      <c r="I169" s="308"/>
    </row>
    <row r="170" spans="2:11" s="185" customFormat="1" ht="11.1" customHeight="1" x14ac:dyDescent="0.2">
      <c r="B170" s="289"/>
      <c r="C170" s="289"/>
      <c r="D170" s="289" t="s">
        <v>430</v>
      </c>
      <c r="E170" s="290"/>
      <c r="F170" s="291">
        <v>10375.57</v>
      </c>
      <c r="G170" s="307"/>
      <c r="H170" s="296"/>
      <c r="I170" s="308"/>
    </row>
    <row r="171" spans="2:11" s="185" customFormat="1" ht="11.1" customHeight="1" x14ac:dyDescent="0.2">
      <c r="B171" s="289"/>
      <c r="C171" s="289"/>
      <c r="D171" s="289" t="s">
        <v>431</v>
      </c>
      <c r="E171" s="290"/>
      <c r="F171" s="291">
        <v>43722.239999999998</v>
      </c>
      <c r="G171" s="307"/>
      <c r="H171" s="296"/>
      <c r="I171" s="308"/>
    </row>
    <row r="172" spans="2:11" s="185" customFormat="1" ht="11.1" customHeight="1" x14ac:dyDescent="0.25">
      <c r="B172" s="289"/>
      <c r="C172" s="289"/>
      <c r="D172" s="312" t="s">
        <v>203</v>
      </c>
      <c r="E172" s="290"/>
      <c r="F172" s="291">
        <v>0</v>
      </c>
      <c r="G172" s="307"/>
      <c r="H172" s="296"/>
      <c r="I172" s="308"/>
    </row>
    <row r="173" spans="2:11" s="185" customFormat="1" ht="11.1" customHeight="1" x14ac:dyDescent="0.2">
      <c r="B173" s="289"/>
      <c r="C173" s="289"/>
      <c r="D173" s="289" t="s">
        <v>431</v>
      </c>
      <c r="E173" s="290"/>
      <c r="F173" s="291"/>
      <c r="G173" s="307"/>
      <c r="H173" s="296"/>
      <c r="I173" s="291">
        <v>10375.57</v>
      </c>
    </row>
    <row r="174" spans="2:11" s="185" customFormat="1" ht="11.1" customHeight="1" x14ac:dyDescent="0.2">
      <c r="B174" s="289"/>
      <c r="C174" s="289"/>
      <c r="D174" s="289" t="s">
        <v>432</v>
      </c>
      <c r="E174" s="290"/>
      <c r="F174" s="291"/>
      <c r="G174" s="307"/>
      <c r="H174" s="296"/>
      <c r="I174" s="291">
        <f>F171</f>
        <v>43722.239999999998</v>
      </c>
    </row>
    <row r="175" spans="2:11" s="185" customFormat="1" ht="11.1" customHeight="1" x14ac:dyDescent="0.25">
      <c r="B175" s="289"/>
      <c r="C175" s="289"/>
      <c r="D175" s="312" t="s">
        <v>203</v>
      </c>
      <c r="E175" s="290"/>
      <c r="F175" s="291"/>
      <c r="G175" s="307"/>
      <c r="H175" s="296"/>
      <c r="I175" s="291">
        <v>85000</v>
      </c>
    </row>
    <row r="176" spans="2:11" s="185" customFormat="1" ht="11.1" customHeight="1" x14ac:dyDescent="0.25">
      <c r="B176" s="289"/>
      <c r="C176" s="289"/>
      <c r="D176" s="312" t="s">
        <v>203</v>
      </c>
      <c r="E176" s="290"/>
      <c r="F176" s="291"/>
      <c r="G176" s="307"/>
      <c r="H176" s="296"/>
      <c r="I176" s="291">
        <v>0</v>
      </c>
    </row>
    <row r="177" spans="2:9" s="185" customFormat="1" ht="11.1" customHeight="1" x14ac:dyDescent="0.25">
      <c r="B177" s="289"/>
      <c r="C177" s="289"/>
      <c r="D177" s="312" t="s">
        <v>203</v>
      </c>
      <c r="E177" s="290"/>
      <c r="F177" s="291"/>
      <c r="G177" s="307"/>
      <c r="H177" s="296"/>
      <c r="I177" s="291">
        <v>0</v>
      </c>
    </row>
    <row r="178" spans="2:9" s="185" customFormat="1" ht="11.1" customHeight="1" x14ac:dyDescent="0.2">
      <c r="B178" s="289"/>
      <c r="C178" s="289"/>
      <c r="D178" s="289" t="s">
        <v>429</v>
      </c>
      <c r="E178" s="290"/>
      <c r="F178" s="291"/>
      <c r="G178" s="307"/>
      <c r="H178" s="296"/>
      <c r="I178" s="291">
        <v>0</v>
      </c>
    </row>
    <row r="179" spans="2:9" s="185" customFormat="1" ht="11.1" customHeight="1" thickBot="1" x14ac:dyDescent="0.25">
      <c r="B179" s="294" t="s">
        <v>433</v>
      </c>
      <c r="C179" s="289"/>
      <c r="D179" s="289"/>
      <c r="E179" s="298"/>
      <c r="F179" s="299">
        <f>SUM(F167:F178)</f>
        <v>139097.81</v>
      </c>
      <c r="G179" s="300"/>
      <c r="H179" s="298"/>
      <c r="I179" s="299">
        <f>SUM(I173:I178)</f>
        <v>139097.81</v>
      </c>
    </row>
    <row r="180" spans="2:9" s="185" customFormat="1" ht="11.1" customHeight="1" thickTop="1" x14ac:dyDescent="0.2">
      <c r="E180" s="188"/>
      <c r="F180" s="186"/>
      <c r="G180" s="54"/>
      <c r="H180" s="193"/>
      <c r="I180" s="187"/>
    </row>
    <row r="181" spans="2:9" s="185" customFormat="1" ht="11.1" customHeight="1" x14ac:dyDescent="0.2">
      <c r="E181" s="188"/>
      <c r="F181" s="186"/>
      <c r="G181" s="54"/>
      <c r="H181" s="193"/>
      <c r="I181" s="187"/>
    </row>
    <row r="182" spans="2:9" s="185" customFormat="1" ht="11.1" customHeight="1" x14ac:dyDescent="0.2">
      <c r="E182" s="188"/>
      <c r="F182" s="186"/>
      <c r="G182" s="54"/>
      <c r="H182" s="193"/>
      <c r="I182" s="187"/>
    </row>
    <row r="183" spans="2:9" s="185" customFormat="1" ht="11.1" customHeight="1" x14ac:dyDescent="0.2">
      <c r="E183" s="188"/>
      <c r="F183" s="186"/>
      <c r="G183" s="54"/>
      <c r="H183" s="193"/>
      <c r="I183" s="187"/>
    </row>
    <row r="184" spans="2:9" s="185" customFormat="1" ht="11.1" customHeight="1" x14ac:dyDescent="0.2">
      <c r="E184" s="188"/>
      <c r="F184" s="186"/>
      <c r="G184" s="54"/>
      <c r="H184" s="193"/>
      <c r="I184" s="187"/>
    </row>
    <row r="185" spans="2:9" s="185" customFormat="1" ht="11.1" customHeight="1" x14ac:dyDescent="0.2">
      <c r="E185" s="188"/>
      <c r="F185" s="186"/>
      <c r="G185" s="54"/>
      <c r="H185" s="193"/>
      <c r="I185" s="187"/>
    </row>
    <row r="186" spans="2:9" s="185" customFormat="1" ht="11.1" customHeight="1" x14ac:dyDescent="0.2">
      <c r="E186" s="188"/>
      <c r="F186" s="186"/>
      <c r="G186" s="54"/>
      <c r="H186" s="193"/>
      <c r="I186" s="187"/>
    </row>
    <row r="187" spans="2:9" s="185" customFormat="1" ht="11.1" customHeight="1" x14ac:dyDescent="0.2">
      <c r="E187" s="188"/>
      <c r="F187" s="186"/>
      <c r="G187" s="54"/>
      <c r="H187" s="193"/>
      <c r="I187" s="187"/>
    </row>
    <row r="188" spans="2:9" s="185" customFormat="1" ht="11.1" customHeight="1" x14ac:dyDescent="0.2">
      <c r="E188" s="188"/>
      <c r="F188" s="186"/>
      <c r="G188" s="54"/>
      <c r="H188" s="193"/>
      <c r="I188" s="187"/>
    </row>
    <row r="189" spans="2:9" s="185" customFormat="1" ht="11.1" customHeight="1" x14ac:dyDescent="0.2">
      <c r="E189" s="188"/>
      <c r="F189" s="186"/>
      <c r="G189" s="54"/>
      <c r="H189" s="193"/>
      <c r="I189" s="187"/>
    </row>
    <row r="190" spans="2:9" s="185" customFormat="1" ht="11.1" customHeight="1" x14ac:dyDescent="0.2">
      <c r="E190" s="188"/>
      <c r="F190" s="186"/>
      <c r="G190" s="54"/>
      <c r="H190" s="193"/>
      <c r="I190" s="187"/>
    </row>
    <row r="191" spans="2:9" s="185" customFormat="1" ht="11.1" customHeight="1" x14ac:dyDescent="0.2">
      <c r="E191" s="188"/>
      <c r="F191" s="186"/>
      <c r="G191" s="54"/>
      <c r="H191" s="193"/>
      <c r="I191" s="187"/>
    </row>
    <row r="192" spans="2:9" s="185" customFormat="1" ht="11.1" customHeight="1" x14ac:dyDescent="0.2">
      <c r="E192" s="188"/>
      <c r="F192" s="186"/>
      <c r="G192" s="54"/>
      <c r="H192" s="193"/>
      <c r="I192" s="187"/>
    </row>
    <row r="193" spans="2:10" s="185" customFormat="1" ht="11.1" customHeight="1" x14ac:dyDescent="0.2">
      <c r="E193" s="188"/>
      <c r="F193" s="267"/>
      <c r="G193" s="54"/>
      <c r="H193" s="193"/>
      <c r="I193" s="187"/>
    </row>
    <row r="194" spans="2:10" s="185" customFormat="1" ht="16.5" customHeight="1" x14ac:dyDescent="0.25">
      <c r="B194" s="288" t="s">
        <v>258</v>
      </c>
      <c r="C194" s="289"/>
      <c r="D194" s="289" t="s">
        <v>436</v>
      </c>
      <c r="E194" s="290"/>
      <c r="F194" s="291"/>
      <c r="G194" s="307"/>
      <c r="H194" s="296"/>
      <c r="I194" s="308"/>
    </row>
    <row r="195" spans="2:10" s="185" customFormat="1" ht="14.25" customHeight="1" x14ac:dyDescent="0.25">
      <c r="B195" s="289"/>
      <c r="C195" s="289"/>
      <c r="D195" s="312" t="s">
        <v>405</v>
      </c>
      <c r="E195" s="290"/>
      <c r="F195" s="308"/>
      <c r="G195" s="307"/>
      <c r="H195" s="296"/>
      <c r="I195" s="308">
        <v>225243.04</v>
      </c>
      <c r="J195" s="68" t="s">
        <v>447</v>
      </c>
    </row>
    <row r="196" spans="2:10" s="185" customFormat="1" ht="14.25" customHeight="1" x14ac:dyDescent="0.25">
      <c r="B196" s="289"/>
      <c r="C196" s="289"/>
      <c r="D196" s="312" t="s">
        <v>434</v>
      </c>
      <c r="E196" s="290"/>
      <c r="F196" s="308"/>
      <c r="G196" s="307"/>
      <c r="H196" s="296"/>
      <c r="I196" s="308"/>
    </row>
    <row r="197" spans="2:10" s="185" customFormat="1" ht="14.25" customHeight="1" x14ac:dyDescent="0.25">
      <c r="B197" s="289"/>
      <c r="C197" s="289"/>
      <c r="D197" s="312" t="s">
        <v>206</v>
      </c>
      <c r="E197" s="290"/>
      <c r="F197" s="308">
        <v>225243.04</v>
      </c>
      <c r="G197" s="307"/>
      <c r="H197" s="296"/>
      <c r="I197" s="308">
        <f>F195</f>
        <v>0</v>
      </c>
    </row>
    <row r="198" spans="2:10" s="185" customFormat="1" ht="14.25" customHeight="1" x14ac:dyDescent="0.25">
      <c r="B198" s="289"/>
      <c r="C198" s="289"/>
      <c r="D198" s="312" t="s">
        <v>435</v>
      </c>
      <c r="E198" s="290"/>
      <c r="F198" s="291"/>
      <c r="G198" s="307"/>
      <c r="H198" s="296"/>
      <c r="I198" s="308">
        <f>F196</f>
        <v>0</v>
      </c>
    </row>
    <row r="199" spans="2:10" s="185" customFormat="1" ht="11.1" customHeight="1" thickBot="1" x14ac:dyDescent="0.25">
      <c r="B199" s="294" t="s">
        <v>502</v>
      </c>
      <c r="C199" s="289"/>
      <c r="D199" s="289"/>
      <c r="E199" s="298"/>
      <c r="F199" s="299">
        <f>SUM(F195:F198)</f>
        <v>225243.04</v>
      </c>
      <c r="G199" s="300"/>
      <c r="H199" s="298"/>
      <c r="I199" s="299">
        <f>SUM(I195:I198)</f>
        <v>225243.04</v>
      </c>
    </row>
    <row r="200" spans="2:10" s="185" customFormat="1" ht="11.1" customHeight="1" thickTop="1" x14ac:dyDescent="0.2">
      <c r="B200" s="163"/>
      <c r="C200" s="163"/>
      <c r="D200" s="163"/>
      <c r="E200" s="188"/>
      <c r="F200" s="186"/>
      <c r="G200" s="54"/>
      <c r="H200" s="193"/>
      <c r="I200" s="187"/>
    </row>
    <row r="201" spans="2:10" s="185" customFormat="1" ht="11.1" customHeight="1" x14ac:dyDescent="0.2">
      <c r="E201" s="188"/>
      <c r="F201" s="186"/>
      <c r="G201" s="54"/>
      <c r="H201" s="193"/>
      <c r="I201" s="187"/>
    </row>
    <row r="202" spans="2:10" s="185" customFormat="1" ht="12" customHeight="1" x14ac:dyDescent="0.25">
      <c r="B202" s="129" t="s">
        <v>262</v>
      </c>
      <c r="D202" s="163" t="s">
        <v>436</v>
      </c>
      <c r="E202" s="188"/>
      <c r="F202" s="186"/>
      <c r="G202" s="54"/>
      <c r="H202" s="193"/>
      <c r="I202" s="187"/>
    </row>
    <row r="203" spans="2:10" s="185" customFormat="1" ht="12" customHeight="1" x14ac:dyDescent="0.2">
      <c r="B203" s="163"/>
      <c r="C203" s="163"/>
      <c r="D203" s="163" t="s">
        <v>418</v>
      </c>
      <c r="E203" s="188"/>
      <c r="F203" s="186">
        <f>11308.69+62519.45</f>
        <v>73828.14</v>
      </c>
      <c r="G203" s="54"/>
      <c r="H203" s="193"/>
      <c r="I203" s="187"/>
      <c r="J203" s="68" t="s">
        <v>455</v>
      </c>
    </row>
    <row r="204" spans="2:10" s="185" customFormat="1" ht="12" customHeight="1" x14ac:dyDescent="0.2">
      <c r="B204" s="163"/>
      <c r="C204" s="163"/>
      <c r="D204" s="163" t="s">
        <v>419</v>
      </c>
      <c r="E204" s="188"/>
      <c r="F204" s="186"/>
      <c r="G204" s="54"/>
      <c r="H204" s="193"/>
      <c r="I204" s="187">
        <v>0</v>
      </c>
    </row>
    <row r="205" spans="2:10" s="185" customFormat="1" ht="12" customHeight="1" x14ac:dyDescent="0.2">
      <c r="B205" s="163"/>
      <c r="C205" s="163"/>
      <c r="D205" s="163" t="s">
        <v>420</v>
      </c>
      <c r="E205" s="188"/>
      <c r="F205" s="186"/>
      <c r="G205" s="54"/>
      <c r="H205" s="193"/>
      <c r="I205" s="276">
        <v>0</v>
      </c>
    </row>
    <row r="206" spans="2:10" s="185" customFormat="1" ht="12" customHeight="1" x14ac:dyDescent="0.2">
      <c r="B206" s="163"/>
      <c r="C206" s="163"/>
      <c r="D206" s="163" t="s">
        <v>421</v>
      </c>
      <c r="E206" s="188"/>
      <c r="F206" s="186"/>
      <c r="G206" s="54"/>
      <c r="H206" s="193"/>
      <c r="I206" s="276">
        <v>62519.45</v>
      </c>
    </row>
    <row r="207" spans="2:10" s="185" customFormat="1" ht="12" customHeight="1" x14ac:dyDescent="0.2">
      <c r="B207" s="163"/>
      <c r="C207" s="163"/>
      <c r="D207" s="163" t="s">
        <v>422</v>
      </c>
      <c r="E207" s="188"/>
      <c r="F207" s="186"/>
      <c r="G207" s="54"/>
      <c r="H207" s="193"/>
      <c r="I207" s="276">
        <v>11308.69</v>
      </c>
    </row>
    <row r="208" spans="2:10" s="185" customFormat="1" ht="11.1" customHeight="1" thickBot="1" x14ac:dyDescent="0.25">
      <c r="B208" s="170" t="s">
        <v>423</v>
      </c>
      <c r="C208" s="163"/>
      <c r="D208" s="170"/>
      <c r="E208" s="190"/>
      <c r="F208" s="191">
        <f>SUM(F203:F207)</f>
        <v>73828.14</v>
      </c>
      <c r="G208" s="192"/>
      <c r="H208" s="190"/>
      <c r="I208" s="191">
        <f>SUM(I203:I207)</f>
        <v>73828.14</v>
      </c>
      <c r="J208" s="245"/>
    </row>
    <row r="209" spans="2:11" s="185" customFormat="1" ht="11.1" customHeight="1" thickTop="1" x14ac:dyDescent="0.2">
      <c r="E209" s="188"/>
      <c r="F209" s="186"/>
      <c r="G209" s="54"/>
      <c r="H209" s="193"/>
      <c r="I209" s="186"/>
    </row>
    <row r="210" spans="2:11" ht="15.75" x14ac:dyDescent="0.25">
      <c r="B210" s="129" t="s">
        <v>265</v>
      </c>
      <c r="D210" s="163" t="s">
        <v>436</v>
      </c>
    </row>
    <row r="211" spans="2:11" ht="15.75" x14ac:dyDescent="0.25">
      <c r="B211" s="288"/>
      <c r="C211" s="289"/>
      <c r="D211" s="289" t="s">
        <v>437</v>
      </c>
      <c r="E211" s="290"/>
      <c r="F211" s="291">
        <v>0</v>
      </c>
      <c r="G211" s="292"/>
      <c r="H211" s="293"/>
      <c r="I211" s="291"/>
      <c r="J211" s="294" t="s">
        <v>443</v>
      </c>
      <c r="K211" s="163" t="s">
        <v>438</v>
      </c>
    </row>
    <row r="212" spans="2:11" x14ac:dyDescent="0.2">
      <c r="B212" s="295"/>
      <c r="C212" s="289"/>
      <c r="D212" s="289" t="s">
        <v>203</v>
      </c>
      <c r="E212" s="296"/>
      <c r="F212" s="291"/>
      <c r="G212" s="293"/>
      <c r="H212" s="290"/>
      <c r="I212" s="291">
        <f>SUM(F211:F212)</f>
        <v>0</v>
      </c>
      <c r="J212" s="289"/>
      <c r="K212" s="163" t="s">
        <v>439</v>
      </c>
    </row>
    <row r="213" spans="2:11" ht="13.5" thickBot="1" x14ac:dyDescent="0.25">
      <c r="B213" s="297" t="s">
        <v>440</v>
      </c>
      <c r="C213" s="289"/>
      <c r="D213" s="289"/>
      <c r="E213" s="298"/>
      <c r="F213" s="299">
        <f>SUM(F211:F212)</f>
        <v>0</v>
      </c>
      <c r="G213" s="300"/>
      <c r="H213" s="298"/>
      <c r="I213" s="299">
        <f>SUM(I211:I212)</f>
        <v>0</v>
      </c>
      <c r="J213" s="289"/>
      <c r="K213" s="250"/>
    </row>
    <row r="214" spans="2:11" ht="13.5" thickTop="1" x14ac:dyDescent="0.2">
      <c r="B214" s="297"/>
      <c r="C214" s="289"/>
      <c r="D214" s="289"/>
      <c r="E214" s="296"/>
      <c r="F214" s="301"/>
      <c r="G214" s="302"/>
      <c r="H214" s="296"/>
      <c r="I214" s="301"/>
      <c r="J214" s="289"/>
      <c r="K214" s="250"/>
    </row>
    <row r="215" spans="2:11" ht="15.75" x14ac:dyDescent="0.25">
      <c r="B215" s="129" t="s">
        <v>268</v>
      </c>
      <c r="D215" s="163" t="s">
        <v>436</v>
      </c>
      <c r="E215" s="163"/>
      <c r="G215" s="163"/>
      <c r="H215" s="163"/>
      <c r="J215" s="41"/>
      <c r="K215" s="41"/>
    </row>
    <row r="216" spans="2:11" x14ac:dyDescent="0.2">
      <c r="B216" s="247"/>
      <c r="C216" s="131"/>
      <c r="D216" s="163" t="s">
        <v>203</v>
      </c>
      <c r="E216" s="188"/>
      <c r="F216" s="186">
        <v>0</v>
      </c>
      <c r="G216" s="248"/>
      <c r="H216" s="189"/>
      <c r="I216" s="186"/>
      <c r="J216" s="170" t="s">
        <v>443</v>
      </c>
      <c r="K216" s="163" t="s">
        <v>441</v>
      </c>
    </row>
    <row r="217" spans="2:11" x14ac:dyDescent="0.2">
      <c r="B217" s="247"/>
      <c r="C217" s="163"/>
      <c r="D217" s="163" t="s">
        <v>437</v>
      </c>
      <c r="E217" s="193"/>
      <c r="F217" s="186"/>
      <c r="G217" s="189"/>
      <c r="H217" s="188"/>
      <c r="I217" s="186">
        <f>SUM(F216:F217)</f>
        <v>0</v>
      </c>
      <c r="J217" s="163"/>
      <c r="K217" s="163" t="s">
        <v>441</v>
      </c>
    </row>
    <row r="218" spans="2:11" ht="13.5" thickBot="1" x14ac:dyDescent="0.25">
      <c r="B218" s="249" t="s">
        <v>440</v>
      </c>
      <c r="C218" s="163"/>
      <c r="D218" s="163"/>
      <c r="E218" s="190"/>
      <c r="F218" s="191">
        <f>SUM(F216:F217)</f>
        <v>0</v>
      </c>
      <c r="G218" s="192"/>
      <c r="H218" s="190"/>
      <c r="I218" s="191">
        <f>SUM(I216:I217)</f>
        <v>0</v>
      </c>
      <c r="J218" s="163"/>
      <c r="K218" s="250"/>
    </row>
    <row r="219" spans="2:11" ht="13.5" thickTop="1" x14ac:dyDescent="0.2"/>
    <row r="220" spans="2:11" ht="15.75" x14ac:dyDescent="0.25">
      <c r="B220" s="129" t="s">
        <v>336</v>
      </c>
      <c r="D220" s="163" t="s">
        <v>436</v>
      </c>
    </row>
    <row r="221" spans="2:11" x14ac:dyDescent="0.2">
      <c r="B221" s="247"/>
      <c r="C221" s="163"/>
      <c r="D221" s="252" t="s">
        <v>463</v>
      </c>
      <c r="E221" s="253"/>
      <c r="F221" s="189">
        <v>0</v>
      </c>
      <c r="G221" s="254"/>
      <c r="H221" s="253"/>
      <c r="I221" s="189"/>
      <c r="J221" s="134"/>
      <c r="K221" s="163" t="s">
        <v>207</v>
      </c>
    </row>
    <row r="222" spans="2:11" x14ac:dyDescent="0.2">
      <c r="B222" s="247"/>
      <c r="C222" s="163"/>
      <c r="D222" s="189" t="s">
        <v>464</v>
      </c>
      <c r="E222" s="189"/>
      <c r="F222" s="189">
        <v>0</v>
      </c>
      <c r="G222" s="189"/>
      <c r="H222" s="189"/>
      <c r="I222" s="189"/>
      <c r="J222" s="163"/>
      <c r="K222" s="163" t="s">
        <v>465</v>
      </c>
    </row>
    <row r="223" spans="2:11" x14ac:dyDescent="0.2">
      <c r="B223" s="247"/>
      <c r="C223" s="163"/>
      <c r="D223" s="189" t="s">
        <v>466</v>
      </c>
      <c r="E223" s="253"/>
      <c r="F223" s="189"/>
      <c r="G223" s="189"/>
      <c r="H223" s="253"/>
      <c r="I223" s="189">
        <f>F221</f>
        <v>0</v>
      </c>
      <c r="J223" s="163"/>
      <c r="K223" s="163" t="s">
        <v>207</v>
      </c>
    </row>
    <row r="224" spans="2:11" x14ac:dyDescent="0.2">
      <c r="B224" s="247"/>
      <c r="C224" s="163"/>
      <c r="D224" s="189" t="s">
        <v>201</v>
      </c>
      <c r="E224" s="189"/>
      <c r="F224" s="189"/>
      <c r="G224" s="189"/>
      <c r="H224" s="189"/>
      <c r="I224" s="189">
        <v>0</v>
      </c>
      <c r="J224" s="163"/>
      <c r="K224" s="163" t="s">
        <v>465</v>
      </c>
    </row>
    <row r="225" spans="2:11" ht="13.5" thickBot="1" x14ac:dyDescent="0.25">
      <c r="B225" s="249" t="s">
        <v>207</v>
      </c>
      <c r="C225" s="163"/>
      <c r="D225" s="163"/>
      <c r="E225" s="255"/>
      <c r="F225" s="192">
        <f>SUM(F221:F224)</f>
        <v>0</v>
      </c>
      <c r="G225" s="255"/>
      <c r="H225" s="255"/>
      <c r="I225" s="192">
        <f>SUM(I221:I224)</f>
        <v>0</v>
      </c>
      <c r="J225" s="255"/>
      <c r="K225" s="163"/>
    </row>
    <row r="226" spans="2:11" ht="13.5" thickTop="1" x14ac:dyDescent="0.2">
      <c r="B226" s="249"/>
      <c r="C226" s="163"/>
      <c r="D226" s="163"/>
      <c r="E226" s="145"/>
      <c r="F226" s="79"/>
      <c r="G226" s="145"/>
      <c r="H226" s="145"/>
      <c r="I226" s="79"/>
      <c r="J226" s="145"/>
      <c r="K226" s="163"/>
    </row>
    <row r="227" spans="2:11" ht="15.75" x14ac:dyDescent="0.25">
      <c r="B227" s="288" t="s">
        <v>446</v>
      </c>
      <c r="C227" s="289"/>
      <c r="D227" s="289" t="s">
        <v>436</v>
      </c>
      <c r="E227" s="289"/>
      <c r="F227" s="289"/>
      <c r="G227" s="289"/>
      <c r="H227" s="289"/>
      <c r="I227" s="289"/>
    </row>
    <row r="228" spans="2:11" x14ac:dyDescent="0.2">
      <c r="B228" s="295"/>
      <c r="C228" s="289"/>
      <c r="D228" s="304" t="s">
        <v>358</v>
      </c>
      <c r="E228" s="290"/>
      <c r="F228" s="291">
        <v>0</v>
      </c>
      <c r="G228" s="313"/>
      <c r="H228" s="290"/>
      <c r="I228" s="291"/>
      <c r="J228" s="170" t="s">
        <v>450</v>
      </c>
      <c r="K228" s="163" t="s">
        <v>448</v>
      </c>
    </row>
    <row r="229" spans="2:11" x14ac:dyDescent="0.2">
      <c r="B229" s="295"/>
      <c r="C229" s="289"/>
      <c r="D229" s="289" t="s">
        <v>359</v>
      </c>
      <c r="E229" s="290"/>
      <c r="F229" s="291"/>
      <c r="G229" s="293"/>
      <c r="H229" s="290"/>
      <c r="I229" s="291">
        <v>0</v>
      </c>
      <c r="J229" s="163"/>
      <c r="K229" s="163" t="s">
        <v>448</v>
      </c>
    </row>
    <row r="230" spans="2:11" ht="13.5" thickBot="1" x14ac:dyDescent="0.25">
      <c r="B230" s="297" t="s">
        <v>449</v>
      </c>
      <c r="C230" s="289"/>
      <c r="D230" s="289"/>
      <c r="E230" s="298"/>
      <c r="F230" s="299">
        <f>SUM(F228:F229)</f>
        <v>0</v>
      </c>
      <c r="G230" s="300"/>
      <c r="H230" s="298"/>
      <c r="I230" s="299">
        <f>SUM(I228:I229)</f>
        <v>0</v>
      </c>
      <c r="J230" s="163"/>
      <c r="K230" s="163"/>
    </row>
    <row r="231" spans="2:11" ht="13.5" thickTop="1" x14ac:dyDescent="0.2">
      <c r="B231" s="249"/>
      <c r="C231" s="163"/>
      <c r="D231" s="163"/>
      <c r="E231" s="193"/>
      <c r="F231" s="78"/>
      <c r="G231" s="79"/>
      <c r="H231" s="193"/>
      <c r="I231" s="78"/>
      <c r="J231" s="163"/>
      <c r="K231" s="163"/>
    </row>
    <row r="232" spans="2:11" ht="15.75" x14ac:dyDescent="0.25">
      <c r="B232" s="129" t="s">
        <v>451</v>
      </c>
      <c r="C232" s="163"/>
      <c r="D232" s="163" t="s">
        <v>436</v>
      </c>
      <c r="E232" s="163"/>
      <c r="G232" s="163"/>
      <c r="H232" s="163"/>
    </row>
    <row r="233" spans="2:11" x14ac:dyDescent="0.2">
      <c r="B233" s="163"/>
      <c r="C233" s="163"/>
      <c r="D233" s="163" t="s">
        <v>470</v>
      </c>
      <c r="E233" s="163"/>
      <c r="F233" s="186">
        <v>0</v>
      </c>
      <c r="G233" s="186"/>
      <c r="H233" s="186"/>
      <c r="I233" s="186"/>
      <c r="J233" s="186"/>
    </row>
    <row r="234" spans="2:11" x14ac:dyDescent="0.2">
      <c r="B234" s="163">
        <v>3500000</v>
      </c>
      <c r="C234" s="163"/>
      <c r="D234" s="163" t="s">
        <v>50</v>
      </c>
      <c r="E234" s="163"/>
      <c r="F234" s="186"/>
      <c r="G234" s="186"/>
      <c r="H234" s="186"/>
      <c r="I234" s="186">
        <v>0</v>
      </c>
      <c r="J234" s="186"/>
    </row>
    <row r="235" spans="2:11" ht="13.5" thickBot="1" x14ac:dyDescent="0.25">
      <c r="B235" s="163" t="s">
        <v>471</v>
      </c>
      <c r="C235" s="163"/>
      <c r="D235" s="163"/>
      <c r="E235" s="190"/>
      <c r="F235" s="191">
        <f>SUM(F233:F234)</f>
        <v>0</v>
      </c>
      <c r="G235" s="192"/>
      <c r="H235" s="190"/>
      <c r="I235" s="191">
        <f>SUM(I233:I234)</f>
        <v>0</v>
      </c>
      <c r="J235" s="186"/>
    </row>
    <row r="236" spans="2:11" ht="13.5" thickTop="1" x14ac:dyDescent="0.2">
      <c r="B236" s="163"/>
      <c r="C236" s="163"/>
      <c r="D236" s="163"/>
      <c r="E236" s="163"/>
      <c r="F236" s="186"/>
      <c r="G236" s="186"/>
      <c r="H236" s="186"/>
      <c r="I236" s="186"/>
      <c r="J236" s="186"/>
    </row>
    <row r="237" spans="2:11" ht="15.75" x14ac:dyDescent="0.25">
      <c r="B237" s="129" t="s">
        <v>467</v>
      </c>
      <c r="D237" s="163" t="s">
        <v>436</v>
      </c>
    </row>
    <row r="238" spans="2:11" x14ac:dyDescent="0.2">
      <c r="B238" s="167">
        <v>1210000</v>
      </c>
      <c r="C238" s="167"/>
      <c r="D238" s="167" t="s">
        <v>113</v>
      </c>
      <c r="F238" s="186">
        <v>0</v>
      </c>
    </row>
    <row r="239" spans="2:11" x14ac:dyDescent="0.2">
      <c r="B239" s="185">
        <v>3500000</v>
      </c>
      <c r="D239" s="185" t="s">
        <v>50</v>
      </c>
      <c r="F239" s="186"/>
      <c r="G239" s="186"/>
      <c r="H239" s="186"/>
      <c r="I239" s="186">
        <v>0</v>
      </c>
    </row>
    <row r="240" spans="2:11" ht="13.5" thickBot="1" x14ac:dyDescent="0.25">
      <c r="B240" s="167"/>
      <c r="C240" s="167"/>
      <c r="D240" s="167"/>
      <c r="E240" s="258"/>
      <c r="F240" s="191">
        <f>SUM(F238:F239)</f>
        <v>0</v>
      </c>
      <c r="G240" s="191"/>
      <c r="H240" s="191"/>
      <c r="I240" s="191">
        <f>SUM(I238:I239)</f>
        <v>0</v>
      </c>
    </row>
    <row r="241" spans="2:9" ht="16.5" thickTop="1" x14ac:dyDescent="0.25">
      <c r="B241" s="129" t="s">
        <v>472</v>
      </c>
      <c r="D241" s="163" t="s">
        <v>436</v>
      </c>
      <c r="F241" s="186"/>
      <c r="G241" s="186"/>
      <c r="H241" s="186"/>
      <c r="I241" s="186"/>
    </row>
    <row r="242" spans="2:9" x14ac:dyDescent="0.2">
      <c r="B242" s="167">
        <v>4104000</v>
      </c>
      <c r="C242" s="167"/>
      <c r="D242" s="167" t="s">
        <v>87</v>
      </c>
      <c r="F242" s="186">
        <v>0</v>
      </c>
      <c r="G242" s="186"/>
      <c r="H242" s="186"/>
      <c r="I242" s="186"/>
    </row>
    <row r="243" spans="2:9" x14ac:dyDescent="0.2">
      <c r="B243" s="185">
        <v>3500000</v>
      </c>
      <c r="D243" s="185" t="s">
        <v>50</v>
      </c>
      <c r="F243" s="186"/>
      <c r="G243" s="186"/>
      <c r="H243" s="186"/>
      <c r="I243" s="186">
        <v>0</v>
      </c>
    </row>
    <row r="244" spans="2:9" ht="13.5" thickBot="1" x14ac:dyDescent="0.25">
      <c r="B244" s="167"/>
      <c r="C244" s="167"/>
      <c r="D244" s="167"/>
      <c r="E244" s="101"/>
      <c r="F244" s="102">
        <f>SUM(F242:F243)</f>
        <v>0</v>
      </c>
      <c r="G244" s="102"/>
      <c r="H244" s="102"/>
      <c r="I244" s="102">
        <f>SUM(I242:I243)</f>
        <v>0</v>
      </c>
    </row>
    <row r="245" spans="2:9" ht="13.5" thickTop="1" x14ac:dyDescent="0.2"/>
    <row r="247" spans="2:9" ht="15.75" x14ac:dyDescent="0.25">
      <c r="B247" s="129" t="s">
        <v>520</v>
      </c>
      <c r="D247" s="163" t="s">
        <v>436</v>
      </c>
      <c r="F247" s="186"/>
      <c r="G247" s="186"/>
      <c r="H247" s="186"/>
      <c r="I247" s="186"/>
    </row>
    <row r="248" spans="2:9" x14ac:dyDescent="0.2">
      <c r="B248" s="167">
        <v>3500000</v>
      </c>
      <c r="C248" s="161"/>
      <c r="D248" s="167" t="s">
        <v>50</v>
      </c>
      <c r="F248" s="186"/>
      <c r="G248" s="186"/>
      <c r="H248" s="186"/>
      <c r="I248" s="186"/>
    </row>
    <row r="249" spans="2:9" x14ac:dyDescent="0.2">
      <c r="B249" s="185">
        <v>7100000</v>
      </c>
      <c r="D249" s="185" t="s">
        <v>527</v>
      </c>
      <c r="F249" s="186"/>
      <c r="G249" s="186"/>
      <c r="H249" s="186"/>
      <c r="I249" s="186">
        <f>F248</f>
        <v>0</v>
      </c>
    </row>
    <row r="250" spans="2:9" ht="13.5" thickBot="1" x14ac:dyDescent="0.25">
      <c r="B250" s="167"/>
      <c r="C250" s="167"/>
      <c r="D250" s="167"/>
      <c r="E250" s="101"/>
      <c r="F250" s="102">
        <f>SUM(F248:F249)</f>
        <v>0</v>
      </c>
      <c r="G250" s="102"/>
      <c r="H250" s="102"/>
      <c r="I250" s="102">
        <f>SUM(I248:I249)</f>
        <v>0</v>
      </c>
    </row>
    <row r="251" spans="2:9" ht="13.5" thickTop="1" x14ac:dyDescent="0.2"/>
    <row r="252" spans="2:9" ht="15.75" x14ac:dyDescent="0.25">
      <c r="B252" s="129" t="s">
        <v>564</v>
      </c>
      <c r="D252" s="163" t="s">
        <v>436</v>
      </c>
      <c r="F252" s="186"/>
      <c r="G252" s="186"/>
      <c r="H252" s="186"/>
      <c r="I252" s="186"/>
    </row>
    <row r="253" spans="2:9" x14ac:dyDescent="0.2">
      <c r="B253" s="167">
        <v>4650009</v>
      </c>
      <c r="C253" s="161"/>
      <c r="D253" s="167" t="s">
        <v>98</v>
      </c>
      <c r="F253" s="186"/>
      <c r="G253" s="186"/>
      <c r="H253" s="186"/>
      <c r="I253" s="186">
        <v>29000</v>
      </c>
    </row>
    <row r="254" spans="2:9" x14ac:dyDescent="0.2">
      <c r="B254" s="185">
        <v>6299603</v>
      </c>
      <c r="D254" s="185" t="s">
        <v>542</v>
      </c>
      <c r="F254" s="186">
        <f>I253</f>
        <v>29000</v>
      </c>
      <c r="G254" s="186"/>
      <c r="H254" s="186"/>
      <c r="I254" s="186">
        <f>F253</f>
        <v>0</v>
      </c>
    </row>
    <row r="255" spans="2:9" ht="13.5" thickBot="1" x14ac:dyDescent="0.25">
      <c r="B255" s="167"/>
      <c r="C255" s="167"/>
      <c r="D255" s="167"/>
      <c r="E255" s="101"/>
      <c r="F255" s="102">
        <f>SUM(F253:F254)</f>
        <v>29000</v>
      </c>
      <c r="G255" s="102"/>
      <c r="H255" s="102"/>
      <c r="I255" s="102">
        <f>SUM(I253:I254)</f>
        <v>29000</v>
      </c>
    </row>
    <row r="256" spans="2:9" ht="13.5" thickTop="1" x14ac:dyDescent="0.2"/>
    <row r="258" spans="1:9" x14ac:dyDescent="0.2">
      <c r="A258" s="161"/>
      <c r="B258" s="161"/>
      <c r="C258" s="161"/>
      <c r="F258" s="163" t="s">
        <v>468</v>
      </c>
      <c r="I258" s="163" t="s">
        <v>469</v>
      </c>
    </row>
    <row r="259" spans="1:9" x14ac:dyDescent="0.2">
      <c r="A259" s="161"/>
      <c r="B259" s="161"/>
      <c r="C259" s="161"/>
      <c r="D259" s="252" t="s">
        <v>463</v>
      </c>
      <c r="F259" s="134"/>
      <c r="I259" s="134"/>
    </row>
    <row r="260" spans="1:9" x14ac:dyDescent="0.2">
      <c r="A260" s="161"/>
      <c r="B260" s="161"/>
      <c r="C260" s="161"/>
      <c r="E260" s="185">
        <v>13</v>
      </c>
      <c r="F260" s="186">
        <f>F122</f>
        <v>29743</v>
      </c>
      <c r="H260" s="185">
        <v>13</v>
      </c>
      <c r="I260" s="186">
        <f>I124</f>
        <v>118970</v>
      </c>
    </row>
    <row r="261" spans="1:9" x14ac:dyDescent="0.2">
      <c r="A261" s="161"/>
      <c r="B261" s="161"/>
      <c r="C261" s="161"/>
      <c r="E261" s="185">
        <v>14</v>
      </c>
      <c r="F261" s="186">
        <f>F139</f>
        <v>211668.40999999997</v>
      </c>
      <c r="H261" s="185">
        <v>14</v>
      </c>
      <c r="I261" s="186">
        <f>I141</f>
        <v>846532.08</v>
      </c>
    </row>
    <row r="262" spans="1:9" x14ac:dyDescent="0.2">
      <c r="A262" s="161"/>
      <c r="B262" s="161"/>
      <c r="C262" s="161"/>
      <c r="E262" s="185">
        <v>16</v>
      </c>
      <c r="F262" s="186">
        <f>F156</f>
        <v>105942.88</v>
      </c>
    </row>
    <row r="263" spans="1:9" x14ac:dyDescent="0.2">
      <c r="A263" s="161"/>
      <c r="B263" s="161"/>
      <c r="C263" s="161"/>
      <c r="E263" s="185">
        <v>21</v>
      </c>
      <c r="F263" s="189">
        <f>F221</f>
        <v>0</v>
      </c>
    </row>
    <row r="264" spans="1:9" x14ac:dyDescent="0.2">
      <c r="E264" s="185">
        <v>24</v>
      </c>
      <c r="F264" s="186">
        <f>F238</f>
        <v>0</v>
      </c>
    </row>
    <row r="265" spans="1:9" ht="13.5" thickBot="1" x14ac:dyDescent="0.25">
      <c r="A265" s="161"/>
      <c r="B265" s="161"/>
      <c r="C265" s="161"/>
      <c r="E265" s="101"/>
      <c r="F265" s="102">
        <f>SUM(F260:F264)</f>
        <v>347354.29</v>
      </c>
      <c r="G265" s="101"/>
      <c r="H265" s="101"/>
      <c r="I265" s="102">
        <f>SUM(I260:I264)</f>
        <v>965502.08</v>
      </c>
    </row>
    <row r="266" spans="1:9" ht="13.5" thickTop="1" x14ac:dyDescent="0.2">
      <c r="A266" s="161"/>
      <c r="B266" s="161"/>
      <c r="C266" s="161"/>
    </row>
  </sheetData>
  <mergeCells count="3">
    <mergeCell ref="D8:E8"/>
    <mergeCell ref="F8:I8"/>
    <mergeCell ref="D9:E9"/>
  </mergeCells>
  <printOptions horizontalCentered="1"/>
  <pageMargins left="0.19685039370078741" right="0.19685039370078741" top="0.19685039370078741" bottom="0" header="0" footer="0"/>
  <pageSetup scale="50" fitToWidth="2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81"/>
  <sheetViews>
    <sheetView topLeftCell="A7" workbookViewId="0">
      <selection activeCell="E29" sqref="E29"/>
    </sheetView>
  </sheetViews>
  <sheetFormatPr baseColWidth="10" defaultRowHeight="15" x14ac:dyDescent="0.25"/>
  <cols>
    <col min="2" max="2" width="42.7109375" bestFit="1" customWidth="1"/>
    <col min="3" max="4" width="13.140625" style="315" bestFit="1" customWidth="1"/>
    <col min="5" max="5" width="14.85546875" style="315" customWidth="1"/>
    <col min="6" max="6" width="14.140625" style="315" bestFit="1" customWidth="1"/>
    <col min="7" max="7" width="12.28515625" bestFit="1" customWidth="1"/>
  </cols>
  <sheetData>
    <row r="3" spans="1:6" x14ac:dyDescent="0.25">
      <c r="C3" s="315">
        <v>2017</v>
      </c>
      <c r="E3" s="315">
        <v>2018</v>
      </c>
    </row>
    <row r="4" spans="1:6" x14ac:dyDescent="0.25">
      <c r="A4" t="s">
        <v>161</v>
      </c>
      <c r="B4" t="s">
        <v>162</v>
      </c>
      <c r="C4" s="315" t="s">
        <v>137</v>
      </c>
      <c r="D4" s="315" t="s">
        <v>138</v>
      </c>
      <c r="E4" s="315" t="s">
        <v>137</v>
      </c>
      <c r="F4" s="315" t="s">
        <v>138</v>
      </c>
    </row>
    <row r="6" spans="1:6" s="184" customFormat="1" x14ac:dyDescent="0.25">
      <c r="A6" s="184">
        <v>4330001</v>
      </c>
      <c r="B6" s="184" t="s">
        <v>27</v>
      </c>
      <c r="C6" s="315"/>
      <c r="D6" s="315"/>
      <c r="E6" s="318">
        <v>194.01</v>
      </c>
      <c r="F6" s="315">
        <v>2748217.25</v>
      </c>
    </row>
    <row r="7" spans="1:6" s="184" customFormat="1" x14ac:dyDescent="0.25">
      <c r="A7" s="184">
        <v>4330002</v>
      </c>
      <c r="B7" s="184" t="s">
        <v>28</v>
      </c>
      <c r="C7" s="315"/>
      <c r="D7" s="315"/>
      <c r="E7" s="315"/>
      <c r="F7" s="315">
        <v>1191001.4300000002</v>
      </c>
    </row>
    <row r="8" spans="1:6" s="184" customFormat="1" x14ac:dyDescent="0.25">
      <c r="A8" s="184">
        <v>4900000</v>
      </c>
      <c r="B8" s="184" t="s">
        <v>29</v>
      </c>
      <c r="C8" s="315"/>
      <c r="D8" s="315"/>
      <c r="E8" s="318">
        <v>115656.41999999998</v>
      </c>
      <c r="F8" s="315"/>
    </row>
    <row r="9" spans="1:6" x14ac:dyDescent="0.25">
      <c r="A9">
        <v>4800000</v>
      </c>
      <c r="B9" t="s">
        <v>44</v>
      </c>
      <c r="C9" s="315">
        <v>164000</v>
      </c>
    </row>
    <row r="10" spans="1:6" x14ac:dyDescent="0.25">
      <c r="A10">
        <v>5430000</v>
      </c>
      <c r="B10" t="s">
        <v>45</v>
      </c>
      <c r="D10" s="315">
        <v>407273</v>
      </c>
      <c r="F10" s="315">
        <v>363105.06000000006</v>
      </c>
    </row>
    <row r="11" spans="1:6" x14ac:dyDescent="0.25">
      <c r="A11">
        <v>3100000</v>
      </c>
      <c r="B11" t="s">
        <v>48</v>
      </c>
      <c r="D11" s="315">
        <v>21952.68</v>
      </c>
    </row>
    <row r="12" spans="1:6" x14ac:dyDescent="0.25">
      <c r="A12">
        <v>3500000</v>
      </c>
      <c r="B12" t="s">
        <v>50</v>
      </c>
      <c r="D12" s="315">
        <v>612225</v>
      </c>
      <c r="E12" s="318">
        <v>235951</v>
      </c>
      <c r="F12" s="318">
        <v>85000</v>
      </c>
    </row>
    <row r="13" spans="1:6" x14ac:dyDescent="0.25">
      <c r="A13">
        <v>3500001</v>
      </c>
      <c r="B13" t="s">
        <v>52</v>
      </c>
      <c r="F13" s="318">
        <v>507774.32</v>
      </c>
    </row>
    <row r="14" spans="1:6" x14ac:dyDescent="0.25">
      <c r="A14">
        <v>1603002</v>
      </c>
      <c r="B14" t="s">
        <v>54</v>
      </c>
      <c r="F14" s="315">
        <v>150118.32999999999</v>
      </c>
    </row>
    <row r="15" spans="1:6" x14ac:dyDescent="0.25">
      <c r="A15">
        <v>2170001</v>
      </c>
      <c r="B15" t="s">
        <v>57</v>
      </c>
      <c r="C15" s="315">
        <v>17468</v>
      </c>
      <c r="F15" s="315">
        <v>2763</v>
      </c>
    </row>
    <row r="16" spans="1:6" x14ac:dyDescent="0.25">
      <c r="A16">
        <v>2130001</v>
      </c>
      <c r="B16" t="s">
        <v>60</v>
      </c>
      <c r="C16" s="315">
        <v>141130.45000000001</v>
      </c>
      <c r="F16" s="315">
        <v>17863</v>
      </c>
    </row>
    <row r="17" spans="1:7" x14ac:dyDescent="0.25">
      <c r="A17">
        <v>2110001</v>
      </c>
      <c r="B17" t="s">
        <v>61</v>
      </c>
      <c r="C17" s="315">
        <v>5395.33</v>
      </c>
      <c r="D17" s="315">
        <v>53743.16</v>
      </c>
      <c r="E17" s="318">
        <v>5289.52</v>
      </c>
    </row>
    <row r="18" spans="1:7" x14ac:dyDescent="0.25">
      <c r="A18">
        <v>2120001</v>
      </c>
      <c r="B18" t="s">
        <v>63</v>
      </c>
      <c r="C18" s="315">
        <v>169139.87</v>
      </c>
    </row>
    <row r="19" spans="1:7" x14ac:dyDescent="0.25">
      <c r="A19">
        <v>2813001</v>
      </c>
      <c r="B19" t="s">
        <v>67</v>
      </c>
      <c r="C19" s="315">
        <v>846532.08</v>
      </c>
      <c r="E19" s="318">
        <v>6615.6999999999989</v>
      </c>
    </row>
    <row r="20" spans="1:7" x14ac:dyDescent="0.25">
      <c r="B20" t="s">
        <v>519</v>
      </c>
      <c r="E20" s="318">
        <v>157537.43</v>
      </c>
    </row>
    <row r="21" spans="1:7" x14ac:dyDescent="0.25">
      <c r="A21">
        <v>4100000</v>
      </c>
      <c r="B21" t="s">
        <v>86</v>
      </c>
      <c r="D21" s="315">
        <v>158598.45000000001</v>
      </c>
      <c r="E21" s="315">
        <v>9511.77</v>
      </c>
    </row>
    <row r="22" spans="1:7" x14ac:dyDescent="0.25">
      <c r="A22">
        <v>4104000</v>
      </c>
      <c r="B22" t="s">
        <v>87</v>
      </c>
      <c r="D22" s="315">
        <v>251978.73</v>
      </c>
      <c r="E22" s="315">
        <v>146060.73000000001</v>
      </c>
      <c r="F22" s="315">
        <v>87765</v>
      </c>
    </row>
    <row r="23" spans="1:7" x14ac:dyDescent="0.25">
      <c r="A23">
        <v>4100003</v>
      </c>
      <c r="B23" t="s">
        <v>81</v>
      </c>
      <c r="C23" s="315">
        <f>407273-33510.36</f>
        <v>373762.64</v>
      </c>
      <c r="E23" s="315">
        <f>363105.06+33510.81</f>
        <v>396615.87</v>
      </c>
    </row>
    <row r="24" spans="1:7" s="184" customFormat="1" x14ac:dyDescent="0.25">
      <c r="A24" s="184">
        <v>5510000</v>
      </c>
      <c r="B24" s="184" t="s">
        <v>46</v>
      </c>
      <c r="C24" s="315"/>
      <c r="D24" s="315"/>
      <c r="E24" s="315"/>
      <c r="F24" s="315">
        <v>3430758.14</v>
      </c>
    </row>
    <row r="25" spans="1:7" x14ac:dyDescent="0.25">
      <c r="A25">
        <v>4030000</v>
      </c>
      <c r="B25" t="s">
        <v>83</v>
      </c>
      <c r="E25" s="315">
        <v>2748217.25</v>
      </c>
    </row>
    <row r="26" spans="1:7" x14ac:dyDescent="0.25">
      <c r="A26">
        <v>4030001</v>
      </c>
      <c r="B26" t="s">
        <v>82</v>
      </c>
      <c r="E26" s="315">
        <v>1191000.97</v>
      </c>
      <c r="F26" s="318">
        <v>952.12</v>
      </c>
    </row>
    <row r="27" spans="1:7" s="184" customFormat="1" x14ac:dyDescent="0.25">
      <c r="A27" s="184">
        <v>4650009</v>
      </c>
      <c r="B27" s="184" t="s">
        <v>98</v>
      </c>
      <c r="C27" s="315"/>
      <c r="D27" s="315"/>
      <c r="E27" s="315"/>
      <c r="F27" s="318">
        <v>29000</v>
      </c>
    </row>
    <row r="28" spans="1:7" x14ac:dyDescent="0.25">
      <c r="B28" t="s">
        <v>492</v>
      </c>
      <c r="F28" s="318">
        <v>73828.14</v>
      </c>
    </row>
    <row r="29" spans="1:7" x14ac:dyDescent="0.25">
      <c r="B29" t="s">
        <v>340</v>
      </c>
      <c r="D29" s="315">
        <v>211657.34999999998</v>
      </c>
      <c r="E29" s="318">
        <v>10120.08</v>
      </c>
      <c r="F29" s="318">
        <v>1653.9299999999998</v>
      </c>
      <c r="G29" s="317">
        <f>D29+F29-E29</f>
        <v>203191.19999999998</v>
      </c>
    </row>
    <row r="30" spans="1:7" x14ac:dyDescent="0.25">
      <c r="A30">
        <v>5510000</v>
      </c>
      <c r="B30" t="s">
        <v>46</v>
      </c>
      <c r="E30" s="315">
        <v>3430758.14</v>
      </c>
      <c r="F30" s="315">
        <v>711.98</v>
      </c>
    </row>
    <row r="31" spans="1:7" x14ac:dyDescent="0.25">
      <c r="A31">
        <v>1420000</v>
      </c>
      <c r="B31" t="s">
        <v>108</v>
      </c>
      <c r="E31" s="318">
        <v>40480.32</v>
      </c>
    </row>
    <row r="32" spans="1:7" s="184" customFormat="1" x14ac:dyDescent="0.25">
      <c r="A32" s="184">
        <v>1000000</v>
      </c>
      <c r="B32" s="184" t="s">
        <v>111</v>
      </c>
      <c r="C32" s="315"/>
      <c r="D32" s="315"/>
      <c r="E32" s="315">
        <v>157224</v>
      </c>
      <c r="F32" s="315"/>
      <c r="G32" s="317">
        <f>F14-E32</f>
        <v>-7105.6700000000128</v>
      </c>
    </row>
    <row r="33" spans="1:7" s="184" customFormat="1" x14ac:dyDescent="0.25">
      <c r="A33" s="184">
        <v>1210000</v>
      </c>
      <c r="B33" s="184" t="s">
        <v>113</v>
      </c>
      <c r="C33" s="315"/>
      <c r="D33" s="315"/>
      <c r="E33" s="315">
        <v>1574681.77</v>
      </c>
      <c r="F33" s="315">
        <v>6845154.8200000003</v>
      </c>
      <c r="G33" s="317"/>
    </row>
    <row r="34" spans="1:7" s="184" customFormat="1" x14ac:dyDescent="0.25">
      <c r="A34" s="184">
        <v>1200000</v>
      </c>
      <c r="B34" s="184" t="s">
        <v>114</v>
      </c>
      <c r="C34" s="315"/>
      <c r="D34" s="315"/>
      <c r="E34" s="315">
        <v>5869429.29</v>
      </c>
      <c r="F34" s="315"/>
    </row>
    <row r="35" spans="1:7" s="184" customFormat="1" x14ac:dyDescent="0.25">
      <c r="B35" s="184" t="s">
        <v>115</v>
      </c>
      <c r="C35" s="315"/>
      <c r="D35" s="315"/>
      <c r="E35" s="315"/>
      <c r="F35" s="315"/>
    </row>
    <row r="37" spans="1:7" x14ac:dyDescent="0.25">
      <c r="C37" s="315">
        <f>SUM(C5:C35)</f>
        <v>1717428.37</v>
      </c>
      <c r="D37" s="315">
        <f>SUM(D5:D35)</f>
        <v>1717428.3699999996</v>
      </c>
    </row>
    <row r="38" spans="1:7" x14ac:dyDescent="0.25">
      <c r="D38" s="315">
        <f>C37-D37</f>
        <v>0</v>
      </c>
    </row>
    <row r="40" spans="1:7" x14ac:dyDescent="0.25">
      <c r="A40">
        <v>6000100</v>
      </c>
      <c r="E40" s="315">
        <v>38488.67</v>
      </c>
      <c r="F40" s="315">
        <v>2563215.1899999962</v>
      </c>
    </row>
    <row r="41" spans="1:7" x14ac:dyDescent="0.25">
      <c r="A41">
        <v>6201698</v>
      </c>
      <c r="E41" s="315">
        <v>85000</v>
      </c>
      <c r="F41" s="315">
        <v>0</v>
      </c>
    </row>
    <row r="42" spans="1:7" x14ac:dyDescent="0.25">
      <c r="A42">
        <v>6221602</v>
      </c>
      <c r="F42" s="315">
        <v>986</v>
      </c>
    </row>
    <row r="43" spans="1:7" x14ac:dyDescent="0.25">
      <c r="A43">
        <v>6235200</v>
      </c>
      <c r="F43" s="315">
        <v>6014</v>
      </c>
    </row>
    <row r="44" spans="1:7" x14ac:dyDescent="0.25">
      <c r="A44">
        <v>6240000</v>
      </c>
      <c r="F44" s="315">
        <v>193083.56</v>
      </c>
    </row>
    <row r="45" spans="1:7" x14ac:dyDescent="0.25">
      <c r="A45">
        <v>6241900</v>
      </c>
      <c r="E45" s="315">
        <v>11000</v>
      </c>
    </row>
    <row r="46" spans="1:7" x14ac:dyDescent="0.25">
      <c r="A46">
        <v>6241900</v>
      </c>
      <c r="F46" s="315">
        <v>5456</v>
      </c>
    </row>
    <row r="47" spans="1:7" x14ac:dyDescent="0.25">
      <c r="A47">
        <v>6241901</v>
      </c>
      <c r="E47" s="315">
        <v>507774.32</v>
      </c>
      <c r="F47" s="315">
        <v>639003.87</v>
      </c>
    </row>
    <row r="48" spans="1:7" x14ac:dyDescent="0.25">
      <c r="A48">
        <v>6241910</v>
      </c>
      <c r="F48" s="315">
        <v>74637.429999999993</v>
      </c>
    </row>
    <row r="49" spans="1:6" x14ac:dyDescent="0.25">
      <c r="A49">
        <v>6270404</v>
      </c>
      <c r="F49" s="315">
        <v>26000</v>
      </c>
    </row>
    <row r="50" spans="1:6" x14ac:dyDescent="0.25">
      <c r="A50">
        <v>6270411</v>
      </c>
      <c r="E50" s="315">
        <v>5488.38</v>
      </c>
    </row>
    <row r="51" spans="1:6" x14ac:dyDescent="0.25">
      <c r="A51">
        <v>6291202</v>
      </c>
      <c r="E51" s="315">
        <v>10030.299999999999</v>
      </c>
      <c r="F51" s="315">
        <v>10030.299999999999</v>
      </c>
    </row>
    <row r="52" spans="1:6" x14ac:dyDescent="0.25">
      <c r="A52">
        <v>6295100</v>
      </c>
      <c r="F52" s="315">
        <v>15019.75</v>
      </c>
    </row>
    <row r="53" spans="1:6" x14ac:dyDescent="0.25">
      <c r="A53">
        <v>6295101</v>
      </c>
      <c r="F53" s="315">
        <v>3468.63</v>
      </c>
    </row>
    <row r="54" spans="1:6" x14ac:dyDescent="0.25">
      <c r="A54">
        <v>6299603</v>
      </c>
      <c r="E54" s="315">
        <v>29000</v>
      </c>
    </row>
    <row r="55" spans="1:6" x14ac:dyDescent="0.25">
      <c r="A55">
        <v>6299603</v>
      </c>
      <c r="E55" s="315">
        <v>34000</v>
      </c>
    </row>
    <row r="56" spans="1:6" x14ac:dyDescent="0.25">
      <c r="A56">
        <v>6299700</v>
      </c>
      <c r="F56" s="315">
        <v>5289.52</v>
      </c>
    </row>
    <row r="57" spans="1:6" x14ac:dyDescent="0.25">
      <c r="A57">
        <v>6299900</v>
      </c>
      <c r="F57" s="315">
        <v>55000</v>
      </c>
    </row>
    <row r="58" spans="1:6" x14ac:dyDescent="0.25">
      <c r="A58">
        <v>6299900</v>
      </c>
      <c r="F58" s="315">
        <v>68000</v>
      </c>
    </row>
    <row r="59" spans="1:6" x14ac:dyDescent="0.25">
      <c r="A59">
        <v>6299900</v>
      </c>
      <c r="F59" s="315">
        <v>10000</v>
      </c>
    </row>
    <row r="60" spans="1:6" x14ac:dyDescent="0.25">
      <c r="A60">
        <v>6299900</v>
      </c>
      <c r="F60" s="315">
        <v>8000</v>
      </c>
    </row>
    <row r="61" spans="1:6" x14ac:dyDescent="0.25">
      <c r="A61">
        <v>6299900</v>
      </c>
      <c r="E61" s="315">
        <v>17000</v>
      </c>
    </row>
    <row r="62" spans="1:6" x14ac:dyDescent="0.25">
      <c r="A62">
        <v>6400000</v>
      </c>
      <c r="F62" s="315">
        <v>5000</v>
      </c>
    </row>
    <row r="63" spans="1:6" x14ac:dyDescent="0.25">
      <c r="A63">
        <v>6400011</v>
      </c>
      <c r="F63" s="315">
        <v>70365</v>
      </c>
    </row>
    <row r="64" spans="1:6" x14ac:dyDescent="0.25">
      <c r="A64">
        <v>6410000</v>
      </c>
      <c r="F64" s="315">
        <v>40480.14</v>
      </c>
    </row>
    <row r="65" spans="1:9" x14ac:dyDescent="0.25">
      <c r="A65">
        <v>6684000</v>
      </c>
      <c r="E65" s="315">
        <v>952.58</v>
      </c>
    </row>
    <row r="66" spans="1:9" x14ac:dyDescent="0.25">
      <c r="A66">
        <v>6684100</v>
      </c>
      <c r="E66" s="315">
        <v>12000</v>
      </c>
    </row>
    <row r="67" spans="1:9" x14ac:dyDescent="0.25">
      <c r="A67">
        <v>6684100</v>
      </c>
      <c r="F67" s="315">
        <v>0.18</v>
      </c>
    </row>
    <row r="68" spans="1:9" x14ac:dyDescent="0.25">
      <c r="A68">
        <v>6810201</v>
      </c>
      <c r="F68" s="315">
        <v>6615.8899999999994</v>
      </c>
    </row>
    <row r="69" spans="1:9" x14ac:dyDescent="0.25">
      <c r="A69">
        <v>6940000</v>
      </c>
      <c r="F69" s="315">
        <v>115656</v>
      </c>
    </row>
    <row r="70" spans="1:9" x14ac:dyDescent="0.25">
      <c r="A70">
        <v>7000020</v>
      </c>
      <c r="E70" s="315">
        <v>2563215.1899999962</v>
      </c>
    </row>
    <row r="71" spans="1:9" x14ac:dyDescent="0.25">
      <c r="A71">
        <v>7004000</v>
      </c>
      <c r="E71" s="315">
        <v>195994.27</v>
      </c>
    </row>
    <row r="72" spans="1:9" x14ac:dyDescent="0.25">
      <c r="A72">
        <v>7100000</v>
      </c>
      <c r="F72" s="315">
        <v>235951</v>
      </c>
    </row>
    <row r="73" spans="1:9" x14ac:dyDescent="0.25">
      <c r="A73">
        <v>7590000</v>
      </c>
      <c r="E73" s="315">
        <v>242232.32000000001</v>
      </c>
      <c r="F73" s="315">
        <v>195994.27</v>
      </c>
      <c r="H73" s="317"/>
    </row>
    <row r="74" spans="1:9" x14ac:dyDescent="0.25">
      <c r="A74">
        <v>7684000</v>
      </c>
      <c r="F74" s="315">
        <v>194.01</v>
      </c>
      <c r="H74" s="317">
        <f>H75-E21</f>
        <v>22709.410000000022</v>
      </c>
    </row>
    <row r="75" spans="1:9" x14ac:dyDescent="0.25">
      <c r="B75" s="319" t="s">
        <v>464</v>
      </c>
      <c r="E75" s="315">
        <v>135436.32999999999</v>
      </c>
      <c r="H75" s="317">
        <f>F77-E75</f>
        <v>32221.180000000022</v>
      </c>
    </row>
    <row r="76" spans="1:9" x14ac:dyDescent="0.25">
      <c r="B76" s="320" t="s">
        <v>528</v>
      </c>
      <c r="E76" s="315">
        <v>73828.14</v>
      </c>
    </row>
    <row r="77" spans="1:9" x14ac:dyDescent="0.25">
      <c r="B77" s="319" t="s">
        <v>529</v>
      </c>
      <c r="F77" s="315">
        <v>167657.51</v>
      </c>
      <c r="I77" s="352"/>
    </row>
    <row r="78" spans="1:9" x14ac:dyDescent="0.25">
      <c r="B78" s="319" t="s">
        <v>525</v>
      </c>
      <c r="I78" s="317"/>
    </row>
    <row r="79" spans="1:9" x14ac:dyDescent="0.25">
      <c r="B79" s="319"/>
      <c r="E79" s="315">
        <f>SUM(E5:E77)</f>
        <v>20056784.769999996</v>
      </c>
      <c r="F79" s="315">
        <f>SUM(F5:F77)</f>
        <v>20056784.77</v>
      </c>
    </row>
    <row r="80" spans="1:9" x14ac:dyDescent="0.25">
      <c r="F80" s="315">
        <f>F79-E79</f>
        <v>0</v>
      </c>
    </row>
    <row r="81" spans="6:6" x14ac:dyDescent="0.25">
      <c r="F81" s="315">
        <f>E78-F35+E35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O92"/>
  <sheetViews>
    <sheetView topLeftCell="A13" workbookViewId="0">
      <selection activeCell="F25" sqref="F25"/>
    </sheetView>
  </sheetViews>
  <sheetFormatPr baseColWidth="10" defaultRowHeight="15" x14ac:dyDescent="0.25"/>
  <cols>
    <col min="1" max="1" width="11.42578125" style="184"/>
    <col min="2" max="2" width="42.7109375" style="184" bestFit="1" customWidth="1"/>
    <col min="3" max="4" width="13.140625" style="268" customWidth="1"/>
    <col min="5" max="5" width="14.85546875" style="268" customWidth="1"/>
    <col min="6" max="6" width="14.140625" style="268" bestFit="1" customWidth="1"/>
    <col min="7" max="7" width="12.28515625" style="184" hidden="1" customWidth="1"/>
    <col min="8" max="9" width="0" style="184" hidden="1" customWidth="1"/>
    <col min="10" max="12" width="13.140625" style="184" bestFit="1" customWidth="1"/>
    <col min="13" max="13" width="11.42578125" style="184"/>
    <col min="14" max="15" width="13.140625" style="184" bestFit="1" customWidth="1"/>
    <col min="16" max="16384" width="11.42578125" style="184"/>
  </cols>
  <sheetData>
    <row r="3" spans="1:12" ht="15.75" thickBot="1" x14ac:dyDescent="0.3">
      <c r="C3" s="337">
        <v>2017</v>
      </c>
      <c r="D3" s="337"/>
      <c r="E3" s="337">
        <v>2018</v>
      </c>
    </row>
    <row r="4" spans="1:12" ht="15.75" thickBot="1" x14ac:dyDescent="0.3">
      <c r="A4" s="333" t="s">
        <v>161</v>
      </c>
      <c r="B4" s="334" t="s">
        <v>162</v>
      </c>
      <c r="C4" s="338" t="s">
        <v>137</v>
      </c>
      <c r="D4" s="338" t="s">
        <v>138</v>
      </c>
      <c r="E4" s="339" t="s">
        <v>137</v>
      </c>
      <c r="F4" s="340" t="s">
        <v>138</v>
      </c>
    </row>
    <row r="5" spans="1:12" x14ac:dyDescent="0.25">
      <c r="A5" s="327"/>
      <c r="B5" s="328"/>
      <c r="C5" s="325"/>
      <c r="D5" s="325"/>
      <c r="E5" s="321"/>
      <c r="F5" s="322"/>
    </row>
    <row r="6" spans="1:12" x14ac:dyDescent="0.25">
      <c r="A6" s="327">
        <v>4330001</v>
      </c>
      <c r="B6" s="328" t="s">
        <v>27</v>
      </c>
      <c r="C6" s="325"/>
      <c r="D6" s="325"/>
      <c r="E6" s="321">
        <v>194.01</v>
      </c>
      <c r="F6" s="322"/>
    </row>
    <row r="7" spans="1:12" x14ac:dyDescent="0.25">
      <c r="A7" s="327">
        <v>4330002</v>
      </c>
      <c r="B7" s="328" t="s">
        <v>28</v>
      </c>
      <c r="C7" s="325"/>
      <c r="D7" s="325"/>
      <c r="E7" s="321"/>
      <c r="F7" s="322"/>
    </row>
    <row r="8" spans="1:12" x14ac:dyDescent="0.25">
      <c r="A8" s="327">
        <v>4900000</v>
      </c>
      <c r="B8" s="328" t="s">
        <v>29</v>
      </c>
      <c r="C8" s="325"/>
      <c r="D8" s="325"/>
      <c r="E8" s="321">
        <v>115656.41999999998</v>
      </c>
      <c r="F8" s="322"/>
    </row>
    <row r="9" spans="1:12" x14ac:dyDescent="0.25">
      <c r="A9" s="327">
        <v>4800000</v>
      </c>
      <c r="B9" s="328" t="s">
        <v>44</v>
      </c>
      <c r="C9" s="325">
        <v>164000</v>
      </c>
      <c r="D9" s="325"/>
      <c r="E9" s="321"/>
      <c r="F9" s="322"/>
    </row>
    <row r="10" spans="1:12" x14ac:dyDescent="0.25">
      <c r="A10" s="327">
        <v>5430000</v>
      </c>
      <c r="B10" s="328" t="s">
        <v>45</v>
      </c>
      <c r="C10" s="325"/>
      <c r="D10" s="325"/>
      <c r="E10" s="321"/>
      <c r="F10" s="322"/>
    </row>
    <row r="11" spans="1:12" x14ac:dyDescent="0.25">
      <c r="A11" s="327">
        <v>3100000</v>
      </c>
      <c r="B11" s="328" t="s">
        <v>48</v>
      </c>
      <c r="C11" s="325"/>
      <c r="D11" s="325">
        <v>21952.68</v>
      </c>
      <c r="E11" s="321"/>
      <c r="F11" s="322"/>
    </row>
    <row r="12" spans="1:12" x14ac:dyDescent="0.25">
      <c r="A12" s="327">
        <v>3500000</v>
      </c>
      <c r="B12" s="328" t="s">
        <v>50</v>
      </c>
      <c r="C12" s="325"/>
      <c r="D12" s="325">
        <v>612225</v>
      </c>
      <c r="E12" s="321">
        <f>235951-85000</f>
        <v>150951</v>
      </c>
      <c r="F12" s="322"/>
      <c r="J12" s="317">
        <f>D12-E12</f>
        <v>461274</v>
      </c>
    </row>
    <row r="13" spans="1:12" x14ac:dyDescent="0.25">
      <c r="A13" s="327">
        <v>3500001</v>
      </c>
      <c r="B13" s="328" t="s">
        <v>52</v>
      </c>
      <c r="C13" s="325"/>
      <c r="D13" s="325"/>
      <c r="E13" s="321"/>
      <c r="F13" s="322">
        <v>507774.32</v>
      </c>
      <c r="G13" s="317"/>
    </row>
    <row r="14" spans="1:12" x14ac:dyDescent="0.25">
      <c r="A14" s="327">
        <v>1603002</v>
      </c>
      <c r="B14" s="328" t="s">
        <v>54</v>
      </c>
      <c r="C14" s="325"/>
      <c r="D14" s="325"/>
      <c r="E14" s="321"/>
      <c r="F14" s="322">
        <f>150118.33-150118.33</f>
        <v>0</v>
      </c>
    </row>
    <row r="15" spans="1:12" x14ac:dyDescent="0.25">
      <c r="A15" s="327">
        <v>2170001</v>
      </c>
      <c r="B15" s="328" t="s">
        <v>57</v>
      </c>
      <c r="C15" s="326">
        <v>17468</v>
      </c>
      <c r="D15" s="325"/>
      <c r="E15" s="321"/>
      <c r="F15" s="323">
        <v>2763</v>
      </c>
      <c r="J15" s="352">
        <f t="shared" ref="J15:J20" si="0">C15-F15</f>
        <v>14705</v>
      </c>
      <c r="K15" s="317">
        <f>D15-E15</f>
        <v>0</v>
      </c>
      <c r="L15" s="317">
        <f>J15-K15</f>
        <v>14705</v>
      </c>
    </row>
    <row r="16" spans="1:12" x14ac:dyDescent="0.25">
      <c r="A16" s="327">
        <v>2130001</v>
      </c>
      <c r="B16" s="328" t="s">
        <v>60</v>
      </c>
      <c r="C16" s="326">
        <v>141130.45000000001</v>
      </c>
      <c r="D16" s="325"/>
      <c r="E16" s="321"/>
      <c r="F16" s="323">
        <v>17863</v>
      </c>
      <c r="J16" s="352">
        <f t="shared" si="0"/>
        <v>123267.45000000001</v>
      </c>
      <c r="K16" s="317">
        <f>D16-E16</f>
        <v>0</v>
      </c>
    </row>
    <row r="17" spans="1:15" x14ac:dyDescent="0.25">
      <c r="A17" s="327">
        <v>2110001</v>
      </c>
      <c r="B17" s="328" t="s">
        <v>61</v>
      </c>
      <c r="C17" s="325"/>
      <c r="D17" s="326">
        <f>53743.16-5395.33</f>
        <v>48347.83</v>
      </c>
      <c r="E17" s="324">
        <v>5289.52</v>
      </c>
      <c r="F17" s="322"/>
      <c r="J17" s="352">
        <f t="shared" si="0"/>
        <v>0</v>
      </c>
      <c r="K17" s="317">
        <f>D17-E17</f>
        <v>43058.31</v>
      </c>
    </row>
    <row r="18" spans="1:15" x14ac:dyDescent="0.25">
      <c r="A18" s="327">
        <v>2120001</v>
      </c>
      <c r="B18" s="328" t="s">
        <v>63</v>
      </c>
      <c r="C18" s="326">
        <v>169139.87</v>
      </c>
      <c r="D18" s="325"/>
      <c r="E18" s="321"/>
      <c r="F18" s="322"/>
      <c r="J18" s="352">
        <f t="shared" si="0"/>
        <v>169139.87</v>
      </c>
      <c r="K18" s="317">
        <f>D18-E18</f>
        <v>0</v>
      </c>
    </row>
    <row r="19" spans="1:15" x14ac:dyDescent="0.25">
      <c r="A19" s="327">
        <v>2813001</v>
      </c>
      <c r="B19" s="328" t="s">
        <v>67</v>
      </c>
      <c r="C19" s="326">
        <v>846532.08</v>
      </c>
      <c r="D19" s="325"/>
      <c r="E19" s="324">
        <v>6615.6999999999989</v>
      </c>
      <c r="F19" s="322"/>
      <c r="J19" s="352">
        <f t="shared" si="0"/>
        <v>846532.08</v>
      </c>
      <c r="K19" s="317">
        <f>D19-E19</f>
        <v>-6615.6999999999989</v>
      </c>
      <c r="L19" s="317">
        <f>J19+K19</f>
        <v>839916.38</v>
      </c>
      <c r="N19" s="352">
        <f>SUM(C15:C19)</f>
        <v>1174270.3999999999</v>
      </c>
      <c r="O19" s="317">
        <f>N19-D17</f>
        <v>1125922.5699999998</v>
      </c>
    </row>
    <row r="20" spans="1:15" x14ac:dyDescent="0.25">
      <c r="A20" s="327">
        <v>4740001</v>
      </c>
      <c r="B20" s="328" t="s">
        <v>519</v>
      </c>
      <c r="C20" s="325"/>
      <c r="D20" s="325"/>
      <c r="E20" s="321">
        <v>157537.43</v>
      </c>
      <c r="F20" s="322"/>
      <c r="J20" s="352">
        <f t="shared" si="0"/>
        <v>0</v>
      </c>
      <c r="K20" s="317"/>
    </row>
    <row r="21" spans="1:15" x14ac:dyDescent="0.25">
      <c r="A21" s="327">
        <v>4100000</v>
      </c>
      <c r="B21" s="328" t="s">
        <v>86</v>
      </c>
      <c r="C21" s="325"/>
      <c r="D21" s="325">
        <v>158598.45000000001</v>
      </c>
      <c r="E21" s="321">
        <f>+F15+F16</f>
        <v>20626</v>
      </c>
      <c r="F21" s="322"/>
      <c r="J21" s="317">
        <f>D21+D22-E21-E22</f>
        <v>331655.45</v>
      </c>
    </row>
    <row r="22" spans="1:15" x14ac:dyDescent="0.25">
      <c r="A22" s="327">
        <v>4104000</v>
      </c>
      <c r="B22" s="328" t="s">
        <v>87</v>
      </c>
      <c r="C22" s="325"/>
      <c r="D22" s="325">
        <f>251978.73+33510.36</f>
        <v>285489.09000000003</v>
      </c>
      <c r="E22" s="321">
        <f>146060.73+33510.36-87765</f>
        <v>91806.090000000026</v>
      </c>
      <c r="F22" s="322"/>
    </row>
    <row r="23" spans="1:15" x14ac:dyDescent="0.25">
      <c r="A23" s="327">
        <v>4100003</v>
      </c>
      <c r="B23" s="328" t="s">
        <v>81</v>
      </c>
      <c r="C23" s="325"/>
      <c r="D23" s="325"/>
      <c r="E23" s="321"/>
      <c r="F23" s="322"/>
      <c r="G23" s="317">
        <f>E23-F10</f>
        <v>0</v>
      </c>
    </row>
    <row r="24" spans="1:15" x14ac:dyDescent="0.25">
      <c r="A24" s="327">
        <v>5510000</v>
      </c>
      <c r="B24" s="328" t="s">
        <v>46</v>
      </c>
      <c r="C24" s="325"/>
      <c r="D24" s="325"/>
      <c r="E24" s="321"/>
      <c r="F24" s="322"/>
    </row>
    <row r="25" spans="1:15" x14ac:dyDescent="0.25">
      <c r="A25" s="327">
        <v>4030000</v>
      </c>
      <c r="B25" s="328" t="s">
        <v>83</v>
      </c>
      <c r="C25" s="325"/>
      <c r="D25" s="325"/>
      <c r="E25" s="321"/>
      <c r="F25" s="322"/>
    </row>
    <row r="26" spans="1:15" x14ac:dyDescent="0.25">
      <c r="A26" s="327">
        <v>4030001</v>
      </c>
      <c r="B26" s="328" t="s">
        <v>82</v>
      </c>
      <c r="C26" s="325"/>
      <c r="D26" s="325"/>
      <c r="E26" s="321"/>
      <c r="F26" s="322">
        <v>952.12</v>
      </c>
    </row>
    <row r="27" spans="1:15" x14ac:dyDescent="0.25">
      <c r="A27" s="327">
        <v>4650009</v>
      </c>
      <c r="B27" s="328" t="s">
        <v>98</v>
      </c>
      <c r="C27" s="325"/>
      <c r="D27" s="325"/>
      <c r="E27" s="321"/>
      <c r="F27" s="322">
        <v>29000</v>
      </c>
    </row>
    <row r="28" spans="1:15" x14ac:dyDescent="0.25">
      <c r="A28" s="327">
        <v>4751007</v>
      </c>
      <c r="B28" s="328" t="s">
        <v>492</v>
      </c>
      <c r="C28" s="325"/>
      <c r="D28" s="325"/>
      <c r="E28" s="321"/>
      <c r="F28" s="322">
        <v>73828.14</v>
      </c>
    </row>
    <row r="29" spans="1:15" x14ac:dyDescent="0.25">
      <c r="A29" s="327">
        <v>4790000</v>
      </c>
      <c r="B29" s="328" t="s">
        <v>340</v>
      </c>
      <c r="C29" s="325"/>
      <c r="D29" s="325">
        <v>211657.34999999998</v>
      </c>
      <c r="E29" s="321">
        <f>10120.08-1653.93</f>
        <v>8466.15</v>
      </c>
      <c r="F29" s="322"/>
      <c r="J29" s="317">
        <f>D29-E29</f>
        <v>203191.19999999998</v>
      </c>
    </row>
    <row r="30" spans="1:15" x14ac:dyDescent="0.25">
      <c r="A30" s="327">
        <v>5510000</v>
      </c>
      <c r="B30" s="328" t="s">
        <v>46</v>
      </c>
      <c r="C30" s="325"/>
      <c r="D30" s="325"/>
      <c r="E30" s="321"/>
      <c r="F30" s="323">
        <v>711.98</v>
      </c>
    </row>
    <row r="31" spans="1:15" x14ac:dyDescent="0.25">
      <c r="A31" s="327">
        <v>1420000</v>
      </c>
      <c r="B31" s="328" t="s">
        <v>108</v>
      </c>
      <c r="C31" s="325"/>
      <c r="D31" s="325"/>
      <c r="E31" s="321">
        <v>40480.32</v>
      </c>
      <c r="F31" s="322"/>
    </row>
    <row r="32" spans="1:15" x14ac:dyDescent="0.25">
      <c r="A32" s="327">
        <v>1000000</v>
      </c>
      <c r="B32" s="328" t="s">
        <v>111</v>
      </c>
      <c r="C32" s="325"/>
      <c r="D32" s="325"/>
      <c r="E32" s="321">
        <f>157224-150118.33</f>
        <v>7105.6700000000128</v>
      </c>
      <c r="F32" s="322"/>
      <c r="G32" s="317"/>
    </row>
    <row r="33" spans="1:12" x14ac:dyDescent="0.25">
      <c r="A33" s="327">
        <v>1210000</v>
      </c>
      <c r="B33" s="328" t="s">
        <v>113</v>
      </c>
      <c r="C33" s="325"/>
      <c r="D33" s="325"/>
      <c r="E33" s="321"/>
      <c r="F33" s="322">
        <f>6845154.82-1574681.77</f>
        <v>5270473.0500000007</v>
      </c>
      <c r="G33" s="317"/>
      <c r="J33" s="317">
        <f>E34-F33</f>
        <v>598956.23999999929</v>
      </c>
      <c r="K33" s="317">
        <f>L37-J33</f>
        <v>-28164.250000000931</v>
      </c>
    </row>
    <row r="34" spans="1:12" x14ac:dyDescent="0.25">
      <c r="A34" s="327">
        <v>1200000</v>
      </c>
      <c r="B34" s="328" t="s">
        <v>114</v>
      </c>
      <c r="C34" s="325"/>
      <c r="D34" s="325"/>
      <c r="E34" s="321">
        <v>5869429.29</v>
      </c>
      <c r="F34" s="322"/>
    </row>
    <row r="35" spans="1:12" x14ac:dyDescent="0.25">
      <c r="A35" s="327"/>
      <c r="B35" s="328" t="s">
        <v>115</v>
      </c>
      <c r="C35" s="325"/>
      <c r="D35" s="325"/>
      <c r="E35" s="321"/>
      <c r="F35" s="322"/>
    </row>
    <row r="36" spans="1:12" x14ac:dyDescent="0.25">
      <c r="A36" s="327"/>
      <c r="B36" s="328"/>
      <c r="C36" s="325"/>
      <c r="D36" s="325"/>
      <c r="E36" s="321"/>
      <c r="F36" s="322"/>
    </row>
    <row r="37" spans="1:12" ht="15.75" thickBot="1" x14ac:dyDescent="0.3">
      <c r="A37" s="327"/>
      <c r="B37" s="328"/>
      <c r="C37" s="341">
        <f>SUM(C5:C35)</f>
        <v>1338270.3999999999</v>
      </c>
      <c r="D37" s="341">
        <f>SUM(D5:D35)</f>
        <v>1338270.3999999999</v>
      </c>
      <c r="E37" s="341">
        <f>SUM(E5:E35)</f>
        <v>6474157.5999999996</v>
      </c>
      <c r="F37" s="341">
        <f>SUM(F5:F35)</f>
        <v>5903365.6100000013</v>
      </c>
      <c r="J37" s="317">
        <f>C37+E37</f>
        <v>7812428</v>
      </c>
      <c r="K37" s="317">
        <f>D37+F37</f>
        <v>7241636.0100000016</v>
      </c>
      <c r="L37" s="317">
        <f>J37-K37</f>
        <v>570791.98999999836</v>
      </c>
    </row>
    <row r="38" spans="1:12" x14ac:dyDescent="0.25">
      <c r="A38" s="327"/>
      <c r="B38" s="328"/>
      <c r="D38" s="268">
        <f>C37-D37</f>
        <v>0</v>
      </c>
      <c r="E38" s="321"/>
      <c r="F38" s="322"/>
    </row>
    <row r="39" spans="1:12" x14ac:dyDescent="0.25">
      <c r="A39" s="327"/>
      <c r="B39" s="328"/>
      <c r="E39" s="321"/>
      <c r="F39" s="322"/>
      <c r="J39" s="184" t="s">
        <v>591</v>
      </c>
    </row>
    <row r="40" spans="1:12" x14ac:dyDescent="0.25">
      <c r="A40" s="327">
        <v>6000100</v>
      </c>
      <c r="B40" s="328" t="s">
        <v>531</v>
      </c>
      <c r="E40" s="321">
        <f>13000</f>
        <v>13000</v>
      </c>
      <c r="F40" s="322"/>
      <c r="H40" s="184">
        <v>6000100</v>
      </c>
      <c r="I40" s="184">
        <f>A40-H40</f>
        <v>0</v>
      </c>
    </row>
    <row r="41" spans="1:12" x14ac:dyDescent="0.25">
      <c r="A41" s="327">
        <v>6201698</v>
      </c>
      <c r="B41" s="328" t="s">
        <v>532</v>
      </c>
      <c r="E41" s="321">
        <v>85000</v>
      </c>
      <c r="F41" s="322">
        <v>0</v>
      </c>
      <c r="H41" s="184">
        <v>6201698</v>
      </c>
      <c r="I41" s="184">
        <f t="shared" ref="I41:I83" si="1">A41-H41</f>
        <v>0</v>
      </c>
      <c r="J41" s="335" t="s">
        <v>566</v>
      </c>
    </row>
    <row r="42" spans="1:12" x14ac:dyDescent="0.25">
      <c r="A42" s="327">
        <v>6221602</v>
      </c>
      <c r="B42" s="328" t="s">
        <v>533</v>
      </c>
      <c r="E42" s="321"/>
      <c r="F42" s="322">
        <v>986</v>
      </c>
      <c r="H42" s="184">
        <v>6221602</v>
      </c>
      <c r="I42" s="184">
        <f t="shared" si="1"/>
        <v>0</v>
      </c>
      <c r="J42" s="335" t="s">
        <v>569</v>
      </c>
      <c r="K42" s="184" t="s">
        <v>570</v>
      </c>
    </row>
    <row r="43" spans="1:12" x14ac:dyDescent="0.25">
      <c r="A43" s="327">
        <v>6235200</v>
      </c>
      <c r="B43" s="328" t="s">
        <v>534</v>
      </c>
      <c r="E43" s="321"/>
      <c r="F43" s="322">
        <v>6014</v>
      </c>
      <c r="H43" s="184">
        <v>6235200</v>
      </c>
      <c r="I43" s="184">
        <f t="shared" si="1"/>
        <v>0</v>
      </c>
      <c r="J43" s="335" t="s">
        <v>569</v>
      </c>
      <c r="K43" s="184" t="s">
        <v>570</v>
      </c>
    </row>
    <row r="44" spans="1:12" x14ac:dyDescent="0.25">
      <c r="A44" s="327">
        <v>6240000</v>
      </c>
      <c r="B44" s="328" t="s">
        <v>558</v>
      </c>
      <c r="E44" s="321"/>
      <c r="F44" s="322">
        <v>167594.89000000001</v>
      </c>
      <c r="H44" s="184">
        <v>6240000</v>
      </c>
      <c r="I44" s="184">
        <f t="shared" si="1"/>
        <v>0</v>
      </c>
      <c r="J44" s="336" t="s">
        <v>579</v>
      </c>
    </row>
    <row r="45" spans="1:12" x14ac:dyDescent="0.25">
      <c r="A45" s="327">
        <v>6241900</v>
      </c>
      <c r="B45" s="328" t="s">
        <v>559</v>
      </c>
      <c r="E45" s="321">
        <v>11000</v>
      </c>
      <c r="F45" s="322"/>
      <c r="H45" s="184">
        <v>6241900</v>
      </c>
      <c r="I45" s="184">
        <f t="shared" si="1"/>
        <v>0</v>
      </c>
      <c r="J45" s="335" t="s">
        <v>571</v>
      </c>
    </row>
    <row r="46" spans="1:12" x14ac:dyDescent="0.25">
      <c r="A46" s="327">
        <v>6241900</v>
      </c>
      <c r="B46" s="328" t="s">
        <v>535</v>
      </c>
      <c r="E46" s="321"/>
      <c r="F46" s="322">
        <v>5456</v>
      </c>
      <c r="H46" s="184">
        <v>6241900</v>
      </c>
      <c r="I46" s="184">
        <f t="shared" si="1"/>
        <v>0</v>
      </c>
      <c r="J46" s="335" t="s">
        <v>571</v>
      </c>
      <c r="K46" s="184" t="s">
        <v>568</v>
      </c>
    </row>
    <row r="47" spans="1:12" x14ac:dyDescent="0.25">
      <c r="A47" s="327">
        <v>6241901</v>
      </c>
      <c r="B47" s="328" t="s">
        <v>536</v>
      </c>
      <c r="E47" s="321"/>
      <c r="F47" s="322">
        <f>639003.87-507774.32</f>
        <v>131229.54999999999</v>
      </c>
      <c r="H47" s="184">
        <v>6241901</v>
      </c>
      <c r="I47" s="184">
        <f t="shared" si="1"/>
        <v>0</v>
      </c>
      <c r="J47" s="335" t="s">
        <v>581</v>
      </c>
    </row>
    <row r="48" spans="1:12" x14ac:dyDescent="0.25">
      <c r="A48" s="327">
        <v>6241910</v>
      </c>
      <c r="B48" s="328" t="s">
        <v>537</v>
      </c>
      <c r="E48" s="321"/>
      <c r="F48" s="322">
        <v>74637.429999999993</v>
      </c>
      <c r="H48" s="184">
        <v>6241910</v>
      </c>
      <c r="I48" s="184">
        <f t="shared" si="1"/>
        <v>0</v>
      </c>
      <c r="J48" s="335" t="s">
        <v>583</v>
      </c>
      <c r="K48" s="184" t="s">
        <v>580</v>
      </c>
    </row>
    <row r="49" spans="1:11" x14ac:dyDescent="0.25">
      <c r="A49" s="327">
        <v>6270404</v>
      </c>
      <c r="B49" s="328" t="s">
        <v>538</v>
      </c>
      <c r="E49" s="321"/>
      <c r="F49" s="322">
        <v>26000</v>
      </c>
      <c r="H49" s="184">
        <v>6270404</v>
      </c>
      <c r="I49" s="184">
        <f t="shared" si="1"/>
        <v>0</v>
      </c>
      <c r="J49" s="335" t="s">
        <v>574</v>
      </c>
      <c r="K49" s="184" t="s">
        <v>575</v>
      </c>
    </row>
    <row r="50" spans="1:11" x14ac:dyDescent="0.25">
      <c r="A50" s="327">
        <v>6270411</v>
      </c>
      <c r="B50" s="328" t="s">
        <v>539</v>
      </c>
      <c r="E50" s="321">
        <v>5488.38</v>
      </c>
      <c r="F50" s="322"/>
      <c r="H50" s="184">
        <v>6270411</v>
      </c>
      <c r="I50" s="184">
        <f t="shared" si="1"/>
        <v>0</v>
      </c>
      <c r="J50" s="336" t="s">
        <v>581</v>
      </c>
      <c r="K50" s="184" t="s">
        <v>575</v>
      </c>
    </row>
    <row r="51" spans="1:11" x14ac:dyDescent="0.25">
      <c r="A51" s="327">
        <v>6291202</v>
      </c>
      <c r="B51" s="328" t="s">
        <v>540</v>
      </c>
      <c r="E51" s="321">
        <v>10030.299999999999</v>
      </c>
      <c r="F51" s="322"/>
      <c r="H51" s="184">
        <v>6291202</v>
      </c>
      <c r="I51" s="184">
        <f t="shared" si="1"/>
        <v>0</v>
      </c>
      <c r="J51" s="336" t="s">
        <v>579</v>
      </c>
      <c r="K51" s="184" t="s">
        <v>580</v>
      </c>
    </row>
    <row r="52" spans="1:11" x14ac:dyDescent="0.25">
      <c r="A52" s="327">
        <v>6291202</v>
      </c>
      <c r="B52" s="328" t="s">
        <v>540</v>
      </c>
      <c r="E52" s="321"/>
      <c r="F52" s="321">
        <v>10030.299999999999</v>
      </c>
      <c r="H52" s="184">
        <v>6291202</v>
      </c>
      <c r="I52" s="184">
        <f>A52-H52</f>
        <v>0</v>
      </c>
      <c r="J52" s="336" t="s">
        <v>577</v>
      </c>
      <c r="K52" s="184" t="s">
        <v>578</v>
      </c>
    </row>
    <row r="53" spans="1:11" x14ac:dyDescent="0.25">
      <c r="A53" s="327">
        <v>6295100</v>
      </c>
      <c r="B53" s="328" t="s">
        <v>541</v>
      </c>
      <c r="E53" s="321"/>
      <c r="F53" s="322">
        <v>5000</v>
      </c>
      <c r="J53" s="335" t="s">
        <v>569</v>
      </c>
      <c r="K53" s="184" t="s">
        <v>570</v>
      </c>
    </row>
    <row r="54" spans="1:11" x14ac:dyDescent="0.25">
      <c r="A54" s="327">
        <v>6295100</v>
      </c>
      <c r="B54" s="328" t="s">
        <v>541</v>
      </c>
      <c r="E54" s="321"/>
      <c r="F54" s="322">
        <f>15019.75-5000-2019.75</f>
        <v>8000</v>
      </c>
      <c r="H54" s="184">
        <v>6295100</v>
      </c>
      <c r="I54" s="184">
        <f t="shared" si="1"/>
        <v>0</v>
      </c>
      <c r="J54" s="336" t="s">
        <v>572</v>
      </c>
      <c r="K54" s="184" t="s">
        <v>573</v>
      </c>
    </row>
    <row r="55" spans="1:11" x14ac:dyDescent="0.25">
      <c r="A55" s="327">
        <v>6295100</v>
      </c>
      <c r="B55" s="328" t="s">
        <v>541</v>
      </c>
      <c r="E55" s="321"/>
      <c r="F55" s="322">
        <v>2019.75</v>
      </c>
      <c r="J55" s="336" t="s">
        <v>567</v>
      </c>
      <c r="K55" s="184" t="s">
        <v>578</v>
      </c>
    </row>
    <row r="56" spans="1:11" x14ac:dyDescent="0.25">
      <c r="A56" s="327">
        <v>6295101</v>
      </c>
      <c r="B56" s="328" t="s">
        <v>541</v>
      </c>
      <c r="E56" s="321"/>
      <c r="F56" s="322">
        <v>3468.63</v>
      </c>
      <c r="H56" s="184">
        <v>6295101</v>
      </c>
      <c r="I56" s="184">
        <f t="shared" si="1"/>
        <v>0</v>
      </c>
      <c r="J56" s="335" t="s">
        <v>567</v>
      </c>
      <c r="K56" s="184" t="s">
        <v>578</v>
      </c>
    </row>
    <row r="57" spans="1:11" x14ac:dyDescent="0.25">
      <c r="A57" s="327">
        <v>6299603</v>
      </c>
      <c r="B57" s="328" t="s">
        <v>542</v>
      </c>
      <c r="E57" s="321">
        <v>29000</v>
      </c>
      <c r="F57" s="322"/>
      <c r="H57" s="184">
        <v>6299603</v>
      </c>
      <c r="I57" s="184">
        <f t="shared" si="1"/>
        <v>0</v>
      </c>
      <c r="J57" s="336" t="s">
        <v>566</v>
      </c>
      <c r="K57" s="184" t="s">
        <v>576</v>
      </c>
    </row>
    <row r="58" spans="1:11" x14ac:dyDescent="0.25">
      <c r="A58" s="327">
        <v>6299603</v>
      </c>
      <c r="B58" s="328" t="s">
        <v>543</v>
      </c>
      <c r="E58" s="321">
        <v>34000</v>
      </c>
      <c r="F58" s="322"/>
      <c r="H58" s="184">
        <v>6299603</v>
      </c>
      <c r="I58" s="184">
        <f t="shared" si="1"/>
        <v>0</v>
      </c>
      <c r="J58" s="336" t="s">
        <v>566</v>
      </c>
      <c r="K58" s="184" t="s">
        <v>576</v>
      </c>
    </row>
    <row r="59" spans="1:11" x14ac:dyDescent="0.25">
      <c r="A59" s="327">
        <v>6299700</v>
      </c>
      <c r="B59" s="328" t="s">
        <v>554</v>
      </c>
      <c r="E59" s="321"/>
      <c r="F59" s="322">
        <v>5289.52</v>
      </c>
      <c r="H59" s="184">
        <v>6299700</v>
      </c>
      <c r="I59" s="184">
        <f t="shared" si="1"/>
        <v>0</v>
      </c>
      <c r="J59" s="335" t="s">
        <v>584</v>
      </c>
    </row>
    <row r="60" spans="1:11" x14ac:dyDescent="0.25">
      <c r="A60" s="327">
        <v>6299900</v>
      </c>
      <c r="B60" s="328" t="s">
        <v>555</v>
      </c>
      <c r="E60" s="321"/>
      <c r="F60" s="322">
        <v>55000</v>
      </c>
      <c r="H60" s="184">
        <v>6299900</v>
      </c>
      <c r="I60" s="184">
        <f t="shared" si="1"/>
        <v>0</v>
      </c>
      <c r="J60" s="336" t="s">
        <v>572</v>
      </c>
      <c r="K60" s="184" t="s">
        <v>573</v>
      </c>
    </row>
    <row r="61" spans="1:11" x14ac:dyDescent="0.25">
      <c r="A61" s="327">
        <v>6299900</v>
      </c>
      <c r="B61" s="328" t="s">
        <v>556</v>
      </c>
      <c r="E61" s="321"/>
      <c r="F61" s="322">
        <v>8000</v>
      </c>
      <c r="H61" s="184">
        <v>6299900</v>
      </c>
      <c r="I61" s="184">
        <f t="shared" si="1"/>
        <v>0</v>
      </c>
      <c r="J61" s="336" t="s">
        <v>589</v>
      </c>
      <c r="K61" s="184" t="s">
        <v>590</v>
      </c>
    </row>
    <row r="62" spans="1:11" x14ac:dyDescent="0.25">
      <c r="A62" s="327">
        <v>6299900</v>
      </c>
      <c r="B62" s="328" t="s">
        <v>556</v>
      </c>
      <c r="E62" s="321"/>
      <c r="F62" s="322">
        <v>35000</v>
      </c>
      <c r="J62" s="336" t="s">
        <v>581</v>
      </c>
      <c r="K62" s="184" t="s">
        <v>575</v>
      </c>
    </row>
    <row r="63" spans="1:11" x14ac:dyDescent="0.25">
      <c r="A63" s="327">
        <v>6299900</v>
      </c>
      <c r="B63" s="328" t="s">
        <v>556</v>
      </c>
      <c r="E63" s="321"/>
      <c r="F63" s="322">
        <v>20000</v>
      </c>
      <c r="J63" s="336" t="s">
        <v>566</v>
      </c>
      <c r="K63" s="184" t="s">
        <v>576</v>
      </c>
    </row>
    <row r="64" spans="1:11" x14ac:dyDescent="0.25">
      <c r="A64" s="327">
        <v>6299900</v>
      </c>
      <c r="B64" s="328" t="s">
        <v>556</v>
      </c>
      <c r="E64" s="321"/>
      <c r="F64" s="322">
        <v>5000</v>
      </c>
      <c r="J64" s="336" t="s">
        <v>586</v>
      </c>
    </row>
    <row r="65" spans="1:11" x14ac:dyDescent="0.25">
      <c r="A65" s="327">
        <v>6299900</v>
      </c>
      <c r="B65" s="328" t="s">
        <v>557</v>
      </c>
      <c r="E65" s="321"/>
      <c r="F65" s="322">
        <v>10000</v>
      </c>
      <c r="H65" s="184">
        <v>6299900</v>
      </c>
      <c r="I65" s="184">
        <f t="shared" si="1"/>
        <v>0</v>
      </c>
      <c r="J65" s="335" t="s">
        <v>571</v>
      </c>
      <c r="K65" s="184" t="s">
        <v>568</v>
      </c>
    </row>
    <row r="66" spans="1:11" x14ac:dyDescent="0.25">
      <c r="A66" s="327">
        <v>6299900</v>
      </c>
      <c r="B66" s="328" t="s">
        <v>544</v>
      </c>
      <c r="E66" s="321"/>
      <c r="F66" s="322">
        <v>8000</v>
      </c>
      <c r="H66" s="184">
        <v>6299900</v>
      </c>
      <c r="I66" s="184">
        <f t="shared" si="1"/>
        <v>0</v>
      </c>
      <c r="J66" s="336" t="s">
        <v>579</v>
      </c>
      <c r="K66" s="184" t="s">
        <v>580</v>
      </c>
    </row>
    <row r="67" spans="1:11" x14ac:dyDescent="0.25">
      <c r="A67" s="327">
        <v>6299900</v>
      </c>
      <c r="B67" s="328" t="s">
        <v>545</v>
      </c>
      <c r="E67" s="321">
        <v>17000</v>
      </c>
      <c r="F67" s="322"/>
      <c r="H67" s="184">
        <v>6299900</v>
      </c>
      <c r="I67" s="184">
        <f t="shared" si="1"/>
        <v>0</v>
      </c>
      <c r="J67" s="335" t="s">
        <v>571</v>
      </c>
      <c r="K67" s="184" t="s">
        <v>568</v>
      </c>
    </row>
    <row r="68" spans="1:11" x14ac:dyDescent="0.25">
      <c r="A68" s="327">
        <v>6400000</v>
      </c>
      <c r="B68" s="328" t="s">
        <v>546</v>
      </c>
      <c r="E68" s="321"/>
      <c r="F68" s="322">
        <v>5000</v>
      </c>
      <c r="H68" s="184">
        <v>6400000</v>
      </c>
      <c r="I68" s="184">
        <f t="shared" si="1"/>
        <v>0</v>
      </c>
      <c r="J68" s="335" t="s">
        <v>569</v>
      </c>
      <c r="K68" s="184" t="s">
        <v>570</v>
      </c>
    </row>
    <row r="69" spans="1:11" x14ac:dyDescent="0.25">
      <c r="A69" s="327">
        <v>6400011</v>
      </c>
      <c r="B69" s="328" t="s">
        <v>535</v>
      </c>
      <c r="E69" s="321"/>
      <c r="F69" s="322">
        <f>70365-57365</f>
        <v>13000</v>
      </c>
      <c r="H69" s="184">
        <v>6400011</v>
      </c>
      <c r="I69" s="184">
        <f t="shared" si="1"/>
        <v>0</v>
      </c>
      <c r="J69" s="336" t="s">
        <v>566</v>
      </c>
      <c r="K69" s="184" t="s">
        <v>576</v>
      </c>
    </row>
    <row r="70" spans="1:11" x14ac:dyDescent="0.25">
      <c r="A70" s="327">
        <v>6400011</v>
      </c>
      <c r="B70" s="328" t="s">
        <v>535</v>
      </c>
      <c r="E70" s="321"/>
      <c r="F70" s="322">
        <v>31700</v>
      </c>
      <c r="J70" s="336" t="s">
        <v>572</v>
      </c>
      <c r="K70" s="184" t="s">
        <v>573</v>
      </c>
    </row>
    <row r="71" spans="1:11" x14ac:dyDescent="0.25">
      <c r="A71" s="327">
        <v>6400011</v>
      </c>
      <c r="B71" s="328" t="s">
        <v>535</v>
      </c>
      <c r="E71" s="321"/>
      <c r="F71" s="322">
        <v>25665</v>
      </c>
      <c r="J71" s="335" t="s">
        <v>567</v>
      </c>
      <c r="K71" s="184" t="s">
        <v>578</v>
      </c>
    </row>
    <row r="72" spans="1:11" x14ac:dyDescent="0.25">
      <c r="A72" s="327">
        <v>6410000</v>
      </c>
      <c r="B72" s="328" t="s">
        <v>547</v>
      </c>
      <c r="E72" s="321"/>
      <c r="F72" s="322">
        <v>40480.14</v>
      </c>
      <c r="H72" s="184">
        <v>6410000</v>
      </c>
      <c r="I72" s="184">
        <f t="shared" si="1"/>
        <v>0</v>
      </c>
      <c r="J72" s="336" t="s">
        <v>566</v>
      </c>
      <c r="K72" s="184" t="s">
        <v>576</v>
      </c>
    </row>
    <row r="73" spans="1:11" x14ac:dyDescent="0.25">
      <c r="A73" s="327">
        <v>6684000</v>
      </c>
      <c r="B73" s="328" t="s">
        <v>548</v>
      </c>
      <c r="E73" s="321">
        <v>952.58</v>
      </c>
      <c r="F73" s="322"/>
      <c r="H73" s="184">
        <v>6684000</v>
      </c>
      <c r="I73" s="184">
        <f t="shared" si="1"/>
        <v>0</v>
      </c>
      <c r="J73" s="335" t="s">
        <v>585</v>
      </c>
    </row>
    <row r="74" spans="1:11" x14ac:dyDescent="0.25">
      <c r="A74" s="327">
        <v>6684100</v>
      </c>
      <c r="B74" s="328" t="s">
        <v>561</v>
      </c>
      <c r="E74" s="321">
        <v>12000</v>
      </c>
      <c r="F74" s="322"/>
      <c r="H74" s="184">
        <v>6684100</v>
      </c>
      <c r="I74" s="184">
        <f t="shared" si="1"/>
        <v>0</v>
      </c>
      <c r="J74" s="335" t="s">
        <v>585</v>
      </c>
    </row>
    <row r="75" spans="1:11" x14ac:dyDescent="0.25">
      <c r="A75" s="327">
        <v>6684100</v>
      </c>
      <c r="B75" s="328" t="s">
        <v>560</v>
      </c>
      <c r="E75" s="321"/>
      <c r="F75" s="322">
        <v>0.18</v>
      </c>
      <c r="H75" s="184">
        <v>6684100</v>
      </c>
      <c r="I75" s="184">
        <f t="shared" si="1"/>
        <v>0</v>
      </c>
      <c r="J75" s="336" t="s">
        <v>587</v>
      </c>
    </row>
    <row r="76" spans="1:11" x14ac:dyDescent="0.25">
      <c r="A76" s="327">
        <v>6810201</v>
      </c>
      <c r="B76" s="328" t="s">
        <v>562</v>
      </c>
      <c r="E76" s="321"/>
      <c r="F76" s="322">
        <v>6615.8899999999994</v>
      </c>
      <c r="H76" s="184">
        <v>6810201</v>
      </c>
      <c r="I76" s="184">
        <f t="shared" si="1"/>
        <v>0</v>
      </c>
    </row>
    <row r="77" spans="1:11" x14ac:dyDescent="0.25">
      <c r="A77" s="327">
        <v>6940000</v>
      </c>
      <c r="B77" s="328" t="s">
        <v>549</v>
      </c>
      <c r="E77" s="321"/>
      <c r="F77" s="322">
        <v>115656</v>
      </c>
      <c r="H77" s="184">
        <v>6940000</v>
      </c>
      <c r="I77" s="184">
        <f t="shared" si="1"/>
        <v>0</v>
      </c>
      <c r="J77" s="336" t="s">
        <v>566</v>
      </c>
      <c r="K77" s="184" t="s">
        <v>576</v>
      </c>
    </row>
    <row r="78" spans="1:11" x14ac:dyDescent="0.25">
      <c r="A78" s="327">
        <v>7000020</v>
      </c>
      <c r="B78" s="328" t="s">
        <v>563</v>
      </c>
      <c r="E78" s="321"/>
      <c r="F78" s="322"/>
      <c r="H78" s="184">
        <v>7000020</v>
      </c>
      <c r="I78" s="184">
        <f t="shared" si="1"/>
        <v>0</v>
      </c>
    </row>
    <row r="79" spans="1:11" x14ac:dyDescent="0.25">
      <c r="A79" s="327">
        <v>7004000</v>
      </c>
      <c r="B79" s="328" t="s">
        <v>550</v>
      </c>
      <c r="E79" s="321">
        <v>195994.27</v>
      </c>
      <c r="F79" s="322"/>
      <c r="H79" s="184">
        <v>7004000</v>
      </c>
      <c r="I79" s="184">
        <f t="shared" si="1"/>
        <v>0</v>
      </c>
      <c r="J79" s="335" t="s">
        <v>566</v>
      </c>
      <c r="K79" s="184" t="s">
        <v>576</v>
      </c>
    </row>
    <row r="80" spans="1:11" x14ac:dyDescent="0.25">
      <c r="A80" s="327">
        <v>7100000</v>
      </c>
      <c r="B80" s="328" t="s">
        <v>551</v>
      </c>
      <c r="E80" s="321"/>
      <c r="F80" s="322">
        <v>235951</v>
      </c>
      <c r="H80" s="184">
        <v>7100000</v>
      </c>
      <c r="I80" s="184">
        <f t="shared" si="1"/>
        <v>0</v>
      </c>
      <c r="J80" s="335" t="s">
        <v>582</v>
      </c>
    </row>
    <row r="81" spans="1:10" x14ac:dyDescent="0.25">
      <c r="A81" s="327">
        <v>7590000</v>
      </c>
      <c r="B81" s="328" t="s">
        <v>552</v>
      </c>
      <c r="E81" s="321">
        <v>74637.429999999993</v>
      </c>
      <c r="F81" s="322"/>
      <c r="J81" s="335" t="s">
        <v>582</v>
      </c>
    </row>
    <row r="82" spans="1:10" x14ac:dyDescent="0.25">
      <c r="A82" s="327">
        <v>7590000</v>
      </c>
      <c r="B82" s="328" t="s">
        <v>552</v>
      </c>
      <c r="E82" s="321">
        <f>242232.32-74637.43</f>
        <v>167594.89000000001</v>
      </c>
      <c r="F82" s="322">
        <v>195994.27</v>
      </c>
      <c r="H82" s="184">
        <v>7590000</v>
      </c>
      <c r="I82" s="184">
        <f t="shared" si="1"/>
        <v>0</v>
      </c>
      <c r="J82" s="335" t="s">
        <v>582</v>
      </c>
    </row>
    <row r="83" spans="1:10" x14ac:dyDescent="0.25">
      <c r="A83" s="327">
        <v>7684000</v>
      </c>
      <c r="B83" s="328" t="s">
        <v>553</v>
      </c>
      <c r="E83" s="321"/>
      <c r="F83" s="322">
        <v>194.02</v>
      </c>
      <c r="H83" s="184">
        <v>7684000</v>
      </c>
      <c r="I83" s="184">
        <f t="shared" si="1"/>
        <v>0</v>
      </c>
      <c r="J83" s="336" t="s">
        <v>588</v>
      </c>
    </row>
    <row r="84" spans="1:10" x14ac:dyDescent="0.25">
      <c r="A84" s="327">
        <v>6310003</v>
      </c>
      <c r="B84" s="329" t="s">
        <v>464</v>
      </c>
      <c r="E84" s="321">
        <v>135436.32999999999</v>
      </c>
      <c r="F84" s="322"/>
    </row>
    <row r="85" spans="1:10" x14ac:dyDescent="0.25">
      <c r="A85" s="327">
        <v>6270405</v>
      </c>
      <c r="B85" s="330" t="s">
        <v>528</v>
      </c>
      <c r="E85" s="321">
        <v>73828.14</v>
      </c>
      <c r="F85" s="322"/>
      <c r="G85" s="317"/>
    </row>
    <row r="86" spans="1:10" x14ac:dyDescent="0.25">
      <c r="A86" s="327">
        <v>6310003</v>
      </c>
      <c r="B86" s="329" t="s">
        <v>529</v>
      </c>
      <c r="E86" s="321"/>
      <c r="F86" s="322">
        <f>167657.51</f>
        <v>167657.51</v>
      </c>
      <c r="G86" s="317"/>
    </row>
    <row r="87" spans="1:10" ht="15.75" thickBot="1" x14ac:dyDescent="0.3">
      <c r="A87" s="331"/>
      <c r="B87" s="332" t="s">
        <v>525</v>
      </c>
      <c r="E87" s="342"/>
      <c r="F87" s="343"/>
    </row>
    <row r="88" spans="1:10" ht="15.75" thickBot="1" x14ac:dyDescent="0.3">
      <c r="B88" s="319"/>
      <c r="E88" s="342">
        <f>SUM(E5:E86)</f>
        <v>13813277.520000001</v>
      </c>
      <c r="F88" s="343">
        <f>SUM(F5:F86)</f>
        <v>13231371.300000004</v>
      </c>
    </row>
    <row r="89" spans="1:10" x14ac:dyDescent="0.25">
      <c r="F89" s="268">
        <f>F88-E88</f>
        <v>-581906.21999999695</v>
      </c>
    </row>
    <row r="90" spans="1:10" x14ac:dyDescent="0.25">
      <c r="F90" s="268">
        <f>E87-F35+E35</f>
        <v>0</v>
      </c>
    </row>
    <row r="91" spans="1:10" x14ac:dyDescent="0.25">
      <c r="E91" s="268">
        <f>SUM(E40:E86)</f>
        <v>864962.32</v>
      </c>
      <c r="F91" s="268">
        <f>SUM(F40:F86)</f>
        <v>1424640.0800000003</v>
      </c>
      <c r="G91" s="317"/>
    </row>
    <row r="92" spans="1:10" x14ac:dyDescent="0.25">
      <c r="G92" s="317"/>
    </row>
  </sheetData>
  <printOptions horizontalCentered="1" verticalCentered="1" gridLines="1"/>
  <pageMargins left="0.70866141732283472" right="0.70866141732283472" top="0.74803149606299213" bottom="0.74803149606299213" header="0.31496062992125984" footer="0.31496062992125984"/>
  <pageSetup scale="62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46"/>
  <sheetViews>
    <sheetView topLeftCell="A19" workbookViewId="0">
      <selection activeCell="N38" sqref="N38"/>
    </sheetView>
  </sheetViews>
  <sheetFormatPr baseColWidth="10" defaultRowHeight="15" x14ac:dyDescent="0.25"/>
  <cols>
    <col min="1" max="1" width="11.42578125" style="184"/>
    <col min="2" max="2" width="42.7109375" style="22" bestFit="1" customWidth="1"/>
    <col min="3" max="4" width="13.140625" style="268" customWidth="1"/>
    <col min="5" max="5" width="14.85546875" style="268" customWidth="1"/>
    <col min="6" max="6" width="14.140625" style="268" bestFit="1" customWidth="1"/>
    <col min="7" max="7" width="12.28515625" style="184" hidden="1" customWidth="1"/>
    <col min="8" max="9" width="0" style="184" hidden="1" customWidth="1"/>
    <col min="10" max="10" width="66.5703125" style="184" bestFit="1" customWidth="1"/>
    <col min="11" max="16384" width="11.42578125" style="184"/>
  </cols>
  <sheetData>
    <row r="2" spans="1:10" ht="15.75" thickBot="1" x14ac:dyDescent="0.3"/>
    <row r="3" spans="1:10" ht="15.75" thickBot="1" x14ac:dyDescent="0.3">
      <c r="C3" s="374">
        <v>2017</v>
      </c>
      <c r="D3" s="375"/>
      <c r="E3" s="374">
        <v>2018</v>
      </c>
      <c r="F3" s="375"/>
    </row>
    <row r="4" spans="1:10" ht="15.75" thickBot="1" x14ac:dyDescent="0.3">
      <c r="A4" s="346" t="s">
        <v>161</v>
      </c>
      <c r="B4" s="347" t="s">
        <v>162</v>
      </c>
      <c r="C4" s="348" t="s">
        <v>137</v>
      </c>
      <c r="D4" s="348" t="s">
        <v>138</v>
      </c>
      <c r="E4" s="349" t="s">
        <v>137</v>
      </c>
      <c r="F4" s="350" t="s">
        <v>138</v>
      </c>
    </row>
    <row r="5" spans="1:10" x14ac:dyDescent="0.25">
      <c r="A5" s="327">
        <v>2170001</v>
      </c>
      <c r="B5" s="344" t="s">
        <v>57</v>
      </c>
      <c r="C5" s="325">
        <v>17468</v>
      </c>
      <c r="D5" s="325"/>
      <c r="E5" s="321"/>
      <c r="F5" s="322">
        <v>2763</v>
      </c>
      <c r="J5" s="184" t="s">
        <v>592</v>
      </c>
    </row>
    <row r="6" spans="1:10" x14ac:dyDescent="0.25">
      <c r="A6" s="327">
        <v>2130001</v>
      </c>
      <c r="B6" s="344" t="s">
        <v>60</v>
      </c>
      <c r="C6" s="325">
        <v>141130.45000000001</v>
      </c>
      <c r="D6" s="325"/>
      <c r="E6" s="321"/>
      <c r="F6" s="322">
        <v>17863</v>
      </c>
      <c r="J6" s="184" t="s">
        <v>592</v>
      </c>
    </row>
    <row r="7" spans="1:10" x14ac:dyDescent="0.25">
      <c r="A7" s="327">
        <v>4104000</v>
      </c>
      <c r="B7" s="328" t="s">
        <v>87</v>
      </c>
      <c r="C7" s="325"/>
      <c r="D7" s="325"/>
      <c r="E7" s="321">
        <v>20626</v>
      </c>
      <c r="F7" s="322"/>
    </row>
    <row r="8" spans="1:10" x14ac:dyDescent="0.25">
      <c r="A8" s="327">
        <v>2110001</v>
      </c>
      <c r="B8" s="344" t="s">
        <v>61</v>
      </c>
      <c r="C8" s="325"/>
      <c r="D8" s="325">
        <f>53743.16-5395.33</f>
        <v>48347.83</v>
      </c>
      <c r="E8" s="321">
        <v>5289.52</v>
      </c>
      <c r="F8" s="322"/>
      <c r="J8" s="184" t="s">
        <v>592</v>
      </c>
    </row>
    <row r="9" spans="1:10" x14ac:dyDescent="0.25">
      <c r="A9" s="327">
        <v>2120001</v>
      </c>
      <c r="B9" s="344" t="s">
        <v>63</v>
      </c>
      <c r="C9" s="325">
        <v>169139.87</v>
      </c>
      <c r="D9" s="325"/>
      <c r="E9" s="321"/>
      <c r="F9" s="322"/>
      <c r="J9" s="184" t="s">
        <v>592</v>
      </c>
    </row>
    <row r="10" spans="1:10" x14ac:dyDescent="0.25">
      <c r="A10" s="327">
        <v>2813001</v>
      </c>
      <c r="B10" s="344" t="s">
        <v>67</v>
      </c>
      <c r="C10" s="325">
        <v>846532.08</v>
      </c>
      <c r="D10" s="325"/>
      <c r="E10" s="321">
        <v>6615.6999999999989</v>
      </c>
      <c r="F10" s="322"/>
      <c r="J10" s="184" t="s">
        <v>592</v>
      </c>
    </row>
    <row r="11" spans="1:10" x14ac:dyDescent="0.25">
      <c r="A11" s="327">
        <v>5510000</v>
      </c>
      <c r="B11" s="344" t="s">
        <v>46</v>
      </c>
      <c r="C11" s="325"/>
      <c r="D11" s="325"/>
      <c r="E11" s="321"/>
      <c r="F11" s="322"/>
      <c r="J11" s="184" t="s">
        <v>592</v>
      </c>
    </row>
    <row r="12" spans="1:10" x14ac:dyDescent="0.25">
      <c r="A12" s="327">
        <v>1210000</v>
      </c>
      <c r="B12" s="344" t="s">
        <v>113</v>
      </c>
      <c r="C12" s="325"/>
      <c r="D12" s="325">
        <f>914265.22+211657.35</f>
        <v>1125922.57</v>
      </c>
      <c r="E12" s="321"/>
      <c r="F12" s="322">
        <v>11905.22</v>
      </c>
      <c r="G12" s="317"/>
    </row>
    <row r="13" spans="1:10" ht="15.75" thickBot="1" x14ac:dyDescent="0.3">
      <c r="A13" s="331"/>
      <c r="B13" s="345"/>
      <c r="C13" s="342"/>
      <c r="D13" s="343"/>
      <c r="E13" s="342"/>
      <c r="F13" s="343"/>
    </row>
    <row r="14" spans="1:10" ht="15.75" thickBot="1" x14ac:dyDescent="0.3">
      <c r="C14" s="342">
        <f>SUM(C5:C13)</f>
        <v>1174270.3999999999</v>
      </c>
      <c r="D14" s="343">
        <f>SUM(D5:D13)</f>
        <v>1174270.4000000001</v>
      </c>
      <c r="E14" s="342">
        <f>SUM(E5:E12)</f>
        <v>32531.22</v>
      </c>
      <c r="F14" s="343">
        <f>SUM(F5:F12)</f>
        <v>32531.22</v>
      </c>
    </row>
    <row r="15" spans="1:10" x14ac:dyDescent="0.25">
      <c r="D15" s="268">
        <f>C14-D14</f>
        <v>0</v>
      </c>
      <c r="F15" s="268">
        <f>F14-E14</f>
        <v>0</v>
      </c>
    </row>
    <row r="17" spans="1:14" x14ac:dyDescent="0.25">
      <c r="G17" s="317"/>
    </row>
    <row r="18" spans="1:14" x14ac:dyDescent="0.25">
      <c r="G18" s="317"/>
    </row>
    <row r="21" spans="1:14" x14ac:dyDescent="0.25">
      <c r="B21" s="22" t="s">
        <v>604</v>
      </c>
    </row>
    <row r="22" spans="1:14" x14ac:dyDescent="0.25">
      <c r="A22" s="353" t="s">
        <v>161</v>
      </c>
      <c r="B22" s="354" t="s">
        <v>593</v>
      </c>
      <c r="C22" s="366" t="s">
        <v>137</v>
      </c>
      <c r="D22" s="366" t="s">
        <v>137</v>
      </c>
      <c r="E22" s="355"/>
    </row>
    <row r="23" spans="1:14" x14ac:dyDescent="0.25">
      <c r="A23" s="356">
        <v>4100000</v>
      </c>
      <c r="B23" s="357" t="s">
        <v>86</v>
      </c>
      <c r="C23" s="360">
        <v>2763</v>
      </c>
      <c r="D23" s="361"/>
    </row>
    <row r="24" spans="1:14" x14ac:dyDescent="0.25">
      <c r="A24" s="356">
        <v>4100000</v>
      </c>
      <c r="B24" s="357" t="s">
        <v>86</v>
      </c>
      <c r="C24" s="360">
        <v>17863</v>
      </c>
      <c r="D24" s="361"/>
    </row>
    <row r="25" spans="1:14" x14ac:dyDescent="0.25">
      <c r="A25" s="327">
        <v>2170001</v>
      </c>
      <c r="B25" s="357" t="s">
        <v>57</v>
      </c>
      <c r="C25" s="361"/>
      <c r="D25" s="360">
        <v>2763</v>
      </c>
    </row>
    <row r="26" spans="1:14" x14ac:dyDescent="0.25">
      <c r="A26" s="327">
        <v>2130001</v>
      </c>
      <c r="B26" s="358" t="s">
        <v>60</v>
      </c>
      <c r="C26" s="361"/>
      <c r="D26" s="360">
        <v>17863</v>
      </c>
    </row>
    <row r="27" spans="1:14" ht="26.25" thickBot="1" x14ac:dyDescent="0.3">
      <c r="A27" s="355"/>
      <c r="B27" s="359" t="s">
        <v>594</v>
      </c>
      <c r="C27" s="362">
        <f>SUM(C23:C26)</f>
        <v>20626</v>
      </c>
      <c r="D27" s="362">
        <f>SUM(D23:D26)</f>
        <v>20626</v>
      </c>
      <c r="E27" s="355"/>
    </row>
    <row r="28" spans="1:14" ht="15.75" thickTop="1" x14ac:dyDescent="0.25"/>
    <row r="30" spans="1:14" x14ac:dyDescent="0.25">
      <c r="A30" s="353" t="s">
        <v>161</v>
      </c>
      <c r="B30" s="354" t="s">
        <v>601</v>
      </c>
      <c r="C30" s="366" t="s">
        <v>137</v>
      </c>
      <c r="D30" s="366" t="s">
        <v>137</v>
      </c>
    </row>
    <row r="31" spans="1:14" x14ac:dyDescent="0.25">
      <c r="A31" s="327">
        <v>2110001</v>
      </c>
      <c r="B31" s="69" t="s">
        <v>61</v>
      </c>
      <c r="C31" s="325">
        <v>5289.52</v>
      </c>
      <c r="D31" s="325"/>
      <c r="E31" s="373" t="s">
        <v>605</v>
      </c>
      <c r="F31" s="373"/>
      <c r="G31" s="373"/>
      <c r="H31" s="373"/>
      <c r="I31" s="373"/>
      <c r="J31" s="373"/>
    </row>
    <row r="32" spans="1:14" x14ac:dyDescent="0.25">
      <c r="A32" s="327">
        <v>1210000</v>
      </c>
      <c r="B32" s="36" t="s">
        <v>554</v>
      </c>
      <c r="C32" s="325"/>
      <c r="D32" s="325">
        <f>C31</f>
        <v>5289.52</v>
      </c>
      <c r="E32" s="373"/>
      <c r="F32" s="373"/>
      <c r="G32" s="373"/>
      <c r="H32" s="373"/>
      <c r="I32" s="373"/>
      <c r="J32" s="373"/>
      <c r="N32" s="327">
        <v>6299700</v>
      </c>
    </row>
    <row r="33" spans="1:14" ht="15.75" thickBot="1" x14ac:dyDescent="0.3">
      <c r="B33" s="363" t="s">
        <v>595</v>
      </c>
      <c r="C33" s="365">
        <f>SUM(C31:C32)</f>
        <v>5289.52</v>
      </c>
      <c r="D33" s="365">
        <f>SUM(D31:D32)</f>
        <v>5289.52</v>
      </c>
    </row>
    <row r="34" spans="1:14" ht="15.75" thickTop="1" x14ac:dyDescent="0.25">
      <c r="B34" s="69"/>
      <c r="C34" s="325"/>
      <c r="D34" s="325"/>
    </row>
    <row r="35" spans="1:14" x14ac:dyDescent="0.25">
      <c r="B35" s="69"/>
      <c r="C35" s="325"/>
      <c r="D35" s="325"/>
    </row>
    <row r="36" spans="1:14" x14ac:dyDescent="0.25">
      <c r="A36" s="353" t="s">
        <v>161</v>
      </c>
      <c r="B36" s="354" t="s">
        <v>602</v>
      </c>
      <c r="C36" s="366" t="s">
        <v>137</v>
      </c>
      <c r="D36" s="366" t="s">
        <v>137</v>
      </c>
    </row>
    <row r="37" spans="1:14" x14ac:dyDescent="0.25">
      <c r="A37" s="327">
        <v>2813001</v>
      </c>
      <c r="B37" s="69" t="s">
        <v>67</v>
      </c>
      <c r="C37" s="325">
        <v>6615.6999999999989</v>
      </c>
      <c r="D37" s="325"/>
      <c r="E37" s="373" t="s">
        <v>606</v>
      </c>
      <c r="F37" s="373"/>
      <c r="G37" s="373"/>
      <c r="H37" s="373"/>
      <c r="I37" s="373"/>
      <c r="J37" s="373"/>
    </row>
    <row r="38" spans="1:14" x14ac:dyDescent="0.25">
      <c r="A38" s="327">
        <v>1210000</v>
      </c>
      <c r="B38" s="36" t="s">
        <v>562</v>
      </c>
      <c r="C38" s="325"/>
      <c r="D38" s="325">
        <f>C37</f>
        <v>6615.6999999999989</v>
      </c>
      <c r="E38" s="373"/>
      <c r="F38" s="373"/>
      <c r="G38" s="373"/>
      <c r="H38" s="373"/>
      <c r="I38" s="373"/>
      <c r="J38" s="373"/>
      <c r="N38" s="327">
        <v>6810201</v>
      </c>
    </row>
    <row r="39" spans="1:14" ht="15.75" thickBot="1" x14ac:dyDescent="0.3">
      <c r="B39" s="363" t="s">
        <v>596</v>
      </c>
      <c r="C39" s="365">
        <f>SUM(C37:C38)</f>
        <v>6615.6999999999989</v>
      </c>
      <c r="D39" s="365">
        <f>SUM(D37:D38)</f>
        <v>6615.6999999999989</v>
      </c>
    </row>
    <row r="40" spans="1:14" ht="15.75" thickTop="1" x14ac:dyDescent="0.25">
      <c r="B40" s="363"/>
      <c r="C40" s="325"/>
      <c r="D40" s="325"/>
    </row>
    <row r="41" spans="1:14" x14ac:dyDescent="0.25">
      <c r="A41" s="353" t="s">
        <v>161</v>
      </c>
      <c r="B41" s="354" t="s">
        <v>603</v>
      </c>
      <c r="C41" s="366" t="s">
        <v>137</v>
      </c>
      <c r="D41" s="366" t="s">
        <v>137</v>
      </c>
      <c r="F41" s="184"/>
    </row>
    <row r="42" spans="1:14" x14ac:dyDescent="0.25">
      <c r="A42" s="327">
        <v>5510000</v>
      </c>
      <c r="B42" s="36" t="s">
        <v>46</v>
      </c>
      <c r="C42" s="325"/>
      <c r="D42" s="325">
        <v>711.98</v>
      </c>
      <c r="F42" s="268" t="s">
        <v>598</v>
      </c>
    </row>
    <row r="43" spans="1:14" x14ac:dyDescent="0.25">
      <c r="A43" s="356">
        <v>4100000</v>
      </c>
      <c r="B43" s="364" t="s">
        <v>86</v>
      </c>
      <c r="C43" s="325">
        <f>+D42</f>
        <v>711.98</v>
      </c>
      <c r="D43" s="325"/>
      <c r="F43" s="268" t="s">
        <v>597</v>
      </c>
    </row>
    <row r="44" spans="1:14" x14ac:dyDescent="0.25">
      <c r="B44" s="69" t="s">
        <v>599</v>
      </c>
      <c r="C44" s="325"/>
      <c r="D44" s="325"/>
    </row>
    <row r="45" spans="1:14" ht="15.75" thickBot="1" x14ac:dyDescent="0.3">
      <c r="B45" s="69" t="s">
        <v>600</v>
      </c>
      <c r="C45" s="365">
        <f>SUM(C43:C44)</f>
        <v>711.98</v>
      </c>
      <c r="D45" s="365">
        <f>SUM(D42:D44)</f>
        <v>711.98</v>
      </c>
    </row>
    <row r="46" spans="1:14" ht="15.75" thickTop="1" x14ac:dyDescent="0.25"/>
  </sheetData>
  <mergeCells count="4">
    <mergeCell ref="E31:J32"/>
    <mergeCell ref="E37:J38"/>
    <mergeCell ref="C3:D3"/>
    <mergeCell ref="E3:F3"/>
  </mergeCells>
  <printOptions horizontalCentered="1" verticalCentered="1" gridLines="1"/>
  <pageMargins left="0.70866141732283472" right="0.70866141732283472" top="0.74803149606299213" bottom="0.74803149606299213" header="0.31496062992125984" footer="0.31496062992125984"/>
  <pageSetup scale="5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35</vt:i4>
      </vt:variant>
    </vt:vector>
  </HeadingPairs>
  <TitlesOfParts>
    <vt:vector size="51" baseType="lpstr">
      <vt:lpstr>EF ALPA</vt:lpstr>
      <vt:lpstr>EF ASGT</vt:lpstr>
      <vt:lpstr>EF ALGT</vt:lpstr>
      <vt:lpstr>EF DAGT</vt:lpstr>
      <vt:lpstr>CONSOLIDADO MARZO 2018</vt:lpstr>
      <vt:lpstr>PARTIDAS Elimina. ajsut, y recl</vt:lpstr>
      <vt:lpstr>RESUMEN AJUSTES FINANCIEROS</vt:lpstr>
      <vt:lpstr>RESUMEN AJUSTES FIN SIN INTERCO</vt:lpstr>
      <vt:lpstr>RESUMEN AJUSTES FIN SIN INT (2</vt:lpstr>
      <vt:lpstr>Hoja1</vt:lpstr>
      <vt:lpstr>Hoja2</vt:lpstr>
      <vt:lpstr>Hoja3</vt:lpstr>
      <vt:lpstr>CONSOLIDADO SEPTIEMBRE 2017KPMG</vt:lpstr>
      <vt:lpstr>PARTIDAS KPMG</vt:lpstr>
      <vt:lpstr>Hoja13</vt:lpstr>
      <vt:lpstr>Balance</vt:lpstr>
      <vt:lpstr>'EF ALGT'!DATA2</vt:lpstr>
      <vt:lpstr>'EF ALPA'!DATA2</vt:lpstr>
      <vt:lpstr>'EF ASGT'!DATA2</vt:lpstr>
      <vt:lpstr>'EF DAGT'!DATA2</vt:lpstr>
      <vt:lpstr>'EF ALPA'!DATA3</vt:lpstr>
      <vt:lpstr>'EF ASGT'!DATA5</vt:lpstr>
      <vt:lpstr>'EF DAGT'!DATA5</vt:lpstr>
      <vt:lpstr>'EF DAGT'!DATA6</vt:lpstr>
      <vt:lpstr>'EF ALPA'!DATA7</vt:lpstr>
      <vt:lpstr>'EF ASGT'!DATA7</vt:lpstr>
      <vt:lpstr>'EF DAGT'!DATA7</vt:lpstr>
      <vt:lpstr>'EF ALGT'!DATA8</vt:lpstr>
      <vt:lpstr>'EF ALPA'!DATA8</vt:lpstr>
      <vt:lpstr>'EF ASGT'!DATA8</vt:lpstr>
      <vt:lpstr>'EF DAGT'!DATA8</vt:lpstr>
      <vt:lpstr>'EF ALGT'!DATA9</vt:lpstr>
      <vt:lpstr>'EF ALPA'!DATA9</vt:lpstr>
      <vt:lpstr>'EF ASGT'!DATA9</vt:lpstr>
      <vt:lpstr>'EF DAGT'!DATA9</vt:lpstr>
      <vt:lpstr>'EF ALGT'!TEST0</vt:lpstr>
      <vt:lpstr>'EF ALPA'!TEST0</vt:lpstr>
      <vt:lpstr>'EF ASGT'!TEST0</vt:lpstr>
      <vt:lpstr>'EF DAGT'!TEST0</vt:lpstr>
      <vt:lpstr>'EF ALGT'!TESTHKEY</vt:lpstr>
      <vt:lpstr>'EF ALPA'!TESTHKEY</vt:lpstr>
      <vt:lpstr>'EF ASGT'!TESTHKEY</vt:lpstr>
      <vt:lpstr>'EF DAGT'!TESTHKEY</vt:lpstr>
      <vt:lpstr>'EF ALGT'!TESTKEYS</vt:lpstr>
      <vt:lpstr>'EF ALPA'!TESTKEYS</vt:lpstr>
      <vt:lpstr>'EF ASGT'!TESTKEYS</vt:lpstr>
      <vt:lpstr>'EF DAGT'!TESTKEYS</vt:lpstr>
      <vt:lpstr>'EF ALGT'!TESTVKEY</vt:lpstr>
      <vt:lpstr>'EF ALPA'!TESTVKEY</vt:lpstr>
      <vt:lpstr>'EF ASGT'!TESTVKEY</vt:lpstr>
      <vt:lpstr>'EF DAGT'!TESTVKEY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Eddu Perez</dc:creator>
  <cp:lastModifiedBy>Jorge Zet</cp:lastModifiedBy>
  <cp:lastPrinted>2018-04-16T14:13:19Z</cp:lastPrinted>
  <dcterms:created xsi:type="dcterms:W3CDTF">2016-04-11T21:10:29Z</dcterms:created>
  <dcterms:modified xsi:type="dcterms:W3CDTF">2018-05-09T20:33:36Z</dcterms:modified>
</cp:coreProperties>
</file>