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izzo/Projects/courses/CS513/homework/"/>
    </mc:Choice>
  </mc:AlternateContent>
  <xr:revisionPtr revIDLastSave="0" documentId="13_ncr:1_{09316BC9-C4DC-FA42-976B-40C5B2F7F56F}" xr6:coauthVersionLast="47" xr6:coauthVersionMax="47" xr10:uidLastSave="{00000000-0000-0000-0000-000000000000}"/>
  <bookViews>
    <workbookView xWindow="0" yWindow="760" windowWidth="33160" windowHeight="20520" xr2:uid="{946FFA4A-67A9-944C-8200-8938BB2EF644}"/>
  </bookViews>
  <sheets>
    <sheet name="Problem 6" sheetId="2" r:id="rId1"/>
    <sheet name="Problem 7" sheetId="1" r:id="rId2"/>
  </sheets>
  <definedNames>
    <definedName name="_xlnm._FilterDatabase" localSheetId="0" hidden="1">'Problem 6'!$N$2:$T$2</definedName>
    <definedName name="_xlnm._FilterDatabase" localSheetId="1" hidden="1">'Problem 7'!$B$22:$F$42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5" i="1" s="1"/>
  <c r="E6" i="1"/>
  <c r="E5" i="1"/>
  <c r="C6" i="1"/>
  <c r="C5" i="1"/>
  <c r="G4" i="1"/>
  <c r="E4" i="1"/>
  <c r="C4" i="1"/>
  <c r="D4" i="1" s="1"/>
  <c r="I4" i="1" s="1"/>
  <c r="G3" i="1"/>
  <c r="E3" i="1"/>
  <c r="C3" i="1"/>
  <c r="F4" i="1"/>
  <c r="F5" i="1"/>
  <c r="H4" i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I6" i="2"/>
  <c r="R14" i="2" s="1"/>
  <c r="T6" i="2"/>
  <c r="T10" i="2"/>
  <c r="T12" i="2"/>
  <c r="T27" i="2"/>
  <c r="T21" i="2"/>
  <c r="T30" i="2"/>
  <c r="T19" i="2"/>
  <c r="T22" i="2"/>
  <c r="T3" i="2"/>
  <c r="T18" i="2"/>
  <c r="T14" i="2"/>
  <c r="T26" i="2"/>
  <c r="T13" i="2"/>
  <c r="T31" i="2"/>
  <c r="T24" i="2"/>
  <c r="T4" i="2"/>
  <c r="T5" i="2"/>
  <c r="T11" i="2"/>
  <c r="T17" i="2"/>
  <c r="T23" i="2"/>
  <c r="T8" i="2"/>
  <c r="T25" i="2"/>
  <c r="T32" i="2"/>
  <c r="T7" i="2"/>
  <c r="T29" i="2"/>
  <c r="T28" i="2"/>
  <c r="T9" i="2"/>
  <c r="T15" i="2"/>
  <c r="T16" i="2"/>
  <c r="T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J5" i="1" l="1"/>
  <c r="D5" i="1"/>
  <c r="I5" i="1" s="1"/>
  <c r="J4" i="1"/>
  <c r="K4" i="1" s="1"/>
  <c r="O25" i="2"/>
  <c r="O8" i="2"/>
  <c r="O3" i="2"/>
  <c r="P12" i="2"/>
  <c r="P7" i="2"/>
  <c r="O7" i="2"/>
  <c r="R23" i="2"/>
  <c r="R26" i="2"/>
  <c r="O26" i="2"/>
  <c r="O14" i="2"/>
  <c r="O6" i="2"/>
  <c r="O23" i="2"/>
  <c r="O21" i="2"/>
  <c r="Q23" i="2"/>
  <c r="P5" i="2"/>
  <c r="O12" i="2"/>
  <c r="P15" i="2"/>
  <c r="R22" i="2"/>
  <c r="R9" i="2"/>
  <c r="O4" i="2"/>
  <c r="Q27" i="2"/>
  <c r="O20" i="2"/>
  <c r="O16" i="2"/>
  <c r="R28" i="2"/>
  <c r="P22" i="2"/>
  <c r="O15" i="2"/>
  <c r="O17" i="2"/>
  <c r="P27" i="2"/>
  <c r="Q9" i="2"/>
  <c r="R32" i="2"/>
  <c r="P23" i="2"/>
  <c r="Q14" i="2"/>
  <c r="R24" i="2"/>
  <c r="P4" i="2"/>
  <c r="R27" i="2"/>
  <c r="O18" i="2"/>
  <c r="Q22" i="2"/>
  <c r="P20" i="2"/>
  <c r="Q32" i="2"/>
  <c r="P14" i="2"/>
  <c r="O11" i="2"/>
  <c r="O22" i="2"/>
  <c r="Q20" i="2"/>
  <c r="Q28" i="2"/>
  <c r="R25" i="2"/>
  <c r="R17" i="2"/>
  <c r="Q24" i="2"/>
  <c r="Q19" i="2"/>
  <c r="O9" i="2"/>
  <c r="O5" i="2"/>
  <c r="O19" i="2"/>
  <c r="R20" i="2"/>
  <c r="P28" i="2"/>
  <c r="Q25" i="2"/>
  <c r="Q17" i="2"/>
  <c r="P24" i="2"/>
  <c r="R18" i="2"/>
  <c r="P19" i="2"/>
  <c r="R10" i="2"/>
  <c r="O28" i="2"/>
  <c r="O30" i="2"/>
  <c r="R16" i="2"/>
  <c r="R29" i="2"/>
  <c r="P25" i="2"/>
  <c r="Q11" i="2"/>
  <c r="O31" i="2"/>
  <c r="Q18" i="2"/>
  <c r="R30" i="2"/>
  <c r="Q10" i="2"/>
  <c r="O29" i="2"/>
  <c r="O24" i="2"/>
  <c r="Q16" i="2"/>
  <c r="Q29" i="2"/>
  <c r="P11" i="2"/>
  <c r="R13" i="2"/>
  <c r="R3" i="2"/>
  <c r="Q30" i="2"/>
  <c r="P10" i="2"/>
  <c r="O27" i="2"/>
  <c r="R15" i="2"/>
  <c r="R7" i="2"/>
  <c r="R8" i="2"/>
  <c r="R5" i="2"/>
  <c r="Q13" i="2"/>
  <c r="Q3" i="2"/>
  <c r="P30" i="2"/>
  <c r="O10" i="2"/>
  <c r="O32" i="2"/>
  <c r="O13" i="2"/>
  <c r="Q15" i="2"/>
  <c r="Q7" i="2"/>
  <c r="Q8" i="2"/>
  <c r="Q5" i="2"/>
  <c r="P13" i="2"/>
  <c r="P3" i="2"/>
  <c r="P21" i="2"/>
  <c r="R6" i="2"/>
  <c r="P16" i="2"/>
  <c r="P9" i="2"/>
  <c r="P29" i="2"/>
  <c r="P32" i="2"/>
  <c r="P8" i="2"/>
  <c r="P17" i="2"/>
  <c r="R31" i="2"/>
  <c r="Q26" i="2"/>
  <c r="P18" i="2"/>
  <c r="R12" i="2"/>
  <c r="Q6" i="2"/>
  <c r="R4" i="2"/>
  <c r="Q31" i="2"/>
  <c r="P26" i="2"/>
  <c r="R21" i="2"/>
  <c r="Q12" i="2"/>
  <c r="P6" i="2"/>
  <c r="R11" i="2"/>
  <c r="Q4" i="2"/>
  <c r="P31" i="2"/>
  <c r="R19" i="2"/>
  <c r="Q21" i="2"/>
  <c r="D6" i="1"/>
  <c r="I6" i="1" s="1"/>
  <c r="H3" i="1"/>
  <c r="D3" i="1"/>
  <c r="F6" i="1"/>
  <c r="F3" i="1"/>
  <c r="H18" i="1"/>
  <c r="E18" i="1"/>
  <c r="C18" i="1"/>
  <c r="D18" i="1" s="1"/>
  <c r="G17" i="1"/>
  <c r="F17" i="1"/>
  <c r="C17" i="1"/>
  <c r="G12" i="1"/>
  <c r="H12" i="1" s="1"/>
  <c r="E12" i="1"/>
  <c r="F12" i="1" s="1"/>
  <c r="C12" i="1"/>
  <c r="D12" i="1" s="1"/>
  <c r="G11" i="1"/>
  <c r="F11" i="1"/>
  <c r="C11" i="1"/>
  <c r="D11" i="1" s="1"/>
  <c r="I11" i="1" s="1"/>
  <c r="S27" i="2" l="1"/>
  <c r="K5" i="1"/>
  <c r="S15" i="2"/>
  <c r="S25" i="2"/>
  <c r="S13" i="2"/>
  <c r="S5" i="2"/>
  <c r="S7" i="2"/>
  <c r="S30" i="2"/>
  <c r="S23" i="2"/>
  <c r="S28" i="2"/>
  <c r="S14" i="2"/>
  <c r="S20" i="2"/>
  <c r="S8" i="2"/>
  <c r="S24" i="2"/>
  <c r="S29" i="2"/>
  <c r="S10" i="2"/>
  <c r="S3" i="2"/>
  <c r="S22" i="2"/>
  <c r="S17" i="2"/>
  <c r="S16" i="2"/>
  <c r="S32" i="2"/>
  <c r="S19" i="2"/>
  <c r="S9" i="2"/>
  <c r="S11" i="2"/>
  <c r="S18" i="2"/>
  <c r="S4" i="2"/>
  <c r="S12" i="2"/>
  <c r="S26" i="2"/>
  <c r="S6" i="2"/>
  <c r="S31" i="2"/>
  <c r="S21" i="2"/>
  <c r="I3" i="1"/>
  <c r="J3" i="1"/>
  <c r="H6" i="1"/>
  <c r="H11" i="1"/>
  <c r="J11" i="1" s="1"/>
  <c r="K11" i="1" s="1"/>
  <c r="I12" i="1"/>
  <c r="D17" i="1"/>
  <c r="F18" i="1"/>
  <c r="J18" i="1" s="1"/>
  <c r="J12" i="1"/>
  <c r="I18" i="1"/>
  <c r="H17" i="1"/>
  <c r="N19" i="2" l="1"/>
  <c r="N22" i="2"/>
  <c r="N11" i="2"/>
  <c r="N23" i="2"/>
  <c r="N25" i="2"/>
  <c r="N24" i="2"/>
  <c r="N18" i="2"/>
  <c r="N21" i="2"/>
  <c r="N9" i="2"/>
  <c r="N32" i="2"/>
  <c r="N28" i="2"/>
  <c r="N6" i="2"/>
  <c r="N20" i="2"/>
  <c r="N15" i="2"/>
  <c r="N3" i="2"/>
  <c r="N14" i="2"/>
  <c r="N7" i="2"/>
  <c r="N5" i="2"/>
  <c r="N30" i="2"/>
  <c r="N10" i="2"/>
  <c r="N4" i="2"/>
  <c r="N8" i="2"/>
  <c r="N26" i="2"/>
  <c r="N13" i="2"/>
  <c r="N17" i="2"/>
  <c r="N29" i="2"/>
  <c r="N12" i="2"/>
  <c r="N31" i="2"/>
  <c r="N27" i="2"/>
  <c r="N16" i="2"/>
  <c r="J6" i="1"/>
  <c r="K6" i="1" s="1"/>
  <c r="K12" i="1"/>
  <c r="K3" i="1"/>
  <c r="K18" i="1"/>
  <c r="I17" i="1"/>
  <c r="J17" i="1"/>
  <c r="X30" i="2" l="1"/>
  <c r="X20" i="2"/>
  <c r="X10" i="2"/>
  <c r="X29" i="2"/>
  <c r="X19" i="2"/>
  <c r="X9" i="2"/>
  <c r="X28" i="2"/>
  <c r="X18" i="2"/>
  <c r="X8" i="2"/>
  <c r="X17" i="2"/>
  <c r="X7" i="2"/>
  <c r="X26" i="2"/>
  <c r="X16" i="2"/>
  <c r="X6" i="2"/>
  <c r="X25" i="2"/>
  <c r="X5" i="2"/>
  <c r="X27" i="2"/>
  <c r="X24" i="2"/>
  <c r="X14" i="2"/>
  <c r="X4" i="2"/>
  <c r="X3" i="2"/>
  <c r="X23" i="2"/>
  <c r="X13" i="2"/>
  <c r="X22" i="2"/>
  <c r="X32" i="2"/>
  <c r="X12" i="2"/>
  <c r="X15" i="2"/>
  <c r="X31" i="2"/>
  <c r="X21" i="2"/>
  <c r="X11" i="2"/>
  <c r="K17" i="1"/>
</calcChain>
</file>

<file path=xl/sharedStrings.xml><?xml version="1.0" encoding="utf-8"?>
<sst xmlns="http://schemas.openxmlformats.org/spreadsheetml/2006/main" count="90" uniqueCount="47">
  <si>
    <t>Row #</t>
  </si>
  <si>
    <t>Class</t>
  </si>
  <si>
    <t>AGE</t>
  </si>
  <si>
    <t>LIVER_FIRM</t>
  </si>
  <si>
    <t>BILIRUBIN</t>
  </si>
  <si>
    <t>ALBUMIN</t>
  </si>
  <si>
    <t>Min=</t>
  </si>
  <si>
    <t>Max=</t>
  </si>
  <si>
    <t>Split</t>
  </si>
  <si>
    <t>PL</t>
  </si>
  <si>
    <t>PR</t>
  </si>
  <si>
    <t>Good</t>
  </si>
  <si>
    <t>Bad</t>
  </si>
  <si>
    <t>Good2</t>
  </si>
  <si>
    <t>Bad3</t>
  </si>
  <si>
    <t>2Pl * PR</t>
  </si>
  <si>
    <t>q(s/t)</t>
  </si>
  <si>
    <t>Over all</t>
  </si>
  <si>
    <t>Row</t>
  </si>
  <si>
    <t>Liver Firm 1</t>
  </si>
  <si>
    <t>Liver Firm 2</t>
  </si>
  <si>
    <t>Rank</t>
  </si>
  <si>
    <t>Distance</t>
  </si>
  <si>
    <t>AGE_STD</t>
  </si>
  <si>
    <t>a</t>
  </si>
  <si>
    <t>b</t>
  </si>
  <si>
    <t>c</t>
  </si>
  <si>
    <t>d</t>
  </si>
  <si>
    <t>D^2</t>
  </si>
  <si>
    <t>C^2</t>
  </si>
  <si>
    <t>B^2</t>
  </si>
  <si>
    <t>A^2</t>
  </si>
  <si>
    <t>k</t>
  </si>
  <si>
    <t>Label</t>
  </si>
  <si>
    <t>Record #</t>
  </si>
  <si>
    <t>STEROID</t>
  </si>
  <si>
    <t>Age_Quartile</t>
  </si>
  <si>
    <t>Q2</t>
  </si>
  <si>
    <t>Q3</t>
  </si>
  <si>
    <t>Q4</t>
  </si>
  <si>
    <t>Q1</t>
  </si>
  <si>
    <t>Steroid 1</t>
  </si>
  <si>
    <t>Steroid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</si>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</sst>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4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4" tint="-0.249977111117893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7" xfId="0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7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/>
    <xf numFmtId="0" fontId="3" fillId="0" borderId="0" xfId="0" applyFont="1"/>
    <xf numFmtId="0" fontId="2" fillId="0" borderId="15" xfId="0" applyFont="1" applyBorder="1" applyAlignment="1">
      <alignment horizontal="right"/>
    </xf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5" xfId="0" applyNumberFormat="1" applyFont="1" applyBorder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165" fontId="4" fillId="0" borderId="4" xfId="0" applyNumberFormat="1" applyFont="1" applyBorder="1"/>
    <xf numFmtId="0" fontId="0" fillId="0" borderId="6" xfId="0" applyBorder="1"/>
    <xf numFmtId="0" fontId="0" fillId="0" borderId="5" xfId="0" applyBorder="1"/>
    <xf numFmtId="0" fontId="5" fillId="0" borderId="0" xfId="0" applyFont="1"/>
    <xf numFmtId="164" fontId="5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4" fillId="2" borderId="0" xfId="0" applyFont="1" applyFill="1"/>
    <xf numFmtId="164" fontId="4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  <numFmt numFmtId="164" formatCode="0.00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1D63D-9A98-6541-8EE8-247C413FC98F}" name="Table2" displayName="Table2" ref="B10:K13" totalsRowShown="0" headerRowDxfId="38" dataDxfId="37">
  <tableColumns count="10">
    <tableColumn id="1" xr3:uid="{20001D46-E016-3F47-9266-16F2220F0020}" name="Split" dataDxfId="36"/>
    <tableColumn id="2" xr3:uid="{62E17C17-41C7-8649-8E5B-A1637A153523}" name="PL" dataDxfId="35"/>
    <tableColumn id="3" xr3:uid="{7C42EAE5-4C28-5146-BA10-097E32E01440}" name="PR" dataDxfId="34">
      <calculatedColumnFormula>1-C11</calculatedColumnFormula>
    </tableColumn>
    <tableColumn id="4" xr3:uid="{86063E55-ABBD-804F-AD57-79935D7A6140}" name="Good" dataDxfId="33"/>
    <tableColumn id="5" xr3:uid="{CE5968AC-8843-4C40-9C53-921BAA8DD5AC}" name="Bad" dataDxfId="32">
      <calculatedColumnFormula>1-E11</calculatedColumnFormula>
    </tableColumn>
    <tableColumn id="6" xr3:uid="{63AEC655-03D3-7844-AEC2-D22B61D10648}" name="Good2" dataDxfId="31"/>
    <tableColumn id="7" xr3:uid="{BE328438-3360-4147-884C-033076886889}" name="Bad3" dataDxfId="30">
      <calculatedColumnFormula>1-G11</calculatedColumnFormula>
    </tableColumn>
    <tableColumn id="8" xr3:uid="{BC1231D5-210E-7B4A-8952-5390B7C311AF}" name="2Pl * PR" dataDxfId="29">
      <calculatedColumnFormula>2*C11*D11</calculatedColumnFormula>
    </tableColumn>
    <tableColumn id="9" xr3:uid="{26193606-EE5C-634B-9BFC-963CDC27695D}" name="q(s/t)" dataDxfId="28">
      <calculatedColumnFormula>ABS(E11-G11)+ABS(F11-H11)</calculatedColumnFormula>
    </tableColumn>
    <tableColumn id="10" xr3:uid="{A376FD8A-6712-1B44-80BC-E66E03D64DF3}" name="Over all" dataDxfId="27">
      <calculatedColumnFormula>I11*J11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4D8676-EA34-154D-BE41-A72FBB1CE648}" name="Table4" displayName="Table4" ref="B16:K19" totalsRowShown="0" headerRowDxfId="26" dataDxfId="24" headerRowBorderDxfId="25" tableBorderDxfId="23">
  <tableColumns count="10">
    <tableColumn id="1" xr3:uid="{38D5E3CB-A0F5-8A4D-8B76-154EEFFA769C}" name="Split" dataDxfId="22"/>
    <tableColumn id="2" xr3:uid="{860C62E3-886D-814B-8F5A-5C2D1CF554E2}" name="PL" dataDxfId="21"/>
    <tableColumn id="3" xr3:uid="{D7102E95-80B0-6D46-B495-9256C47618A6}" name="PR" dataDxfId="20">
      <calculatedColumnFormula>1-Table4[[#This Row],[PL]]</calculatedColumnFormula>
    </tableColumn>
    <tableColumn id="4" xr3:uid="{4D52E9D0-AF6B-A74E-918D-C68FB8C10B8B}" name="Good" dataDxfId="19"/>
    <tableColumn id="5" xr3:uid="{C87F9325-45EF-7842-AD0C-28D193315290}" name="Bad" dataDxfId="18">
      <calculatedColumnFormula>SUM(F13:F16)</calculatedColumnFormula>
    </tableColumn>
    <tableColumn id="6" xr3:uid="{B732241F-10E7-A04A-9A70-EEF65BDBFCE4}" name="Good2" dataDxfId="17"/>
    <tableColumn id="7" xr3:uid="{4F6B57AC-69BE-E24A-B08E-650044DF8430}" name="Bad3" dataDxfId="16">
      <calculatedColumnFormula>1-Table4[[#This Row],[Good2]]</calculatedColumnFormula>
    </tableColumn>
    <tableColumn id="8" xr3:uid="{6C3990AE-9D0B-EA48-B6A3-FD5F4CDBBADD}" name="2Pl * PR" dataDxfId="15">
      <calculatedColumnFormula>2*Table4[[#This Row],[PL]]*Table4[[#This Row],[PR]]</calculatedColumnFormula>
    </tableColumn>
    <tableColumn id="9" xr3:uid="{0718627F-3111-8340-854C-797BF33ECF0C}" name="q(s/t)" dataDxfId="14">
      <calculatedColumnFormula>ABS(E17-G17)+ABS(F17-H17)</calculatedColumnFormula>
    </tableColumn>
    <tableColumn id="10" xr3:uid="{A4E1023E-96BB-1F47-B6A5-D9679436B4AE}" name="Over all" dataDxfId="13">
      <calculatedColumnFormula>Table4[[#This Row],[q(s/t)]]*Table4[[#This Row],[2Pl * PR]]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3A4390-BB95-0C49-B596-20FE71BC0ADC}" name="Table17" displayName="Table17" ref="B2:K7" totalsRowShown="0" headerRowDxfId="12" dataDxfId="11">
  <tableColumns count="10">
    <tableColumn id="1" xr3:uid="{F7C78457-CEF9-D744-9F87-F7B66CE68D5A}" name="Split" dataDxfId="10"/>
    <tableColumn id="2" xr3:uid="{CBAD8925-C7F1-F441-9708-6CD11F71A9B2}" name="PL" dataDxfId="9"/>
    <tableColumn id="3" xr3:uid="{EB18D253-5AE4-AF47-AA65-73C14630AFCA}" name="PR" dataDxfId="8">
      <calculatedColumnFormula>1-C3</calculatedColumnFormula>
    </tableColumn>
    <tableColumn id="4" xr3:uid="{B4C3910B-BFC1-0A44-A56D-B6DDD5969B7D}" name="Good" dataDxfId="7"/>
    <tableColumn id="5" xr3:uid="{269E9AC6-C718-654D-B79C-20777C19DBE8}" name="Bad" dataDxfId="6">
      <calculatedColumnFormula>1-E3</calculatedColumnFormula>
    </tableColumn>
    <tableColumn id="6" xr3:uid="{7DBBD772-4C57-A241-9C3C-422AF3548D1A}" name="Good2" dataDxfId="5"/>
    <tableColumn id="7" xr3:uid="{178ECB85-EECF-3A43-9DB7-19F2927479FE}" name="Bad3" dataDxfId="4">
      <calculatedColumnFormula>1-G3</calculatedColumnFormula>
    </tableColumn>
    <tableColumn id="8" xr3:uid="{1485CBAC-C4D3-2F47-869A-44E824C76261}" name="2Pl * PR" dataDxfId="3">
      <calculatedColumnFormula>2*C3*D3</calculatedColumnFormula>
    </tableColumn>
    <tableColumn id="9" xr3:uid="{9E84EFC4-5CC7-5A4A-A2C2-5CB9FF003756}" name="q(s/t)" dataDxfId="2">
      <calculatedColumnFormula>ABS(E3-G3)+ABS(F3-H3)</calculatedColumnFormula>
    </tableColumn>
    <tableColumn id="10" xr3:uid="{209D1BEE-F337-A64F-ACA7-D5371F38724A}" name="Over all" dataDxfId="1">
      <calculatedColumnFormula>I3*J3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A155-F1D0-FF48-90B0-0006B2E96FAE}">
  <dimension ref="A1:AB35"/>
  <sheetViews>
    <sheetView tabSelected="1" workbookViewId="0">
      <selection activeCell="X3" sqref="X3"/>
    </sheetView>
  </sheetViews>
  <sheetFormatPr baseColWidth="10" defaultRowHeight="16" x14ac:dyDescent="0.2"/>
  <cols>
    <col min="8" max="8" width="4.1640625" customWidth="1"/>
    <col min="9" max="9" width="7.33203125" bestFit="1" customWidth="1"/>
    <col min="10" max="10" width="2.1640625" bestFit="1" customWidth="1"/>
    <col min="11" max="12" width="4.1640625" bestFit="1" customWidth="1"/>
    <col min="13" max="13" width="4.83203125" customWidth="1"/>
    <col min="14" max="14" width="5.1640625" bestFit="1" customWidth="1"/>
    <col min="15" max="18" width="5.6640625" bestFit="1" customWidth="1"/>
    <col min="19" max="19" width="8.5" bestFit="1" customWidth="1"/>
    <col min="20" max="20" width="4.6640625" bestFit="1" customWidth="1"/>
    <col min="21" max="21" width="5.6640625" bestFit="1" customWidth="1"/>
    <col min="22" max="22" width="5.6640625" customWidth="1"/>
    <col min="23" max="23" width="5.1640625" bestFit="1" customWidth="1"/>
    <col min="24" max="27" width="5.6640625" bestFit="1" customWidth="1"/>
    <col min="28" max="28" width="4.6640625" bestFit="1" customWidth="1"/>
  </cols>
  <sheetData>
    <row r="1" spans="1:28" x14ac:dyDescent="0.2">
      <c r="D1" s="37" t="s">
        <v>43</v>
      </c>
      <c r="E1" s="37" t="s">
        <v>44</v>
      </c>
      <c r="F1" s="37" t="s">
        <v>45</v>
      </c>
      <c r="G1" s="37" t="s">
        <v>46</v>
      </c>
    </row>
    <row r="2" spans="1:28" x14ac:dyDescent="0.2">
      <c r="A2" s="23" t="s">
        <v>0</v>
      </c>
      <c r="B2" s="23" t="s">
        <v>1</v>
      </c>
      <c r="C2" s="23" t="s">
        <v>2</v>
      </c>
      <c r="D2" s="23" t="s">
        <v>23</v>
      </c>
      <c r="E2" s="23" t="s">
        <v>3</v>
      </c>
      <c r="F2" s="23" t="s">
        <v>4</v>
      </c>
      <c r="G2" s="23" t="s">
        <v>5</v>
      </c>
      <c r="N2" s="23" t="s">
        <v>21</v>
      </c>
      <c r="O2" s="23" t="s">
        <v>31</v>
      </c>
      <c r="P2" s="23" t="s">
        <v>30</v>
      </c>
      <c r="Q2" s="23" t="s">
        <v>29</v>
      </c>
      <c r="R2" s="23" t="s">
        <v>28</v>
      </c>
      <c r="S2" s="23" t="s">
        <v>22</v>
      </c>
      <c r="T2" s="23" t="s">
        <v>18</v>
      </c>
      <c r="U2" s="23" t="s">
        <v>1</v>
      </c>
      <c r="V2" s="23"/>
      <c r="W2" s="37" t="s">
        <v>32</v>
      </c>
      <c r="X2" s="37" t="s">
        <v>33</v>
      </c>
    </row>
    <row r="3" spans="1:28" x14ac:dyDescent="0.2">
      <c r="A3" s="34">
        <v>1</v>
      </c>
      <c r="B3" s="34">
        <v>2</v>
      </c>
      <c r="C3" s="34">
        <v>38</v>
      </c>
      <c r="D3" s="38">
        <f>STANDARDIZE(C3, AVERAGE($C$3:$C$32), _xlfn.STDEV.P($C$3:$C$32))</f>
        <v>-0.46462252644436375</v>
      </c>
      <c r="E3" s="34">
        <v>1</v>
      </c>
      <c r="F3" s="34">
        <v>0.7</v>
      </c>
      <c r="G3" s="34">
        <v>4.2</v>
      </c>
      <c r="N3">
        <f t="shared" ref="N3:N32" si="0">RANK(S3,$S$3:$S$32, 1)</f>
        <v>8</v>
      </c>
      <c r="O3" s="25">
        <f t="shared" ref="O3:O32" si="1">(D3-$I$6)^2</f>
        <v>9.3738504482800913</v>
      </c>
      <c r="P3" s="25">
        <f t="shared" ref="P3:P32" si="2">(E3-$I$6)^2</f>
        <v>20.487364334488298</v>
      </c>
      <c r="Q3" s="25">
        <f t="shared" ref="Q3:Q32" si="3">(F3-$I$6)^2</f>
        <v>17.861586147593098</v>
      </c>
      <c r="R3" s="25">
        <f t="shared" ref="R3:R32" si="4">(G3-$I$6)^2</f>
        <v>59.695664994703783</v>
      </c>
      <c r="S3" s="25">
        <f t="shared" ref="S3:S32" si="5">SQRT(O3+ P3 + Q3 + R3)^2</f>
        <v>107.41846592506529</v>
      </c>
      <c r="T3" s="26">
        <f>A3</f>
        <v>1</v>
      </c>
      <c r="U3">
        <f>B3</f>
        <v>2</v>
      </c>
      <c r="W3" s="34">
        <v>1</v>
      </c>
      <c r="X3" s="39">
        <f>VLOOKUP(W3,$N$3:$U$32, 8,FALSE)</f>
        <v>1</v>
      </c>
      <c r="Y3" s="24"/>
      <c r="Z3" s="24"/>
      <c r="AA3" s="24"/>
      <c r="AB3" s="23"/>
    </row>
    <row r="4" spans="1:28" ht="17" thickBot="1" x14ac:dyDescent="0.25">
      <c r="A4" s="34">
        <v>2</v>
      </c>
      <c r="B4" s="34">
        <v>1</v>
      </c>
      <c r="C4" s="34">
        <v>47</v>
      </c>
      <c r="D4" s="38">
        <f t="shared" ref="D4:D32" si="6">STANDARDIZE(C4, AVERAGE($C$3:$C$32), _xlfn.STDEV.P($C$3:$C$32))</f>
        <v>0.2605108963300769</v>
      </c>
      <c r="E4" s="34">
        <v>1</v>
      </c>
      <c r="F4" s="34">
        <v>1</v>
      </c>
      <c r="G4" s="34">
        <v>2.6</v>
      </c>
      <c r="N4">
        <f t="shared" si="0"/>
        <v>1</v>
      </c>
      <c r="O4" s="25">
        <f t="shared" si="1"/>
        <v>14.339913878289973</v>
      </c>
      <c r="P4" s="25">
        <f t="shared" si="2"/>
        <v>20.487364334488298</v>
      </c>
      <c r="Q4" s="25">
        <f t="shared" si="3"/>
        <v>20.487364334488298</v>
      </c>
      <c r="R4" s="25">
        <f t="shared" si="4"/>
        <v>37.531514664596038</v>
      </c>
      <c r="S4" s="25">
        <f t="shared" si="5"/>
        <v>92.846157211862604</v>
      </c>
      <c r="T4" s="26">
        <f t="shared" ref="T4:T32" si="7">A4</f>
        <v>2</v>
      </c>
      <c r="U4">
        <f t="shared" ref="U4:U32" si="8">B4</f>
        <v>1</v>
      </c>
      <c r="W4" s="34">
        <v>2</v>
      </c>
      <c r="X4" s="39">
        <f t="shared" ref="X4:X32" si="9">VLOOKUP(W4,$N$3:$U$32,8,FALSE)</f>
        <v>1</v>
      </c>
      <c r="Y4" s="24"/>
      <c r="Z4" s="24"/>
      <c r="AA4" s="24"/>
      <c r="AB4" s="23"/>
    </row>
    <row r="5" spans="1:28" x14ac:dyDescent="0.2">
      <c r="A5" s="34">
        <v>3</v>
      </c>
      <c r="B5" s="34">
        <v>1</v>
      </c>
      <c r="C5" s="34">
        <v>47</v>
      </c>
      <c r="D5" s="38">
        <f t="shared" si="6"/>
        <v>0.2605108963300769</v>
      </c>
      <c r="E5" s="34">
        <v>1</v>
      </c>
      <c r="F5" s="34">
        <v>1.7</v>
      </c>
      <c r="G5" s="34">
        <v>2.1</v>
      </c>
      <c r="I5" s="27" t="s">
        <v>24</v>
      </c>
      <c r="J5" s="1" t="s">
        <v>25</v>
      </c>
      <c r="K5" s="1" t="s">
        <v>26</v>
      </c>
      <c r="L5" s="2" t="s">
        <v>27</v>
      </c>
      <c r="M5" s="3"/>
      <c r="N5">
        <f t="shared" si="0"/>
        <v>2</v>
      </c>
      <c r="O5" s="25">
        <f t="shared" si="1"/>
        <v>14.339913878289973</v>
      </c>
      <c r="P5" s="25">
        <f t="shared" si="2"/>
        <v>20.487364334488298</v>
      </c>
      <c r="Q5" s="25">
        <f t="shared" si="3"/>
        <v>27.314180103910438</v>
      </c>
      <c r="R5" s="25">
        <f t="shared" si="4"/>
        <v>31.655217686437368</v>
      </c>
      <c r="S5" s="25">
        <f t="shared" si="5"/>
        <v>93.796676003126052</v>
      </c>
      <c r="T5" s="26">
        <f t="shared" si="7"/>
        <v>3</v>
      </c>
      <c r="U5">
        <f t="shared" si="8"/>
        <v>1</v>
      </c>
      <c r="W5" s="34">
        <v>3</v>
      </c>
      <c r="X5" s="39">
        <f t="shared" si="9"/>
        <v>1</v>
      </c>
      <c r="Y5" s="24"/>
      <c r="Z5" s="24"/>
      <c r="AA5" s="24"/>
      <c r="AB5" s="23"/>
    </row>
    <row r="6" spans="1:28" ht="17" thickBot="1" x14ac:dyDescent="0.25">
      <c r="A6" s="34">
        <v>4</v>
      </c>
      <c r="B6" s="34">
        <v>2</v>
      </c>
      <c r="C6" s="34">
        <v>38</v>
      </c>
      <c r="D6" s="38">
        <f t="shared" si="6"/>
        <v>-0.46462252644436375</v>
      </c>
      <c r="E6" s="34">
        <v>2</v>
      </c>
      <c r="F6" s="34">
        <v>0.7</v>
      </c>
      <c r="G6" s="34">
        <v>4.0999999999999996</v>
      </c>
      <c r="I6" s="28">
        <f t="shared" ref="I6" si="10">STANDARDIZE(H6, AVERAGE($C$3:$C$32), _xlfn.STDEV.P($C$3:$C$32))</f>
        <v>-3.526296978158669</v>
      </c>
      <c r="J6" s="29">
        <v>1</v>
      </c>
      <c r="K6" s="29">
        <v>4.2</v>
      </c>
      <c r="L6" s="30">
        <v>3.4</v>
      </c>
      <c r="N6">
        <f t="shared" si="0"/>
        <v>18</v>
      </c>
      <c r="O6" s="25">
        <f t="shared" si="1"/>
        <v>9.3738504482800913</v>
      </c>
      <c r="P6" s="25">
        <f t="shared" si="2"/>
        <v>30.539958290805636</v>
      </c>
      <c r="Q6" s="25">
        <f t="shared" si="3"/>
        <v>17.861586147593098</v>
      </c>
      <c r="R6" s="25">
        <f t="shared" si="4"/>
        <v>58.160405599072043</v>
      </c>
      <c r="S6" s="25">
        <f t="shared" si="5"/>
        <v>115.93580048575087</v>
      </c>
      <c r="T6" s="26">
        <f t="shared" si="7"/>
        <v>4</v>
      </c>
      <c r="U6">
        <f t="shared" si="8"/>
        <v>2</v>
      </c>
      <c r="W6" s="34">
        <v>4</v>
      </c>
      <c r="X6" s="39">
        <f t="shared" si="9"/>
        <v>1</v>
      </c>
      <c r="Y6" s="25"/>
      <c r="Z6" s="25"/>
      <c r="AA6" s="25"/>
    </row>
    <row r="7" spans="1:28" x14ac:dyDescent="0.2">
      <c r="A7" s="34">
        <v>5</v>
      </c>
      <c r="B7" s="34">
        <v>1</v>
      </c>
      <c r="C7" s="34">
        <v>48</v>
      </c>
      <c r="D7" s="38">
        <f t="shared" si="6"/>
        <v>0.34108127663834809</v>
      </c>
      <c r="E7" s="34">
        <v>1</v>
      </c>
      <c r="F7" s="34">
        <v>4.8</v>
      </c>
      <c r="G7" s="34">
        <v>2.7</v>
      </c>
      <c r="N7">
        <f t="shared" si="0"/>
        <v>28</v>
      </c>
      <c r="O7" s="25">
        <f t="shared" si="1"/>
        <v>14.956614565676823</v>
      </c>
      <c r="P7" s="25">
        <f t="shared" si="2"/>
        <v>20.487364334488298</v>
      </c>
      <c r="Q7" s="25">
        <f t="shared" si="3"/>
        <v>69.327221368494193</v>
      </c>
      <c r="R7" s="25">
        <f t="shared" si="4"/>
        <v>38.766774060227775</v>
      </c>
      <c r="S7" s="25">
        <f t="shared" si="5"/>
        <v>143.53797432888709</v>
      </c>
      <c r="T7" s="26">
        <f t="shared" si="7"/>
        <v>5</v>
      </c>
      <c r="U7">
        <f t="shared" si="8"/>
        <v>1</v>
      </c>
      <c r="W7" s="34">
        <v>5</v>
      </c>
      <c r="X7" s="39">
        <f t="shared" si="9"/>
        <v>2</v>
      </c>
      <c r="Y7" s="25"/>
      <c r="Z7" s="25"/>
      <c r="AA7" s="25"/>
    </row>
    <row r="8" spans="1:28" x14ac:dyDescent="0.2">
      <c r="A8" s="34">
        <v>6</v>
      </c>
      <c r="B8" s="34">
        <v>1</v>
      </c>
      <c r="C8" s="34">
        <v>42</v>
      </c>
      <c r="D8" s="38">
        <f t="shared" si="6"/>
        <v>-0.14234100521127901</v>
      </c>
      <c r="E8" s="34">
        <v>2</v>
      </c>
      <c r="F8" s="34">
        <v>0.5</v>
      </c>
      <c r="G8" s="34">
        <v>3.8</v>
      </c>
      <c r="N8">
        <f t="shared" si="0"/>
        <v>14</v>
      </c>
      <c r="O8" s="25">
        <f t="shared" si="1"/>
        <v>11.451158026846317</v>
      </c>
      <c r="P8" s="25">
        <f t="shared" si="2"/>
        <v>30.539958290805636</v>
      </c>
      <c r="Q8" s="25">
        <f t="shared" si="3"/>
        <v>16.211067356329629</v>
      </c>
      <c r="R8" s="25">
        <f t="shared" si="4"/>
        <v>53.674627412176847</v>
      </c>
      <c r="S8" s="25">
        <f t="shared" si="5"/>
        <v>111.87681108615841</v>
      </c>
      <c r="T8" s="26">
        <f t="shared" si="7"/>
        <v>6</v>
      </c>
      <c r="U8">
        <f t="shared" si="8"/>
        <v>1</v>
      </c>
      <c r="W8" s="34">
        <v>6</v>
      </c>
      <c r="X8" s="39">
        <f t="shared" si="9"/>
        <v>2</v>
      </c>
      <c r="Y8" s="25"/>
      <c r="Z8" s="25"/>
      <c r="AA8" s="25"/>
    </row>
    <row r="9" spans="1:28" x14ac:dyDescent="0.2">
      <c r="A9" s="34">
        <v>7</v>
      </c>
      <c r="B9" s="34">
        <v>1</v>
      </c>
      <c r="C9" s="34">
        <v>41</v>
      </c>
      <c r="D9" s="38">
        <f t="shared" si="6"/>
        <v>-0.2229113855195502</v>
      </c>
      <c r="E9" s="34">
        <v>1</v>
      </c>
      <c r="F9" s="34">
        <v>4.2</v>
      </c>
      <c r="G9" s="34">
        <v>3.4</v>
      </c>
      <c r="N9">
        <f t="shared" si="0"/>
        <v>26</v>
      </c>
      <c r="O9" s="25">
        <f t="shared" si="1"/>
        <v>10.912356373655701</v>
      </c>
      <c r="P9" s="25">
        <f t="shared" si="2"/>
        <v>20.487364334488298</v>
      </c>
      <c r="Q9" s="25">
        <f t="shared" si="3"/>
        <v>59.695664994703783</v>
      </c>
      <c r="R9" s="25">
        <f t="shared" si="4"/>
        <v>47.973589829649917</v>
      </c>
      <c r="S9" s="25">
        <f t="shared" si="5"/>
        <v>139.06897553249766</v>
      </c>
      <c r="T9" s="26">
        <f t="shared" si="7"/>
        <v>7</v>
      </c>
      <c r="U9">
        <f t="shared" si="8"/>
        <v>1</v>
      </c>
      <c r="W9" s="34">
        <v>7</v>
      </c>
      <c r="X9" s="39">
        <f t="shared" si="9"/>
        <v>2</v>
      </c>
      <c r="Y9" s="25"/>
      <c r="Z9" s="25"/>
      <c r="AA9" s="25"/>
    </row>
    <row r="10" spans="1:28" x14ac:dyDescent="0.2">
      <c r="A10" s="34">
        <v>8</v>
      </c>
      <c r="B10" s="34">
        <v>1</v>
      </c>
      <c r="C10" s="34">
        <v>38</v>
      </c>
      <c r="D10" s="38">
        <f t="shared" si="6"/>
        <v>-0.46462252644436375</v>
      </c>
      <c r="E10" s="34">
        <v>1</v>
      </c>
      <c r="F10" s="34">
        <v>0.4</v>
      </c>
      <c r="G10" s="34">
        <v>3.8</v>
      </c>
      <c r="N10">
        <f t="shared" si="0"/>
        <v>4</v>
      </c>
      <c r="O10" s="25">
        <f t="shared" si="1"/>
        <v>9.3738504482800913</v>
      </c>
      <c r="P10" s="25">
        <f t="shared" si="2"/>
        <v>20.487364334488298</v>
      </c>
      <c r="Q10" s="25">
        <f t="shared" si="3"/>
        <v>15.415807960697895</v>
      </c>
      <c r="R10" s="25">
        <f t="shared" si="4"/>
        <v>53.674627412176847</v>
      </c>
      <c r="S10" s="25">
        <f t="shared" si="5"/>
        <v>98.951650155643151</v>
      </c>
      <c r="T10" s="26">
        <f t="shared" si="7"/>
        <v>8</v>
      </c>
      <c r="U10">
        <f t="shared" si="8"/>
        <v>1</v>
      </c>
      <c r="W10" s="34">
        <v>8</v>
      </c>
      <c r="X10" s="39">
        <f t="shared" si="9"/>
        <v>2</v>
      </c>
      <c r="Y10" s="25"/>
      <c r="Z10" s="25"/>
      <c r="AA10" s="25"/>
    </row>
    <row r="11" spans="1:28" x14ac:dyDescent="0.2">
      <c r="A11" s="34">
        <v>9</v>
      </c>
      <c r="B11" s="34">
        <v>2</v>
      </c>
      <c r="C11" s="34">
        <v>34</v>
      </c>
      <c r="D11" s="38">
        <f t="shared" si="6"/>
        <v>-0.78690404767744848</v>
      </c>
      <c r="E11" s="34">
        <v>2</v>
      </c>
      <c r="F11" s="34">
        <v>0.9</v>
      </c>
      <c r="G11" s="34">
        <v>4</v>
      </c>
      <c r="N11">
        <f t="shared" si="0"/>
        <v>16</v>
      </c>
      <c r="O11" s="25">
        <f t="shared" si="1"/>
        <v>7.5042736275704893</v>
      </c>
      <c r="P11" s="25">
        <f t="shared" si="2"/>
        <v>30.539958290805636</v>
      </c>
      <c r="Q11" s="25">
        <f t="shared" si="3"/>
        <v>19.592104938856568</v>
      </c>
      <c r="R11" s="25">
        <f t="shared" si="4"/>
        <v>56.645146203440312</v>
      </c>
      <c r="S11" s="25">
        <f t="shared" si="5"/>
        <v>114.281483060673</v>
      </c>
      <c r="T11" s="26">
        <f t="shared" si="7"/>
        <v>9</v>
      </c>
      <c r="U11">
        <f t="shared" si="8"/>
        <v>2</v>
      </c>
      <c r="W11" s="34">
        <v>9</v>
      </c>
      <c r="X11" s="39">
        <f t="shared" si="9"/>
        <v>2</v>
      </c>
      <c r="Y11" s="25"/>
      <c r="Z11" s="25"/>
      <c r="AA11" s="25"/>
    </row>
    <row r="12" spans="1:28" x14ac:dyDescent="0.2">
      <c r="A12" s="34">
        <v>10</v>
      </c>
      <c r="B12" s="34">
        <v>1</v>
      </c>
      <c r="C12" s="34">
        <v>33</v>
      </c>
      <c r="D12" s="38">
        <f t="shared" si="6"/>
        <v>-0.86747442798571972</v>
      </c>
      <c r="E12" s="34">
        <v>2</v>
      </c>
      <c r="F12" s="34">
        <v>0.7</v>
      </c>
      <c r="G12" s="34">
        <v>3</v>
      </c>
      <c r="N12">
        <f t="shared" si="0"/>
        <v>3</v>
      </c>
      <c r="O12" s="25">
        <f t="shared" si="1"/>
        <v>7.0693373533081854</v>
      </c>
      <c r="P12" s="25">
        <f t="shared" si="2"/>
        <v>30.539958290805636</v>
      </c>
      <c r="Q12" s="25">
        <f t="shared" si="3"/>
        <v>17.861586147593098</v>
      </c>
      <c r="R12" s="25">
        <f t="shared" si="4"/>
        <v>42.592552247122974</v>
      </c>
      <c r="S12" s="25">
        <f t="shared" si="5"/>
        <v>98.063434038829882</v>
      </c>
      <c r="T12" s="26">
        <f t="shared" si="7"/>
        <v>10</v>
      </c>
      <c r="U12">
        <f t="shared" si="8"/>
        <v>1</v>
      </c>
      <c r="W12" s="34">
        <v>10</v>
      </c>
      <c r="X12" s="39">
        <f t="shared" si="9"/>
        <v>1</v>
      </c>
      <c r="Y12" s="25"/>
      <c r="Z12" s="25"/>
      <c r="AA12" s="25"/>
    </row>
    <row r="13" spans="1:28" x14ac:dyDescent="0.2">
      <c r="A13" s="34">
        <v>11</v>
      </c>
      <c r="B13" s="34">
        <v>1</v>
      </c>
      <c r="C13" s="34">
        <v>50</v>
      </c>
      <c r="D13" s="38">
        <f t="shared" si="6"/>
        <v>0.50222203725489045</v>
      </c>
      <c r="E13" s="34">
        <v>1</v>
      </c>
      <c r="F13" s="34">
        <v>2.8</v>
      </c>
      <c r="G13" s="34">
        <v>2.4</v>
      </c>
      <c r="N13">
        <f t="shared" si="0"/>
        <v>13</v>
      </c>
      <c r="O13" s="25">
        <f t="shared" si="1"/>
        <v>16.228965457548636</v>
      </c>
      <c r="P13" s="25">
        <f t="shared" si="2"/>
        <v>20.487364334488298</v>
      </c>
      <c r="Q13" s="25">
        <f t="shared" si="3"/>
        <v>40.022033455859507</v>
      </c>
      <c r="R13" s="25">
        <f t="shared" si="4"/>
        <v>35.120995873332575</v>
      </c>
      <c r="S13" s="25">
        <f t="shared" si="5"/>
        <v>111.85935912122902</v>
      </c>
      <c r="T13" s="26">
        <f t="shared" si="7"/>
        <v>11</v>
      </c>
      <c r="U13">
        <f t="shared" si="8"/>
        <v>1</v>
      </c>
      <c r="W13" s="34">
        <v>11</v>
      </c>
      <c r="X13" s="39">
        <f t="shared" si="9"/>
        <v>2</v>
      </c>
      <c r="Y13" s="25"/>
      <c r="Z13" s="25"/>
      <c r="AA13" s="25"/>
    </row>
    <row r="14" spans="1:28" x14ac:dyDescent="0.2">
      <c r="A14" s="34">
        <v>12</v>
      </c>
      <c r="B14" s="34">
        <v>2</v>
      </c>
      <c r="C14" s="34">
        <v>38</v>
      </c>
      <c r="D14" s="38">
        <f t="shared" si="6"/>
        <v>-0.46462252644436375</v>
      </c>
      <c r="E14" s="34">
        <v>2</v>
      </c>
      <c r="F14" s="34">
        <v>2</v>
      </c>
      <c r="G14" s="34">
        <v>2.9</v>
      </c>
      <c r="N14">
        <f t="shared" si="0"/>
        <v>12</v>
      </c>
      <c r="O14" s="25">
        <f t="shared" si="1"/>
        <v>9.3738504482800913</v>
      </c>
      <c r="P14" s="25">
        <f t="shared" si="2"/>
        <v>30.539958290805636</v>
      </c>
      <c r="Q14" s="25">
        <f t="shared" si="3"/>
        <v>30.539958290805636</v>
      </c>
      <c r="R14" s="25">
        <f t="shared" si="4"/>
        <v>41.297292851491243</v>
      </c>
      <c r="S14" s="25">
        <f t="shared" si="5"/>
        <v>111.75105988138262</v>
      </c>
      <c r="T14" s="26">
        <f t="shared" si="7"/>
        <v>12</v>
      </c>
      <c r="U14">
        <f t="shared" si="8"/>
        <v>2</v>
      </c>
      <c r="W14" s="34">
        <v>12</v>
      </c>
      <c r="X14" s="39">
        <f t="shared" si="9"/>
        <v>2</v>
      </c>
      <c r="Y14" s="25"/>
      <c r="Z14" s="25"/>
      <c r="AA14" s="25"/>
    </row>
    <row r="15" spans="1:28" x14ac:dyDescent="0.2">
      <c r="A15" s="34">
        <v>13</v>
      </c>
      <c r="B15" s="34">
        <v>2</v>
      </c>
      <c r="C15" s="34">
        <v>27</v>
      </c>
      <c r="D15" s="38">
        <f t="shared" si="6"/>
        <v>-1.3508967098353468</v>
      </c>
      <c r="E15" s="34">
        <v>2</v>
      </c>
      <c r="F15" s="34">
        <v>0.8</v>
      </c>
      <c r="G15" s="34">
        <v>3.8</v>
      </c>
      <c r="N15">
        <f t="shared" si="0"/>
        <v>9</v>
      </c>
      <c r="O15" s="25">
        <f t="shared" si="1"/>
        <v>4.7323663274211833</v>
      </c>
      <c r="P15" s="25">
        <f t="shared" si="2"/>
        <v>30.539958290805636</v>
      </c>
      <c r="Q15" s="25">
        <f t="shared" si="3"/>
        <v>18.716845543224832</v>
      </c>
      <c r="R15" s="25">
        <f t="shared" si="4"/>
        <v>53.674627412176847</v>
      </c>
      <c r="S15" s="25">
        <f t="shared" si="5"/>
        <v>107.6637975736285</v>
      </c>
      <c r="T15" s="26">
        <f t="shared" si="7"/>
        <v>13</v>
      </c>
      <c r="U15">
        <f t="shared" si="8"/>
        <v>2</v>
      </c>
      <c r="W15" s="34">
        <v>13</v>
      </c>
      <c r="X15" s="39">
        <f t="shared" si="9"/>
        <v>1</v>
      </c>
      <c r="Y15" s="25"/>
      <c r="Z15" s="25"/>
      <c r="AA15" s="25"/>
    </row>
    <row r="16" spans="1:28" x14ac:dyDescent="0.2">
      <c r="A16" s="34">
        <v>14</v>
      </c>
      <c r="B16" s="34">
        <v>2</v>
      </c>
      <c r="C16" s="34">
        <v>78</v>
      </c>
      <c r="D16" s="38">
        <f t="shared" si="6"/>
        <v>2.7581926858864838</v>
      </c>
      <c r="E16" s="34">
        <v>2</v>
      </c>
      <c r="F16" s="34">
        <v>0.7</v>
      </c>
      <c r="G16" s="34">
        <v>4</v>
      </c>
      <c r="N16">
        <f t="shared" si="0"/>
        <v>29</v>
      </c>
      <c r="O16" s="25">
        <f t="shared" si="1"/>
        <v>39.494810337490357</v>
      </c>
      <c r="P16" s="25">
        <f t="shared" si="2"/>
        <v>30.539958290805636</v>
      </c>
      <c r="Q16" s="25">
        <f t="shared" si="3"/>
        <v>17.861586147593098</v>
      </c>
      <c r="R16" s="25">
        <f t="shared" si="4"/>
        <v>56.645146203440312</v>
      </c>
      <c r="S16" s="25">
        <f t="shared" si="5"/>
        <v>144.54150097932941</v>
      </c>
      <c r="T16" s="26">
        <f t="shared" si="7"/>
        <v>14</v>
      </c>
      <c r="U16">
        <f t="shared" si="8"/>
        <v>2</v>
      </c>
      <c r="W16" s="34">
        <v>14</v>
      </c>
      <c r="X16" s="39">
        <f t="shared" si="9"/>
        <v>1</v>
      </c>
      <c r="Y16" s="25"/>
      <c r="Z16" s="25"/>
      <c r="AA16" s="25"/>
    </row>
    <row r="17" spans="1:27" x14ac:dyDescent="0.2">
      <c r="A17" s="34">
        <v>15</v>
      </c>
      <c r="B17" s="34">
        <v>2</v>
      </c>
      <c r="C17" s="34">
        <v>40</v>
      </c>
      <c r="D17" s="38">
        <f t="shared" si="6"/>
        <v>-0.30348176582782138</v>
      </c>
      <c r="E17" s="34">
        <v>1</v>
      </c>
      <c r="F17" s="34">
        <v>0.6</v>
      </c>
      <c r="G17" s="34">
        <v>4</v>
      </c>
      <c r="N17">
        <f t="shared" si="0"/>
        <v>6</v>
      </c>
      <c r="O17" s="25">
        <f t="shared" si="1"/>
        <v>10.386537892831127</v>
      </c>
      <c r="P17" s="25">
        <f t="shared" si="2"/>
        <v>20.487364334488298</v>
      </c>
      <c r="Q17" s="25">
        <f t="shared" si="3"/>
        <v>17.02632675196136</v>
      </c>
      <c r="R17" s="25">
        <f t="shared" si="4"/>
        <v>56.645146203440312</v>
      </c>
      <c r="S17" s="25">
        <f t="shared" si="5"/>
        <v>104.5453751827211</v>
      </c>
      <c r="T17" s="26">
        <f t="shared" si="7"/>
        <v>15</v>
      </c>
      <c r="U17">
        <f t="shared" si="8"/>
        <v>2</v>
      </c>
      <c r="W17" s="34">
        <v>15</v>
      </c>
      <c r="X17" s="39">
        <f t="shared" si="9"/>
        <v>2</v>
      </c>
      <c r="Y17" s="25"/>
      <c r="Z17" s="25"/>
      <c r="AA17" s="25"/>
    </row>
    <row r="18" spans="1:27" x14ac:dyDescent="0.2">
      <c r="A18" s="34">
        <v>16</v>
      </c>
      <c r="B18" s="34">
        <v>2</v>
      </c>
      <c r="C18" s="34">
        <v>30</v>
      </c>
      <c r="D18" s="38">
        <f t="shared" si="6"/>
        <v>-1.1091855689105332</v>
      </c>
      <c r="E18" s="34">
        <v>1</v>
      </c>
      <c r="F18" s="34">
        <v>2.2000000000000002</v>
      </c>
      <c r="G18" s="34">
        <v>4.9000000000000004</v>
      </c>
      <c r="N18">
        <f t="shared" si="0"/>
        <v>24</v>
      </c>
      <c r="O18" s="25">
        <f t="shared" si="1"/>
        <v>5.8424275647175099</v>
      </c>
      <c r="P18" s="25">
        <f t="shared" si="2"/>
        <v>20.487364334488298</v>
      </c>
      <c r="Q18" s="25">
        <f t="shared" si="3"/>
        <v>32.79047708206911</v>
      </c>
      <c r="R18" s="25">
        <f t="shared" si="4"/>
        <v>71.00248076412592</v>
      </c>
      <c r="S18" s="25">
        <f t="shared" si="5"/>
        <v>130.1227497454008</v>
      </c>
      <c r="T18" s="26">
        <f t="shared" si="7"/>
        <v>16</v>
      </c>
      <c r="U18">
        <f t="shared" si="8"/>
        <v>2</v>
      </c>
      <c r="W18" s="34">
        <v>16</v>
      </c>
      <c r="X18" s="39">
        <f t="shared" si="9"/>
        <v>2</v>
      </c>
      <c r="Y18" s="25"/>
      <c r="Z18" s="25"/>
      <c r="AA18" s="25"/>
    </row>
    <row r="19" spans="1:27" x14ac:dyDescent="0.2">
      <c r="A19" s="34">
        <v>17</v>
      </c>
      <c r="B19" s="34">
        <v>1</v>
      </c>
      <c r="C19" s="34">
        <v>43</v>
      </c>
      <c r="D19" s="38">
        <f t="shared" si="6"/>
        <v>-6.1770624903007831E-2</v>
      </c>
      <c r="E19" s="34">
        <v>2</v>
      </c>
      <c r="F19" s="34">
        <v>1.2</v>
      </c>
      <c r="G19" s="34">
        <v>3.1</v>
      </c>
      <c r="N19">
        <f t="shared" si="0"/>
        <v>10</v>
      </c>
      <c r="O19" s="25">
        <f t="shared" si="1"/>
        <v>12.002942852402972</v>
      </c>
      <c r="P19" s="25">
        <f t="shared" si="2"/>
        <v>30.539958290805636</v>
      </c>
      <c r="Q19" s="25">
        <f t="shared" si="3"/>
        <v>22.33788312575177</v>
      </c>
      <c r="R19" s="25">
        <f t="shared" si="4"/>
        <v>43.907811642754702</v>
      </c>
      <c r="S19" s="25">
        <f t="shared" si="5"/>
        <v>108.78859591171509</v>
      </c>
      <c r="T19" s="26">
        <f t="shared" si="7"/>
        <v>17</v>
      </c>
      <c r="U19">
        <f t="shared" si="8"/>
        <v>1</v>
      </c>
      <c r="W19" s="34">
        <v>17</v>
      </c>
      <c r="X19" s="39">
        <f t="shared" si="9"/>
        <v>2</v>
      </c>
      <c r="Y19" s="25"/>
      <c r="Z19" s="25"/>
      <c r="AA19" s="25"/>
    </row>
    <row r="20" spans="1:27" x14ac:dyDescent="0.2">
      <c r="A20" s="34">
        <v>18</v>
      </c>
      <c r="B20" s="34">
        <v>2</v>
      </c>
      <c r="C20" s="34">
        <v>50</v>
      </c>
      <c r="D20" s="38">
        <f t="shared" si="6"/>
        <v>0.50222203725489045</v>
      </c>
      <c r="E20" s="34">
        <v>2</v>
      </c>
      <c r="F20" s="34">
        <v>0.9</v>
      </c>
      <c r="G20" s="34">
        <v>3.5</v>
      </c>
      <c r="N20">
        <f t="shared" si="0"/>
        <v>17</v>
      </c>
      <c r="O20" s="25">
        <f t="shared" si="1"/>
        <v>16.228965457548636</v>
      </c>
      <c r="P20" s="25">
        <f t="shared" si="2"/>
        <v>30.539958290805636</v>
      </c>
      <c r="Q20" s="25">
        <f t="shared" si="3"/>
        <v>19.592104938856568</v>
      </c>
      <c r="R20" s="25">
        <f t="shared" si="4"/>
        <v>49.368849225281643</v>
      </c>
      <c r="S20" s="25">
        <f t="shared" si="5"/>
        <v>115.72987791249248</v>
      </c>
      <c r="T20" s="26">
        <f t="shared" si="7"/>
        <v>18</v>
      </c>
      <c r="U20">
        <f t="shared" si="8"/>
        <v>2</v>
      </c>
      <c r="W20" s="34">
        <v>18</v>
      </c>
      <c r="X20" s="39">
        <f t="shared" si="9"/>
        <v>2</v>
      </c>
      <c r="Y20" s="25"/>
      <c r="Z20" s="25"/>
      <c r="AA20" s="25"/>
    </row>
    <row r="21" spans="1:27" x14ac:dyDescent="0.2">
      <c r="A21" s="34">
        <v>19</v>
      </c>
      <c r="B21" s="34">
        <v>2</v>
      </c>
      <c r="C21" s="34">
        <v>25</v>
      </c>
      <c r="D21" s="38">
        <f t="shared" si="6"/>
        <v>-1.5120374704518893</v>
      </c>
      <c r="E21" s="34">
        <v>2</v>
      </c>
      <c r="F21" s="34">
        <v>0.4</v>
      </c>
      <c r="G21" s="34">
        <v>4.3</v>
      </c>
      <c r="N21">
        <f t="shared" si="0"/>
        <v>11</v>
      </c>
      <c r="O21" s="25">
        <f t="shared" si="1"/>
        <v>4.057241364387159</v>
      </c>
      <c r="P21" s="25">
        <f t="shared" si="2"/>
        <v>30.539958290805636</v>
      </c>
      <c r="Q21" s="25">
        <f t="shared" si="3"/>
        <v>15.415807960697895</v>
      </c>
      <c r="R21" s="25">
        <f t="shared" si="4"/>
        <v>61.250924390335513</v>
      </c>
      <c r="S21" s="25">
        <f t="shared" si="5"/>
        <v>111.26393200622623</v>
      </c>
      <c r="T21" s="26">
        <f t="shared" si="7"/>
        <v>19</v>
      </c>
      <c r="U21">
        <f t="shared" si="8"/>
        <v>2</v>
      </c>
      <c r="W21" s="34">
        <v>19</v>
      </c>
      <c r="X21" s="39">
        <f t="shared" si="9"/>
        <v>1</v>
      </c>
      <c r="Y21" s="25"/>
      <c r="Z21" s="25"/>
      <c r="AA21" s="25"/>
    </row>
    <row r="22" spans="1:27" x14ac:dyDescent="0.2">
      <c r="A22" s="34">
        <v>20</v>
      </c>
      <c r="B22" s="34">
        <v>1</v>
      </c>
      <c r="C22" s="34">
        <v>58</v>
      </c>
      <c r="D22" s="38">
        <f t="shared" si="6"/>
        <v>1.1467850797210599</v>
      </c>
      <c r="E22" s="34">
        <v>1</v>
      </c>
      <c r="F22" s="34">
        <v>2</v>
      </c>
      <c r="G22" s="34">
        <v>3.3</v>
      </c>
      <c r="N22">
        <f t="shared" si="0"/>
        <v>22</v>
      </c>
      <c r="O22" s="25">
        <f t="shared" si="1"/>
        <v>21.83769591967744</v>
      </c>
      <c r="P22" s="25">
        <f t="shared" si="2"/>
        <v>20.487364334488298</v>
      </c>
      <c r="Q22" s="25">
        <f t="shared" si="3"/>
        <v>30.539958290805636</v>
      </c>
      <c r="R22" s="25">
        <f t="shared" si="4"/>
        <v>46.598330434018173</v>
      </c>
      <c r="S22" s="25">
        <f t="shared" si="5"/>
        <v>119.46334897898957</v>
      </c>
      <c r="T22" s="26">
        <f t="shared" si="7"/>
        <v>20</v>
      </c>
      <c r="U22">
        <f t="shared" si="8"/>
        <v>1</v>
      </c>
      <c r="W22" s="34">
        <v>20</v>
      </c>
      <c r="X22" s="39">
        <f t="shared" si="9"/>
        <v>2</v>
      </c>
      <c r="Y22" s="25"/>
      <c r="Z22" s="25"/>
      <c r="AA22" s="25"/>
    </row>
    <row r="23" spans="1:27" x14ac:dyDescent="0.2">
      <c r="A23" s="34">
        <v>21</v>
      </c>
      <c r="B23" s="34">
        <v>1</v>
      </c>
      <c r="C23" s="34">
        <v>59</v>
      </c>
      <c r="D23" s="38">
        <f t="shared" si="6"/>
        <v>1.2273554600293313</v>
      </c>
      <c r="E23" s="34">
        <v>1</v>
      </c>
      <c r="F23" s="34">
        <v>1.5</v>
      </c>
      <c r="G23" s="34">
        <v>3.6</v>
      </c>
      <c r="N23">
        <f t="shared" si="0"/>
        <v>21</v>
      </c>
      <c r="O23" s="25">
        <f t="shared" si="1"/>
        <v>22.597211503090719</v>
      </c>
      <c r="P23" s="25">
        <f t="shared" si="2"/>
        <v>20.487364334488298</v>
      </c>
      <c r="Q23" s="25">
        <f t="shared" si="3"/>
        <v>25.263661312646967</v>
      </c>
      <c r="R23" s="25">
        <f t="shared" si="4"/>
        <v>50.784108620913372</v>
      </c>
      <c r="S23" s="25">
        <f t="shared" si="5"/>
        <v>119.13234577113934</v>
      </c>
      <c r="T23" s="26">
        <f t="shared" si="7"/>
        <v>21</v>
      </c>
      <c r="U23">
        <f t="shared" si="8"/>
        <v>1</v>
      </c>
      <c r="W23" s="34">
        <v>21</v>
      </c>
      <c r="X23" s="39">
        <f t="shared" si="9"/>
        <v>1</v>
      </c>
      <c r="Y23" s="25"/>
      <c r="Z23" s="25"/>
      <c r="AA23" s="25"/>
    </row>
    <row r="24" spans="1:27" x14ac:dyDescent="0.2">
      <c r="A24" s="34">
        <v>22</v>
      </c>
      <c r="B24" s="34">
        <v>1</v>
      </c>
      <c r="C24" s="34">
        <v>57</v>
      </c>
      <c r="D24" s="38">
        <f t="shared" si="6"/>
        <v>1.0662146994127888</v>
      </c>
      <c r="E24" s="34">
        <v>2</v>
      </c>
      <c r="F24" s="34">
        <v>4.5999999999999996</v>
      </c>
      <c r="G24" s="34">
        <v>3.3</v>
      </c>
      <c r="N24">
        <f t="shared" si="0"/>
        <v>30</v>
      </c>
      <c r="O24" s="25">
        <f t="shared" si="1"/>
        <v>21.091163508630203</v>
      </c>
      <c r="P24" s="25">
        <f t="shared" si="2"/>
        <v>30.539958290805636</v>
      </c>
      <c r="Q24" s="25">
        <f t="shared" si="3"/>
        <v>66.036702577230713</v>
      </c>
      <c r="R24" s="25">
        <f t="shared" si="4"/>
        <v>46.598330434018173</v>
      </c>
      <c r="S24" s="25">
        <f t="shared" si="5"/>
        <v>164.26615481068472</v>
      </c>
      <c r="T24" s="26">
        <f t="shared" si="7"/>
        <v>22</v>
      </c>
      <c r="U24">
        <f t="shared" si="8"/>
        <v>1</v>
      </c>
      <c r="W24" s="34">
        <v>22</v>
      </c>
      <c r="X24" s="39">
        <f t="shared" si="9"/>
        <v>1</v>
      </c>
      <c r="Y24" s="25"/>
      <c r="Z24" s="25"/>
      <c r="AA24" s="25"/>
    </row>
    <row r="25" spans="1:27" x14ac:dyDescent="0.2">
      <c r="A25" s="34">
        <v>23</v>
      </c>
      <c r="B25" s="34">
        <v>2</v>
      </c>
      <c r="C25" s="34">
        <v>42</v>
      </c>
      <c r="D25" s="38">
        <f t="shared" si="6"/>
        <v>-0.14234100521127901</v>
      </c>
      <c r="E25" s="34">
        <v>2</v>
      </c>
      <c r="F25" s="34">
        <v>0.9</v>
      </c>
      <c r="G25" s="34">
        <v>4.7</v>
      </c>
      <c r="N25">
        <f t="shared" si="0"/>
        <v>23</v>
      </c>
      <c r="O25" s="25">
        <f t="shared" si="1"/>
        <v>11.451158026846317</v>
      </c>
      <c r="P25" s="25">
        <f t="shared" si="2"/>
        <v>30.539958290805636</v>
      </c>
      <c r="Q25" s="25">
        <f t="shared" si="3"/>
        <v>19.592104938856568</v>
      </c>
      <c r="R25" s="25">
        <f t="shared" si="4"/>
        <v>67.671961972862434</v>
      </c>
      <c r="S25" s="25">
        <f t="shared" si="5"/>
        <v>129.25518322937097</v>
      </c>
      <c r="T25" s="26">
        <f t="shared" si="7"/>
        <v>23</v>
      </c>
      <c r="U25">
        <f t="shared" si="8"/>
        <v>2</v>
      </c>
      <c r="W25" s="34">
        <v>23</v>
      </c>
      <c r="X25" s="39">
        <f t="shared" si="9"/>
        <v>2</v>
      </c>
      <c r="Y25" s="25"/>
      <c r="Z25" s="25"/>
      <c r="AA25" s="25"/>
    </row>
    <row r="26" spans="1:27" x14ac:dyDescent="0.2">
      <c r="A26" s="34">
        <v>24</v>
      </c>
      <c r="B26" s="34">
        <v>2</v>
      </c>
      <c r="C26" s="34">
        <v>39</v>
      </c>
      <c r="D26" s="38">
        <f t="shared" si="6"/>
        <v>-0.38405214613609256</v>
      </c>
      <c r="E26" s="34">
        <v>1</v>
      </c>
      <c r="F26" s="34">
        <v>1.3</v>
      </c>
      <c r="G26" s="34">
        <v>4.4000000000000004</v>
      </c>
      <c r="N26">
        <f t="shared" si="0"/>
        <v>20</v>
      </c>
      <c r="O26" s="25">
        <f t="shared" si="1"/>
        <v>9.8737025843725892</v>
      </c>
      <c r="P26" s="25">
        <f t="shared" si="2"/>
        <v>20.487364334488298</v>
      </c>
      <c r="Q26" s="25">
        <f t="shared" si="3"/>
        <v>23.293142521383498</v>
      </c>
      <c r="R26" s="25">
        <f t="shared" si="4"/>
        <v>62.826183785967253</v>
      </c>
      <c r="S26" s="25">
        <f t="shared" si="5"/>
        <v>116.48039322621163</v>
      </c>
      <c r="T26" s="26">
        <f t="shared" si="7"/>
        <v>24</v>
      </c>
      <c r="U26">
        <f t="shared" si="8"/>
        <v>2</v>
      </c>
      <c r="W26" s="34">
        <v>24</v>
      </c>
      <c r="X26" s="39">
        <f t="shared" si="9"/>
        <v>2</v>
      </c>
      <c r="Y26" s="25"/>
      <c r="Z26" s="25"/>
      <c r="AA26" s="25"/>
    </row>
    <row r="27" spans="1:27" x14ac:dyDescent="0.2">
      <c r="A27" s="34">
        <v>25</v>
      </c>
      <c r="B27" s="34">
        <v>2</v>
      </c>
      <c r="C27" s="34">
        <v>58</v>
      </c>
      <c r="D27" s="38">
        <f t="shared" si="6"/>
        <v>1.1467850797210599</v>
      </c>
      <c r="E27" s="34">
        <v>1</v>
      </c>
      <c r="F27" s="34">
        <v>1.4</v>
      </c>
      <c r="G27" s="34">
        <v>2.7</v>
      </c>
      <c r="N27">
        <f t="shared" si="0"/>
        <v>7</v>
      </c>
      <c r="O27" s="25">
        <f t="shared" si="1"/>
        <v>21.83769591967744</v>
      </c>
      <c r="P27" s="25">
        <f t="shared" si="2"/>
        <v>20.487364334488298</v>
      </c>
      <c r="Q27" s="25">
        <f t="shared" si="3"/>
        <v>24.268401917015236</v>
      </c>
      <c r="R27" s="25">
        <f t="shared" si="4"/>
        <v>38.766774060227775</v>
      </c>
      <c r="S27" s="25">
        <f t="shared" si="5"/>
        <v>105.36023623140875</v>
      </c>
      <c r="T27" s="26">
        <f t="shared" si="7"/>
        <v>25</v>
      </c>
      <c r="U27">
        <f t="shared" si="8"/>
        <v>2</v>
      </c>
      <c r="W27" s="34">
        <v>25</v>
      </c>
      <c r="X27" s="39">
        <f t="shared" si="9"/>
        <v>1</v>
      </c>
      <c r="Y27" s="25"/>
      <c r="Z27" s="25"/>
      <c r="AA27" s="25"/>
    </row>
    <row r="28" spans="1:27" x14ac:dyDescent="0.2">
      <c r="A28" s="34">
        <v>26</v>
      </c>
      <c r="B28" s="34">
        <v>2</v>
      </c>
      <c r="C28" s="34">
        <v>32</v>
      </c>
      <c r="D28" s="38">
        <f t="shared" si="6"/>
        <v>-0.94804480829399085</v>
      </c>
      <c r="E28" s="34">
        <v>1</v>
      </c>
      <c r="F28" s="34">
        <v>1</v>
      </c>
      <c r="G28" s="34">
        <v>3.7</v>
      </c>
      <c r="N28">
        <f t="shared" si="0"/>
        <v>5</v>
      </c>
      <c r="O28" s="25">
        <f t="shared" si="1"/>
        <v>6.6473842514119221</v>
      </c>
      <c r="P28" s="25">
        <f t="shared" si="2"/>
        <v>20.487364334488298</v>
      </c>
      <c r="Q28" s="25">
        <f t="shared" si="3"/>
        <v>20.487364334488298</v>
      </c>
      <c r="R28" s="25">
        <f t="shared" si="4"/>
        <v>52.219368016545111</v>
      </c>
      <c r="S28" s="25">
        <f t="shared" si="5"/>
        <v>99.841480936933621</v>
      </c>
      <c r="T28" s="26">
        <f t="shared" si="7"/>
        <v>26</v>
      </c>
      <c r="U28">
        <f t="shared" si="8"/>
        <v>2</v>
      </c>
      <c r="W28" s="34">
        <v>26</v>
      </c>
      <c r="X28" s="39">
        <f t="shared" si="9"/>
        <v>1</v>
      </c>
      <c r="Y28" s="25"/>
      <c r="Z28" s="25"/>
      <c r="AA28" s="25"/>
    </row>
    <row r="29" spans="1:27" x14ac:dyDescent="0.2">
      <c r="A29" s="34">
        <v>27</v>
      </c>
      <c r="B29" s="34">
        <v>1</v>
      </c>
      <c r="C29" s="34">
        <v>56</v>
      </c>
      <c r="D29" s="38">
        <f t="shared" si="6"/>
        <v>0.98564431910451755</v>
      </c>
      <c r="E29" s="34">
        <v>1</v>
      </c>
      <c r="F29" s="34">
        <v>2.9</v>
      </c>
      <c r="G29" s="34">
        <v>4</v>
      </c>
      <c r="N29">
        <f t="shared" si="0"/>
        <v>25</v>
      </c>
      <c r="O29" s="25">
        <f t="shared" si="1"/>
        <v>20.357614269949007</v>
      </c>
      <c r="P29" s="25">
        <f t="shared" si="2"/>
        <v>20.487364334488298</v>
      </c>
      <c r="Q29" s="25">
        <f t="shared" si="3"/>
        <v>41.297292851491243</v>
      </c>
      <c r="R29" s="25">
        <f t="shared" si="4"/>
        <v>56.645146203440312</v>
      </c>
      <c r="S29" s="25">
        <f t="shared" si="5"/>
        <v>138.78741765936886</v>
      </c>
      <c r="T29" s="26">
        <f t="shared" si="7"/>
        <v>27</v>
      </c>
      <c r="U29">
        <f t="shared" si="8"/>
        <v>1</v>
      </c>
      <c r="W29" s="34">
        <v>27</v>
      </c>
      <c r="X29" s="39">
        <f t="shared" si="9"/>
        <v>2</v>
      </c>
      <c r="Y29" s="25"/>
      <c r="Z29" s="25"/>
      <c r="AA29" s="25"/>
    </row>
    <row r="30" spans="1:27" x14ac:dyDescent="0.2">
      <c r="A30" s="34">
        <v>28</v>
      </c>
      <c r="B30" s="34">
        <v>2</v>
      </c>
      <c r="C30" s="34">
        <v>66</v>
      </c>
      <c r="D30" s="38">
        <f t="shared" si="6"/>
        <v>1.7913481221872294</v>
      </c>
      <c r="E30" s="34">
        <v>2</v>
      </c>
      <c r="F30" s="34">
        <v>1.2</v>
      </c>
      <c r="G30" s="34">
        <v>4.3</v>
      </c>
      <c r="N30">
        <f t="shared" si="0"/>
        <v>27</v>
      </c>
      <c r="O30" s="25">
        <f t="shared" si="1"/>
        <v>28.277349413232741</v>
      </c>
      <c r="P30" s="25">
        <f t="shared" si="2"/>
        <v>30.539958290805636</v>
      </c>
      <c r="Q30" s="25">
        <f t="shared" si="3"/>
        <v>22.33788312575177</v>
      </c>
      <c r="R30" s="25">
        <f t="shared" si="4"/>
        <v>61.250924390335513</v>
      </c>
      <c r="S30" s="25">
        <f t="shared" si="5"/>
        <v>142.40611522012566</v>
      </c>
      <c r="T30" s="26">
        <f t="shared" si="7"/>
        <v>28</v>
      </c>
      <c r="U30">
        <f t="shared" si="8"/>
        <v>2</v>
      </c>
      <c r="W30" s="34">
        <v>28</v>
      </c>
      <c r="X30" s="39">
        <f t="shared" si="9"/>
        <v>1</v>
      </c>
      <c r="Y30" s="25"/>
      <c r="Z30" s="25"/>
      <c r="AA30" s="25"/>
    </row>
    <row r="31" spans="1:27" x14ac:dyDescent="0.2">
      <c r="A31" s="34">
        <v>29</v>
      </c>
      <c r="B31" s="34">
        <v>1</v>
      </c>
      <c r="C31" s="34">
        <v>37</v>
      </c>
      <c r="D31" s="38">
        <f t="shared" si="6"/>
        <v>-0.54519290675263499</v>
      </c>
      <c r="E31" s="34">
        <v>2</v>
      </c>
      <c r="F31" s="34">
        <v>0.6</v>
      </c>
      <c r="G31" s="34">
        <v>4.2</v>
      </c>
      <c r="N31">
        <f t="shared" si="0"/>
        <v>19</v>
      </c>
      <c r="O31" s="25">
        <f t="shared" si="1"/>
        <v>8.8869814845536332</v>
      </c>
      <c r="P31" s="25">
        <f t="shared" si="2"/>
        <v>30.539958290805636</v>
      </c>
      <c r="Q31" s="25">
        <f t="shared" si="3"/>
        <v>17.02632675196136</v>
      </c>
      <c r="R31" s="25">
        <f t="shared" si="4"/>
        <v>59.695664994703783</v>
      </c>
      <c r="S31" s="25">
        <f t="shared" si="5"/>
        <v>116.1489315220244</v>
      </c>
      <c r="T31" s="26">
        <f t="shared" si="7"/>
        <v>29</v>
      </c>
      <c r="U31">
        <f t="shared" si="8"/>
        <v>1</v>
      </c>
      <c r="W31" s="34">
        <v>29</v>
      </c>
      <c r="X31" s="39">
        <f t="shared" si="9"/>
        <v>2</v>
      </c>
      <c r="Y31" s="25"/>
      <c r="Z31" s="25"/>
      <c r="AA31" s="25"/>
    </row>
    <row r="32" spans="1:27" x14ac:dyDescent="0.2">
      <c r="A32" s="34">
        <v>30</v>
      </c>
      <c r="B32" s="34">
        <v>2</v>
      </c>
      <c r="C32" s="34">
        <v>22</v>
      </c>
      <c r="D32" s="38">
        <f t="shared" si="6"/>
        <v>-1.7537486113767027</v>
      </c>
      <c r="E32" s="34">
        <v>2</v>
      </c>
      <c r="F32" s="34">
        <v>0.9</v>
      </c>
      <c r="G32" s="34">
        <v>4.2</v>
      </c>
      <c r="N32">
        <f t="shared" si="0"/>
        <v>15</v>
      </c>
      <c r="O32" s="25">
        <f t="shared" si="1"/>
        <v>3.1419277125814165</v>
      </c>
      <c r="P32" s="25">
        <f t="shared" si="2"/>
        <v>30.539958290805636</v>
      </c>
      <c r="Q32" s="25">
        <f t="shared" si="3"/>
        <v>19.592104938856568</v>
      </c>
      <c r="R32" s="25">
        <f t="shared" si="4"/>
        <v>59.695664994703783</v>
      </c>
      <c r="S32" s="25">
        <f t="shared" si="5"/>
        <v>112.9696559369474</v>
      </c>
      <c r="T32" s="26">
        <f t="shared" si="7"/>
        <v>30</v>
      </c>
      <c r="U32">
        <f t="shared" si="8"/>
        <v>2</v>
      </c>
      <c r="W32" s="34">
        <v>30</v>
      </c>
      <c r="X32" s="39">
        <f t="shared" si="9"/>
        <v>1</v>
      </c>
      <c r="Y32" s="25"/>
      <c r="Z32" s="25"/>
      <c r="AA32" s="25"/>
    </row>
    <row r="34" spans="1:7" x14ac:dyDescent="0.2">
      <c r="A34" t="s">
        <v>6</v>
      </c>
      <c r="C34">
        <v>0</v>
      </c>
      <c r="E34">
        <v>1</v>
      </c>
      <c r="F34">
        <v>0</v>
      </c>
      <c r="G34">
        <v>0</v>
      </c>
    </row>
    <row r="35" spans="1:7" x14ac:dyDescent="0.2">
      <c r="A35" t="s">
        <v>7</v>
      </c>
      <c r="C35">
        <v>100</v>
      </c>
      <c r="E35">
        <v>2</v>
      </c>
      <c r="F35">
        <v>5</v>
      </c>
      <c r="G35">
        <v>5</v>
      </c>
    </row>
  </sheetData>
  <sortState xmlns:xlrd2="http://schemas.microsoft.com/office/spreadsheetml/2017/richdata2" ref="W3:AB32">
    <sortCondition ref="W3:W32"/>
  </sortState>
  <conditionalFormatting sqref="X3">
    <cfRule type="expression" dxfId="0" priority="1">
      <formula>"IF(U3 != X3)"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F85E-BB43-2443-9E35-BD8750A2EDBA}">
  <sheetPr filterMode="1"/>
  <dimension ref="B2:K42"/>
  <sheetViews>
    <sheetView workbookViewId="0">
      <selection activeCell="L7" sqref="L7"/>
    </sheetView>
  </sheetViews>
  <sheetFormatPr baseColWidth="10" defaultColWidth="8.83203125" defaultRowHeight="16" x14ac:dyDescent="0.2"/>
  <cols>
    <col min="2" max="2" width="12.33203125" bestFit="1" customWidth="1"/>
    <col min="3" max="3" width="5.6640625" bestFit="1" customWidth="1"/>
    <col min="4" max="4" width="8.33203125" bestFit="1" customWidth="1"/>
    <col min="5" max="5" width="10.6640625" bestFit="1" customWidth="1"/>
    <col min="6" max="6" width="11.5" bestFit="1" customWidth="1"/>
    <col min="7" max="7" width="6.5" bestFit="1" customWidth="1"/>
    <col min="8" max="8" width="5.6640625" bestFit="1" customWidth="1"/>
    <col min="9" max="9" width="7.83203125" bestFit="1" customWidth="1"/>
    <col min="10" max="10" width="5.83203125" bestFit="1" customWidth="1"/>
    <col min="11" max="11" width="7.33203125" bestFit="1" customWidth="1"/>
    <col min="12" max="12" width="12.5" customWidth="1"/>
    <col min="13" max="13" width="8.33203125" bestFit="1" customWidth="1"/>
    <col min="14" max="14" width="5.6640625" bestFit="1" customWidth="1"/>
    <col min="15" max="15" width="8.33203125" bestFit="1" customWidth="1"/>
    <col min="16" max="16" width="10.6640625" bestFit="1" customWidth="1"/>
    <col min="17" max="17" width="11.5" bestFit="1" customWidth="1"/>
    <col min="18" max="18" width="9.5" bestFit="1" customWidth="1"/>
    <col min="19" max="19" width="13" customWidth="1"/>
    <col min="20" max="20" width="13.83203125" bestFit="1" customWidth="1"/>
    <col min="21" max="21" width="11" customWidth="1"/>
    <col min="22" max="23" width="13.83203125" bestFit="1" customWidth="1"/>
    <col min="24" max="24" width="7.83203125" bestFit="1" customWidth="1"/>
    <col min="25" max="25" width="12.6640625" bestFit="1" customWidth="1"/>
  </cols>
  <sheetData>
    <row r="2" spans="2:11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2:11" x14ac:dyDescent="0.2">
      <c r="B3" t="s">
        <v>40</v>
      </c>
      <c r="C3" s="5">
        <f>4/20</f>
        <v>0.2</v>
      </c>
      <c r="D3" s="5">
        <f>1-C3</f>
        <v>0.8</v>
      </c>
      <c r="E3" s="5">
        <f>4/4</f>
        <v>1</v>
      </c>
      <c r="F3" s="5">
        <f>1-E3</f>
        <v>0</v>
      </c>
      <c r="G3" s="5">
        <f>7/16</f>
        <v>0.4375</v>
      </c>
      <c r="H3" s="5">
        <f>1-G3</f>
        <v>0.5625</v>
      </c>
      <c r="I3" s="5">
        <f>2*C3*D3</f>
        <v>0.32000000000000006</v>
      </c>
      <c r="J3" s="5">
        <f>ABS(E3-G3)+ABS(F3-H3)</f>
        <v>1.125</v>
      </c>
      <c r="K3" s="5">
        <f>I3*J3</f>
        <v>0.3600000000000001</v>
      </c>
    </row>
    <row r="4" spans="2:11" x14ac:dyDescent="0.2">
      <c r="B4" t="s">
        <v>37</v>
      </c>
      <c r="C4" s="5">
        <f>5/20</f>
        <v>0.25</v>
      </c>
      <c r="D4" s="5">
        <f t="shared" ref="D4:D5" si="0">1-C4</f>
        <v>0.75</v>
      </c>
      <c r="E4" s="5">
        <f>2/5</f>
        <v>0.4</v>
      </c>
      <c r="F4" s="5">
        <f t="shared" ref="F4:F5" si="1">1-E4</f>
        <v>0.6</v>
      </c>
      <c r="G4" s="5">
        <f>9/15</f>
        <v>0.6</v>
      </c>
      <c r="H4" s="5">
        <f t="shared" ref="H4:H5" si="2">1-G4</f>
        <v>0.4</v>
      </c>
      <c r="I4" s="5">
        <f t="shared" ref="I4:I5" si="3">2*C4*D4</f>
        <v>0.375</v>
      </c>
      <c r="J4" s="5">
        <f t="shared" ref="J4:J5" si="4">ABS(E4-G4)+ABS(F4-H4)</f>
        <v>0.39999999999999991</v>
      </c>
      <c r="K4" s="5">
        <f t="shared" ref="K4:K5" si="5">I4*J4</f>
        <v>0.14999999999999997</v>
      </c>
    </row>
    <row r="5" spans="2:11" x14ac:dyDescent="0.2">
      <c r="B5" s="35" t="s">
        <v>38</v>
      </c>
      <c r="C5" s="36">
        <f>7/20</f>
        <v>0.35</v>
      </c>
      <c r="D5" s="36">
        <f t="shared" si="0"/>
        <v>0.65</v>
      </c>
      <c r="E5" s="36">
        <f>3/7</f>
        <v>0.42857142857142855</v>
      </c>
      <c r="F5" s="36">
        <f t="shared" si="1"/>
        <v>0.5714285714285714</v>
      </c>
      <c r="G5" s="36">
        <f>8/13</f>
        <v>0.61538461538461542</v>
      </c>
      <c r="H5" s="36">
        <f t="shared" si="2"/>
        <v>0.38461538461538458</v>
      </c>
      <c r="I5" s="36">
        <f t="shared" si="3"/>
        <v>0.45499999999999996</v>
      </c>
      <c r="J5" s="36">
        <f t="shared" si="4"/>
        <v>0.37362637362637369</v>
      </c>
      <c r="K5" s="36">
        <f t="shared" si="5"/>
        <v>0.17</v>
      </c>
    </row>
    <row r="6" spans="2:11" x14ac:dyDescent="0.2">
      <c r="B6" t="s">
        <v>39</v>
      </c>
      <c r="C6" s="5">
        <f>4/20</f>
        <v>0.2</v>
      </c>
      <c r="D6" s="5">
        <f>1-C6</f>
        <v>0.8</v>
      </c>
      <c r="E6" s="5">
        <f>2/4</f>
        <v>0.5</v>
      </c>
      <c r="F6" s="5">
        <f>1-E6</f>
        <v>0.5</v>
      </c>
      <c r="G6" s="5">
        <f>9/16</f>
        <v>0.5625</v>
      </c>
      <c r="H6" s="5">
        <f>1-G6</f>
        <v>0.4375</v>
      </c>
      <c r="I6" s="5">
        <f>2*C6*D6</f>
        <v>0.32000000000000006</v>
      </c>
      <c r="J6" s="5">
        <f>ABS(E6-G6)+ABS(F6-H6)</f>
        <v>0.125</v>
      </c>
      <c r="K6" s="5">
        <f>I6*J6</f>
        <v>4.0000000000000008E-2</v>
      </c>
    </row>
    <row r="7" spans="2:11" x14ac:dyDescent="0.2">
      <c r="B7" s="7"/>
      <c r="C7" s="8"/>
      <c r="D7" s="8"/>
      <c r="E7" s="8"/>
      <c r="F7" s="8"/>
      <c r="G7" s="8"/>
      <c r="H7" s="8"/>
      <c r="I7" s="8"/>
      <c r="J7" s="8"/>
      <c r="K7" s="8"/>
    </row>
    <row r="10" spans="2:11" x14ac:dyDescent="0.2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2:11" x14ac:dyDescent="0.2">
      <c r="B11" t="s">
        <v>19</v>
      </c>
      <c r="C11" s="6">
        <f>2/4</f>
        <v>0.5</v>
      </c>
      <c r="D11" s="6">
        <f>1-C11</f>
        <v>0.5</v>
      </c>
      <c r="E11" s="6">
        <v>0</v>
      </c>
      <c r="F11" s="6">
        <f>1-E11</f>
        <v>1</v>
      </c>
      <c r="G11" s="6">
        <f>2/2</f>
        <v>1</v>
      </c>
      <c r="H11" s="6">
        <f>1-G11</f>
        <v>0</v>
      </c>
      <c r="I11" s="6">
        <f>2*C11*D11</f>
        <v>0.5</v>
      </c>
      <c r="J11" s="6">
        <f>ABS(E11-G11)+ABS(F11-H11)</f>
        <v>2</v>
      </c>
      <c r="K11" s="33">
        <f>I11*J11</f>
        <v>1</v>
      </c>
    </row>
    <row r="12" spans="2:11" x14ac:dyDescent="0.2">
      <c r="B12" t="s">
        <v>20</v>
      </c>
      <c r="C12" s="6">
        <f>1/4</f>
        <v>0.25</v>
      </c>
      <c r="D12" s="6">
        <f>1-C12</f>
        <v>0.75</v>
      </c>
      <c r="E12" s="6">
        <f>1/1</f>
        <v>1</v>
      </c>
      <c r="F12" s="6">
        <f>1-E12</f>
        <v>0</v>
      </c>
      <c r="G12" s="6">
        <f>1/3</f>
        <v>0.33333333333333331</v>
      </c>
      <c r="H12" s="6">
        <f>1-G12</f>
        <v>0.66666666666666674</v>
      </c>
      <c r="I12" s="6">
        <f>2*C12*D12</f>
        <v>0.375</v>
      </c>
      <c r="J12" s="6">
        <f>ABS(E12-G12)+ABS(F12-H12)</f>
        <v>1.3333333333333335</v>
      </c>
      <c r="K12" s="33">
        <f>I12*J12</f>
        <v>0.5</v>
      </c>
    </row>
    <row r="13" spans="2:11" x14ac:dyDescent="0.2">
      <c r="B13" s="7"/>
      <c r="C13" s="9"/>
      <c r="D13" s="10"/>
      <c r="E13" s="9"/>
      <c r="F13" s="10"/>
      <c r="G13" s="9"/>
      <c r="H13" s="10"/>
      <c r="I13" s="11"/>
      <c r="J13" s="11"/>
      <c r="K13" s="11"/>
    </row>
    <row r="16" spans="2:11" x14ac:dyDescent="0.2">
      <c r="B16" s="12" t="s">
        <v>8</v>
      </c>
      <c r="C16" s="13" t="s">
        <v>9</v>
      </c>
      <c r="D16" s="14" t="s">
        <v>10</v>
      </c>
      <c r="E16" s="13" t="s">
        <v>11</v>
      </c>
      <c r="F16" s="14" t="s">
        <v>12</v>
      </c>
      <c r="G16" s="13" t="s">
        <v>13</v>
      </c>
      <c r="H16" s="14" t="s">
        <v>14</v>
      </c>
      <c r="I16" s="12" t="s">
        <v>15</v>
      </c>
      <c r="J16" s="12" t="s">
        <v>16</v>
      </c>
      <c r="K16" s="12" t="s">
        <v>17</v>
      </c>
    </row>
    <row r="17" spans="2:11" x14ac:dyDescent="0.2">
      <c r="B17" s="4" t="s">
        <v>41</v>
      </c>
      <c r="C17" s="15">
        <f>3/11</f>
        <v>0.27272727272727271</v>
      </c>
      <c r="D17" s="16">
        <f>1-Table4[[#This Row],[PL]]</f>
        <v>0.72727272727272729</v>
      </c>
      <c r="E17" s="15">
        <v>0</v>
      </c>
      <c r="F17" s="16">
        <f>1-Table4[[#This Row],[Good]]</f>
        <v>1</v>
      </c>
      <c r="G17" s="15">
        <f>2/8</f>
        <v>0.25</v>
      </c>
      <c r="H17" s="16">
        <f>1-Table4[[#This Row],[Good2]]</f>
        <v>0.75</v>
      </c>
      <c r="I17" s="17">
        <f>2*Table4[[#This Row],[PL]]*Table4[[#This Row],[PR]]</f>
        <v>0.39669421487603301</v>
      </c>
      <c r="J17" s="6">
        <f t="shared" ref="J17:J18" si="6">ABS(E17-G17)+ABS(F17-H17)</f>
        <v>0.5</v>
      </c>
      <c r="K17" s="32">
        <f>Table4[[#This Row],[q(s/t)]]*Table4[[#This Row],[2Pl * PR]]</f>
        <v>0.19834710743801651</v>
      </c>
    </row>
    <row r="18" spans="2:11" x14ac:dyDescent="0.2">
      <c r="B18" s="18" t="s">
        <v>42</v>
      </c>
      <c r="C18" s="15">
        <f>4/11</f>
        <v>0.36363636363636365</v>
      </c>
      <c r="D18" s="16">
        <f>1-Table4[[#This Row],[PL]]</f>
        <v>0.63636363636363635</v>
      </c>
      <c r="E18" s="15">
        <f>2/4</f>
        <v>0.5</v>
      </c>
      <c r="F18" s="16">
        <f>1-Table4[[#This Row],[Good]]</f>
        <v>0.5</v>
      </c>
      <c r="G18" s="15">
        <v>0</v>
      </c>
      <c r="H18" s="16">
        <f>1-Table4[[#This Row],[Good2]]</f>
        <v>1</v>
      </c>
      <c r="I18" s="17">
        <f>2*Table4[[#This Row],[PL]]*Table4[[#This Row],[PR]]</f>
        <v>0.46280991735537191</v>
      </c>
      <c r="J18" s="6">
        <f t="shared" si="6"/>
        <v>1</v>
      </c>
      <c r="K18" s="32">
        <f>Table4[[#This Row],[q(s/t)]]*Table4[[#This Row],[2Pl * PR]]</f>
        <v>0.46280991735537191</v>
      </c>
    </row>
    <row r="19" spans="2:11" ht="17" thickBot="1" x14ac:dyDescent="0.25">
      <c r="B19" s="19"/>
      <c r="C19" s="20"/>
      <c r="D19" s="21"/>
      <c r="E19" s="20"/>
      <c r="F19" s="21"/>
      <c r="G19" s="20"/>
      <c r="H19" s="21"/>
      <c r="I19" s="22"/>
      <c r="J19" s="22"/>
      <c r="K19" s="22"/>
    </row>
    <row r="20" spans="2:11" ht="17" thickTop="1" x14ac:dyDescent="0.2"/>
    <row r="22" spans="2:11" x14ac:dyDescent="0.2">
      <c r="B22" t="s">
        <v>34</v>
      </c>
      <c r="C22" t="s">
        <v>1</v>
      </c>
      <c r="D22" t="s">
        <v>35</v>
      </c>
      <c r="E22" t="s">
        <v>3</v>
      </c>
      <c r="F22" t="s">
        <v>36</v>
      </c>
      <c r="G22" s="31"/>
      <c r="H22" s="31"/>
      <c r="I22" s="31"/>
      <c r="J22" s="31"/>
      <c r="K22" s="31"/>
    </row>
    <row r="23" spans="2:11" hidden="1" x14ac:dyDescent="0.2">
      <c r="B23">
        <v>1</v>
      </c>
      <c r="C23">
        <v>2</v>
      </c>
      <c r="D23">
        <v>2</v>
      </c>
      <c r="E23">
        <v>2</v>
      </c>
      <c r="F23" t="s">
        <v>37</v>
      </c>
      <c r="G23" s="32"/>
      <c r="H23" s="32"/>
      <c r="I23" s="32"/>
      <c r="J23" s="33"/>
      <c r="K23" s="32"/>
    </row>
    <row r="24" spans="2:11" x14ac:dyDescent="0.2">
      <c r="B24">
        <v>2</v>
      </c>
      <c r="C24">
        <v>1</v>
      </c>
      <c r="D24">
        <v>1</v>
      </c>
      <c r="E24">
        <v>2</v>
      </c>
      <c r="F24" t="s">
        <v>38</v>
      </c>
      <c r="G24" s="32"/>
      <c r="H24" s="32"/>
      <c r="I24" s="32"/>
      <c r="J24" s="33"/>
      <c r="K24" s="32"/>
    </row>
    <row r="25" spans="2:11" hidden="1" x14ac:dyDescent="0.2">
      <c r="B25">
        <v>3</v>
      </c>
      <c r="C25">
        <v>1</v>
      </c>
      <c r="D25">
        <v>1</v>
      </c>
      <c r="E25">
        <v>1</v>
      </c>
      <c r="F25" t="s">
        <v>39</v>
      </c>
      <c r="G25" s="32"/>
      <c r="H25" s="32"/>
      <c r="I25" s="32"/>
      <c r="J25" s="32"/>
      <c r="K25" s="32"/>
    </row>
    <row r="26" spans="2:11" hidden="1" x14ac:dyDescent="0.2">
      <c r="B26">
        <v>4</v>
      </c>
      <c r="C26">
        <v>2</v>
      </c>
      <c r="D26">
        <v>2</v>
      </c>
      <c r="E26">
        <v>1</v>
      </c>
      <c r="F26" t="s">
        <v>39</v>
      </c>
      <c r="G26" s="34"/>
      <c r="H26" s="34"/>
      <c r="I26" s="34"/>
      <c r="J26" s="34"/>
      <c r="K26" s="34"/>
    </row>
    <row r="27" spans="2:11" x14ac:dyDescent="0.2">
      <c r="B27">
        <v>5</v>
      </c>
      <c r="C27">
        <v>2</v>
      </c>
      <c r="D27">
        <v>2</v>
      </c>
      <c r="E27">
        <v>1</v>
      </c>
      <c r="F27" t="s">
        <v>38</v>
      </c>
    </row>
    <row r="28" spans="2:11" x14ac:dyDescent="0.2">
      <c r="B28">
        <v>6</v>
      </c>
      <c r="C28">
        <v>1</v>
      </c>
      <c r="D28">
        <v>1</v>
      </c>
      <c r="E28">
        <v>1</v>
      </c>
      <c r="F28" t="s">
        <v>38</v>
      </c>
    </row>
    <row r="29" spans="2:11" hidden="1" x14ac:dyDescent="0.2">
      <c r="B29">
        <v>7</v>
      </c>
      <c r="C29">
        <v>2</v>
      </c>
      <c r="D29">
        <v>2</v>
      </c>
      <c r="E29">
        <v>2</v>
      </c>
      <c r="F29" t="s">
        <v>37</v>
      </c>
    </row>
    <row r="30" spans="2:11" hidden="1" x14ac:dyDescent="0.2">
      <c r="B30">
        <v>8</v>
      </c>
      <c r="C30">
        <v>1</v>
      </c>
      <c r="D30">
        <v>1</v>
      </c>
      <c r="E30">
        <v>1</v>
      </c>
      <c r="F30" t="s">
        <v>37</v>
      </c>
    </row>
    <row r="31" spans="2:11" hidden="1" x14ac:dyDescent="0.2">
      <c r="B31">
        <v>9</v>
      </c>
      <c r="C31">
        <v>2</v>
      </c>
      <c r="D31">
        <v>2</v>
      </c>
      <c r="E31">
        <v>1</v>
      </c>
      <c r="F31" t="s">
        <v>40</v>
      </c>
    </row>
    <row r="32" spans="2:11" x14ac:dyDescent="0.2">
      <c r="B32">
        <v>10</v>
      </c>
      <c r="C32">
        <v>1</v>
      </c>
      <c r="D32">
        <v>2</v>
      </c>
      <c r="E32">
        <v>2</v>
      </c>
      <c r="F32" t="s">
        <v>38</v>
      </c>
    </row>
    <row r="33" spans="2:6" hidden="1" x14ac:dyDescent="0.2">
      <c r="B33">
        <v>11</v>
      </c>
      <c r="C33">
        <v>2</v>
      </c>
      <c r="D33">
        <v>2</v>
      </c>
      <c r="E33">
        <v>2</v>
      </c>
      <c r="F33" t="s">
        <v>39</v>
      </c>
    </row>
    <row r="34" spans="2:6" hidden="1" x14ac:dyDescent="0.2">
      <c r="B34">
        <v>12</v>
      </c>
      <c r="C34">
        <v>1</v>
      </c>
      <c r="D34">
        <v>1</v>
      </c>
      <c r="E34">
        <v>2</v>
      </c>
      <c r="F34" t="s">
        <v>37</v>
      </c>
    </row>
    <row r="35" spans="2:6" hidden="1" x14ac:dyDescent="0.2">
      <c r="B35">
        <v>13</v>
      </c>
      <c r="C35">
        <v>1</v>
      </c>
      <c r="D35">
        <v>1</v>
      </c>
      <c r="E35">
        <v>1</v>
      </c>
      <c r="F35" t="s">
        <v>39</v>
      </c>
    </row>
    <row r="36" spans="2:6" x14ac:dyDescent="0.2">
      <c r="B36">
        <v>14</v>
      </c>
      <c r="C36">
        <v>2</v>
      </c>
      <c r="D36">
        <v>2</v>
      </c>
      <c r="E36">
        <v>2</v>
      </c>
      <c r="F36" t="s">
        <v>38</v>
      </c>
    </row>
    <row r="37" spans="2:6" x14ac:dyDescent="0.2">
      <c r="B37">
        <v>15</v>
      </c>
      <c r="C37">
        <v>2</v>
      </c>
      <c r="D37">
        <v>1</v>
      </c>
      <c r="E37">
        <v>1</v>
      </c>
      <c r="F37" t="s">
        <v>38</v>
      </c>
    </row>
    <row r="38" spans="2:6" hidden="1" x14ac:dyDescent="0.2">
      <c r="B38">
        <v>16</v>
      </c>
      <c r="C38">
        <v>2</v>
      </c>
      <c r="D38">
        <v>2</v>
      </c>
      <c r="E38">
        <v>1</v>
      </c>
      <c r="F38" t="s">
        <v>40</v>
      </c>
    </row>
    <row r="39" spans="2:6" hidden="1" x14ac:dyDescent="0.2">
      <c r="B39">
        <v>17</v>
      </c>
      <c r="C39">
        <v>2</v>
      </c>
      <c r="D39">
        <v>2</v>
      </c>
      <c r="E39">
        <v>1</v>
      </c>
      <c r="F39" t="s">
        <v>40</v>
      </c>
    </row>
    <row r="40" spans="2:6" hidden="1" x14ac:dyDescent="0.2">
      <c r="B40">
        <v>18</v>
      </c>
      <c r="C40">
        <v>1</v>
      </c>
      <c r="D40">
        <v>1</v>
      </c>
      <c r="E40">
        <v>1</v>
      </c>
      <c r="F40" t="s">
        <v>37</v>
      </c>
    </row>
    <row r="41" spans="2:6" x14ac:dyDescent="0.2">
      <c r="B41">
        <v>19</v>
      </c>
      <c r="C41">
        <v>1</v>
      </c>
      <c r="D41">
        <v>2</v>
      </c>
      <c r="E41">
        <v>1</v>
      </c>
      <c r="F41" t="s">
        <v>38</v>
      </c>
    </row>
    <row r="42" spans="2:6" hidden="1" x14ac:dyDescent="0.2">
      <c r="B42">
        <v>20</v>
      </c>
      <c r="C42">
        <v>2</v>
      </c>
      <c r="D42">
        <v>1</v>
      </c>
      <c r="E42">
        <v>2</v>
      </c>
      <c r="F42" t="s">
        <v>40</v>
      </c>
    </row>
  </sheetData>
  <autoFilter ref="B22:F42" xr:uid="{AA75F85E-BB43-2443-9E35-BD8750A2EDBA}">
    <filterColumn colId="4">
      <filters>
        <filter val="Q3"/>
      </filters>
    </filterColumn>
  </autoFilter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6</vt:lpstr>
      <vt:lpstr>Problem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Rizzo</dc:creator>
  <cp:lastModifiedBy>John Rizzo</cp:lastModifiedBy>
  <dcterms:created xsi:type="dcterms:W3CDTF">2025-03-14T19:19:57Z</dcterms:created>
  <dcterms:modified xsi:type="dcterms:W3CDTF">2025-03-15T23:38:58Z</dcterms:modified>
</cp:coreProperties>
</file>